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bookViews>
    <workbookView xWindow="240" yWindow="2415" windowWidth="13815" windowHeight="9165" tabRatio="923" firstSheet="1" activeTab="4"/>
  </bookViews>
  <sheets>
    <sheet name="Paramètres" sheetId="40" state="hidden" r:id="rId1"/>
    <sheet name="Recherche" sheetId="48" r:id="rId2"/>
    <sheet name="Validation Rend. Imp." sheetId="51" state="hidden" r:id="rId3"/>
    <sheet name="A) Base RI" sheetId="42" state="hidden" r:id="rId4"/>
    <sheet name="B) D RI" sheetId="19" r:id="rId5"/>
    <sheet name="C) Prél. conj." sheetId="32" r:id="rId6"/>
    <sheet name="D) Ecrêtage" sheetId="33" r:id="rId7"/>
    <sheet name="E) Fact soc" sheetId="9" r:id="rId8"/>
    <sheet name="F) Population" sheetId="36" r:id="rId9"/>
    <sheet name="G) Solidarité" sheetId="37" r:id="rId10"/>
    <sheet name="H) Péréquation directe" sheetId="34" r:id="rId11"/>
    <sheet name="I) Dépenses thématiques" sheetId="11" r:id="rId12"/>
    <sheet name="J) Plafonnement effort" sheetId="12" r:id="rId13"/>
    <sheet name="K) Plafonnement aide" sheetId="39" r:id="rId14"/>
    <sheet name="L) Plafonnement taux" sheetId="13" r:id="rId15"/>
    <sheet name="M) Police" sheetId="49" r:id="rId16"/>
    <sheet name="Synthèse" sheetId="25" r:id="rId17"/>
    <sheet name="Acomptes vs Décompte" sheetId="52" r:id="rId18"/>
  </sheets>
  <externalReferences>
    <externalReference r:id="rId19"/>
  </externalReferences>
  <definedNames>
    <definedName name="_xlnm._FilterDatabase" localSheetId="5" hidden="1">'C) Prél. conj.'!$A$3:$H$323</definedName>
    <definedName name="_xlnm._FilterDatabase" localSheetId="7" hidden="1">'E) Fact soc'!$A$9:$G$329</definedName>
    <definedName name="_xlnm._FilterDatabase" localSheetId="10" hidden="1">'H) Péréquation directe'!$A$14:$I$334</definedName>
    <definedName name="_xlnm._FilterDatabase" localSheetId="16" hidden="1">Synthèse!$A$4:$L$326</definedName>
    <definedName name="_xlnm.Database" localSheetId="2">#REF!</definedName>
    <definedName name="_xlnm.Database">#REF!</definedName>
    <definedName name="_xlnm.Print_Titles" localSheetId="5">'C) Prél. conj.'!$3:$4</definedName>
    <definedName name="_xlnm.Print_Titles" localSheetId="7">'E) Fact soc'!$9:$10</definedName>
    <definedName name="_xlnm.Print_Titles" localSheetId="11">'I) Dépenses thématiques'!$3:$4</definedName>
    <definedName name="_xlnm.Print_Titles" localSheetId="12">'J) Plafonnement effort'!$3:$4</definedName>
    <definedName name="_xlnm.Print_Titles" localSheetId="14">'L) Plafonnement taux'!$4:$5</definedName>
    <definedName name="_xlnm.Print_Titles" localSheetId="15">'M) Police'!$4:$4</definedName>
    <definedName name="_xlnm.Print_Titles" localSheetId="16">Synthèse!$4:$5</definedName>
    <definedName name="ind">2</definedName>
    <definedName name="_xlnm.Print_Area" localSheetId="3">'A) Base RI'!$A:$AR</definedName>
    <definedName name="_xlnm.Print_Area" localSheetId="10">'H) Péréquation directe'!$325:$356</definedName>
    <definedName name="_xlnm.Print_Area" localSheetId="14">'L) Plafonnement taux'!$A$1:$R$325</definedName>
    <definedName name="_xlnm.Print_Area" localSheetId="15">'M) Police'!$A$1:$O$324</definedName>
    <definedName name="_xlnm.Print_Area" localSheetId="1">Recherche!$B$6:$F$68</definedName>
    <definedName name="_xlnm.Print_Area" localSheetId="16">Synthèse!$A$1:$N$324</definedName>
    <definedName name="_xlnm.Print_Area" localSheetId="2">'Validation Rend. Imp.'!$B$6:$E$74</definedName>
  </definedNames>
  <calcPr calcId="145621"/>
</workbook>
</file>

<file path=xl/calcChain.xml><?xml version="1.0" encoding="utf-8"?>
<calcChain xmlns="http://schemas.openxmlformats.org/spreadsheetml/2006/main">
  <c r="C207" i="42" l="1"/>
  <c r="I324" i="52" l="1"/>
  <c r="I325" i="52"/>
  <c r="I326" i="52"/>
  <c r="I327" i="52"/>
  <c r="F324" i="52"/>
  <c r="C324" i="52"/>
  <c r="K312" i="49" l="1"/>
  <c r="AD8" i="19" l="1"/>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94" i="19"/>
  <c r="AD95" i="19"/>
  <c r="AD96" i="19"/>
  <c r="AD97" i="19"/>
  <c r="AD98" i="19"/>
  <c r="AD99" i="19"/>
  <c r="AD100" i="19"/>
  <c r="AD101" i="19"/>
  <c r="AD102" i="19"/>
  <c r="AD103" i="19"/>
  <c r="AD104" i="19"/>
  <c r="AD105" i="19"/>
  <c r="AD106" i="19"/>
  <c r="AD107" i="19"/>
  <c r="AD108" i="19"/>
  <c r="AD109" i="19"/>
  <c r="AD110" i="19"/>
  <c r="AD111" i="19"/>
  <c r="AD112"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D261" i="19"/>
  <c r="AD262" i="19"/>
  <c r="AD263" i="19"/>
  <c r="AD264" i="19"/>
  <c r="AD265" i="19"/>
  <c r="AD266" i="19"/>
  <c r="AD267" i="19"/>
  <c r="AD268" i="19"/>
  <c r="AD269" i="19"/>
  <c r="AD270" i="19"/>
  <c r="AD271" i="19"/>
  <c r="AD272" i="19"/>
  <c r="AD273" i="19"/>
  <c r="AD274" i="19"/>
  <c r="AD275" i="19"/>
  <c r="AD276" i="19"/>
  <c r="AD277" i="19"/>
  <c r="AD278" i="19"/>
  <c r="AD279" i="19"/>
  <c r="AD280" i="19"/>
  <c r="AD281" i="19"/>
  <c r="AD282" i="19"/>
  <c r="AD283" i="19"/>
  <c r="AD284" i="19"/>
  <c r="AD285" i="19"/>
  <c r="AD286" i="19"/>
  <c r="AD287" i="19"/>
  <c r="AD288" i="19"/>
  <c r="AD289" i="19"/>
  <c r="AD290" i="19"/>
  <c r="AD291" i="19"/>
  <c r="AD292" i="19"/>
  <c r="AD293" i="19"/>
  <c r="AD294" i="19"/>
  <c r="AD295" i="19"/>
  <c r="AD296" i="19"/>
  <c r="AD297" i="19"/>
  <c r="AD298" i="19"/>
  <c r="AD299" i="19"/>
  <c r="AD300" i="19"/>
  <c r="AD301" i="19"/>
  <c r="AD302" i="19"/>
  <c r="AD303" i="19"/>
  <c r="AD304" i="19"/>
  <c r="AD305" i="19"/>
  <c r="AD306" i="19"/>
  <c r="AD307" i="19"/>
  <c r="AD308" i="19"/>
  <c r="AD309" i="19"/>
  <c r="AD310" i="19"/>
  <c r="AD311" i="19"/>
  <c r="AD312" i="19"/>
  <c r="AD313" i="19"/>
  <c r="AD314" i="19"/>
  <c r="AD315" i="19"/>
  <c r="AD316" i="19"/>
  <c r="AD317" i="19"/>
  <c r="AD318" i="19"/>
  <c r="AD319" i="19"/>
  <c r="AD320" i="19"/>
  <c r="AD321" i="19"/>
  <c r="AD322" i="19"/>
  <c r="AD323" i="19"/>
  <c r="AD324" i="19"/>
  <c r="AD7" i="19"/>
  <c r="AB8" i="19"/>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34" i="19"/>
  <c r="AB35" i="19"/>
  <c r="AB36" i="19"/>
  <c r="AB37" i="19"/>
  <c r="AB38" i="19"/>
  <c r="AB39" i="19"/>
  <c r="AB40" i="19"/>
  <c r="AB41" i="19"/>
  <c r="AB42" i="19"/>
  <c r="AB43" i="19"/>
  <c r="AB44" i="19"/>
  <c r="AB45" i="19"/>
  <c r="AB46" i="19"/>
  <c r="AB47" i="19"/>
  <c r="AB48" i="19"/>
  <c r="AB49" i="19"/>
  <c r="AB50" i="19"/>
  <c r="AB51" i="19"/>
  <c r="AB52" i="19"/>
  <c r="AB53" i="19"/>
  <c r="AB54" i="19"/>
  <c r="AB55" i="19"/>
  <c r="AB56" i="19"/>
  <c r="AB57" i="19"/>
  <c r="AB58" i="19"/>
  <c r="AB59" i="19"/>
  <c r="AB60" i="19"/>
  <c r="AB61" i="19"/>
  <c r="AB62" i="19"/>
  <c r="AB63" i="19"/>
  <c r="AB64" i="19"/>
  <c r="AB65" i="19"/>
  <c r="AB66" i="19"/>
  <c r="AB67" i="19"/>
  <c r="AB68" i="19"/>
  <c r="AB69" i="19"/>
  <c r="AB70" i="19"/>
  <c r="AB71" i="19"/>
  <c r="AB72" i="19"/>
  <c r="AB73" i="19"/>
  <c r="AB74" i="19"/>
  <c r="AB75" i="19"/>
  <c r="AB76" i="19"/>
  <c r="AB77" i="19"/>
  <c r="AB78" i="19"/>
  <c r="AB79" i="19"/>
  <c r="AB80" i="19"/>
  <c r="AB81" i="19"/>
  <c r="AB82" i="19"/>
  <c r="AB83" i="19"/>
  <c r="AB84" i="19"/>
  <c r="AB85" i="19"/>
  <c r="AB86" i="19"/>
  <c r="AB87" i="19"/>
  <c r="AB88" i="19"/>
  <c r="AB89" i="19"/>
  <c r="AB90" i="19"/>
  <c r="AB91" i="19"/>
  <c r="AB92" i="19"/>
  <c r="AB93" i="19"/>
  <c r="AB94" i="19"/>
  <c r="AB95" i="19"/>
  <c r="AB96" i="19"/>
  <c r="AB97" i="19"/>
  <c r="AB98" i="19"/>
  <c r="AB99" i="19"/>
  <c r="AB100" i="19"/>
  <c r="AB101" i="19"/>
  <c r="AB102" i="19"/>
  <c r="AB103" i="19"/>
  <c r="AB104" i="19"/>
  <c r="AB105" i="19"/>
  <c r="AB106" i="19"/>
  <c r="AB107" i="19"/>
  <c r="AB108" i="19"/>
  <c r="AB109" i="19"/>
  <c r="AB110" i="19"/>
  <c r="AB111" i="19"/>
  <c r="AB112" i="19"/>
  <c r="AB113" i="19"/>
  <c r="AB114" i="19"/>
  <c r="AB115" i="19"/>
  <c r="AB116" i="19"/>
  <c r="AB117" i="19"/>
  <c r="AB118" i="19"/>
  <c r="AB119" i="19"/>
  <c r="AB120" i="19"/>
  <c r="AB121" i="19"/>
  <c r="AB122" i="19"/>
  <c r="AB123" i="19"/>
  <c r="AB124" i="19"/>
  <c r="AB125" i="19"/>
  <c r="AB126" i="19"/>
  <c r="AB127" i="19"/>
  <c r="AB128" i="19"/>
  <c r="AB129" i="19"/>
  <c r="AB130" i="19"/>
  <c r="AB131" i="19"/>
  <c r="AB132" i="19"/>
  <c r="AB133" i="19"/>
  <c r="AB134" i="19"/>
  <c r="AB135" i="19"/>
  <c r="AB136" i="19"/>
  <c r="AB137" i="19"/>
  <c r="AB138" i="19"/>
  <c r="AB139" i="19"/>
  <c r="AB140" i="19"/>
  <c r="AB141" i="19"/>
  <c r="AB142" i="19"/>
  <c r="AB143" i="19"/>
  <c r="AB144" i="19"/>
  <c r="AB145" i="19"/>
  <c r="AB146" i="19"/>
  <c r="AB147" i="19"/>
  <c r="AB148" i="19"/>
  <c r="AB149" i="19"/>
  <c r="AB150" i="19"/>
  <c r="AB151" i="19"/>
  <c r="AB152" i="19"/>
  <c r="AB153" i="19"/>
  <c r="AB154" i="19"/>
  <c r="AB155" i="19"/>
  <c r="AB156" i="19"/>
  <c r="AB157" i="19"/>
  <c r="AB158" i="19"/>
  <c r="AB159" i="19"/>
  <c r="AB160" i="19"/>
  <c r="AB161" i="19"/>
  <c r="AB162" i="19"/>
  <c r="AB163" i="19"/>
  <c r="AB164" i="19"/>
  <c r="AB165" i="19"/>
  <c r="AB166" i="19"/>
  <c r="AB167" i="19"/>
  <c r="AB168" i="19"/>
  <c r="AB169" i="19"/>
  <c r="AB170" i="19"/>
  <c r="AB171" i="19"/>
  <c r="AB172" i="19"/>
  <c r="AB173" i="19"/>
  <c r="AB174" i="19"/>
  <c r="AB175" i="19"/>
  <c r="AB176" i="19"/>
  <c r="AB177" i="19"/>
  <c r="AB178" i="19"/>
  <c r="AB179" i="19"/>
  <c r="AB180" i="19"/>
  <c r="AB181" i="19"/>
  <c r="AB182" i="19"/>
  <c r="AB183" i="19"/>
  <c r="AB184" i="19"/>
  <c r="AB185" i="19"/>
  <c r="AB186" i="19"/>
  <c r="AB187" i="19"/>
  <c r="AB188" i="19"/>
  <c r="AB189" i="19"/>
  <c r="AB190" i="19"/>
  <c r="AB191" i="19"/>
  <c r="AB192" i="19"/>
  <c r="AB193" i="19"/>
  <c r="AB194" i="19"/>
  <c r="AB195" i="19"/>
  <c r="AB196" i="19"/>
  <c r="AB197" i="19"/>
  <c r="AB198" i="19"/>
  <c r="AB199" i="19"/>
  <c r="AB200" i="19"/>
  <c r="AB201" i="19"/>
  <c r="AB202" i="19"/>
  <c r="AB203" i="19"/>
  <c r="AB204" i="19"/>
  <c r="AB205" i="19"/>
  <c r="AB206" i="19"/>
  <c r="AB207" i="19"/>
  <c r="AB208" i="19"/>
  <c r="AB209" i="19"/>
  <c r="AB210" i="19"/>
  <c r="AB211" i="19"/>
  <c r="AB212" i="19"/>
  <c r="AB213" i="19"/>
  <c r="AB214" i="19"/>
  <c r="AB215" i="19"/>
  <c r="AB216" i="19"/>
  <c r="AB217" i="19"/>
  <c r="AB218" i="19"/>
  <c r="AB219" i="19"/>
  <c r="AB220" i="19"/>
  <c r="AB221" i="19"/>
  <c r="AB222" i="19"/>
  <c r="AB223" i="19"/>
  <c r="AB224" i="19"/>
  <c r="AB225" i="19"/>
  <c r="AB226" i="19"/>
  <c r="AB227" i="19"/>
  <c r="AB228" i="19"/>
  <c r="AB229" i="19"/>
  <c r="AB230" i="19"/>
  <c r="AB231" i="19"/>
  <c r="AB232" i="19"/>
  <c r="AB233" i="19"/>
  <c r="AB234" i="19"/>
  <c r="AB235" i="19"/>
  <c r="AB236" i="19"/>
  <c r="AB237" i="19"/>
  <c r="AB238" i="19"/>
  <c r="AB239" i="19"/>
  <c r="AB240" i="19"/>
  <c r="AB241" i="19"/>
  <c r="AB242" i="19"/>
  <c r="AB243" i="19"/>
  <c r="AB244" i="19"/>
  <c r="AB245" i="19"/>
  <c r="AB246" i="19"/>
  <c r="AB247" i="19"/>
  <c r="AB248" i="19"/>
  <c r="AB249" i="19"/>
  <c r="AB250" i="19"/>
  <c r="AB251" i="19"/>
  <c r="AB252" i="19"/>
  <c r="AB253" i="19"/>
  <c r="AB254" i="19"/>
  <c r="AB255" i="19"/>
  <c r="AB256" i="19"/>
  <c r="AB257" i="19"/>
  <c r="AB258" i="19"/>
  <c r="AB259" i="19"/>
  <c r="AB260" i="19"/>
  <c r="AB261" i="19"/>
  <c r="AB262" i="19"/>
  <c r="AB263" i="19"/>
  <c r="AB264" i="19"/>
  <c r="AB265" i="19"/>
  <c r="AB266" i="19"/>
  <c r="AB267" i="19"/>
  <c r="AB268" i="19"/>
  <c r="AB269" i="19"/>
  <c r="AB270" i="19"/>
  <c r="AB271" i="19"/>
  <c r="AB272" i="19"/>
  <c r="AB273" i="19"/>
  <c r="AB274" i="19"/>
  <c r="AB275" i="19"/>
  <c r="AB276" i="19"/>
  <c r="AB277" i="19"/>
  <c r="AB278" i="19"/>
  <c r="AB279" i="19"/>
  <c r="AB280" i="19"/>
  <c r="AB281" i="19"/>
  <c r="AB282" i="19"/>
  <c r="AB283" i="19"/>
  <c r="AB284" i="19"/>
  <c r="AB285" i="19"/>
  <c r="AB286" i="19"/>
  <c r="AB287" i="19"/>
  <c r="AB288" i="19"/>
  <c r="AB289" i="19"/>
  <c r="AB290" i="19"/>
  <c r="AB291" i="19"/>
  <c r="AB292" i="19"/>
  <c r="AB293" i="19"/>
  <c r="AB294" i="19"/>
  <c r="AB295" i="19"/>
  <c r="AB296" i="19"/>
  <c r="AB297" i="19"/>
  <c r="AB298" i="19"/>
  <c r="AB299" i="19"/>
  <c r="AB300" i="19"/>
  <c r="AB301" i="19"/>
  <c r="AB302" i="19"/>
  <c r="AB303" i="19"/>
  <c r="AB304" i="19"/>
  <c r="AB305" i="19"/>
  <c r="AB306" i="19"/>
  <c r="AB307" i="19"/>
  <c r="AB308" i="19"/>
  <c r="AB309" i="19"/>
  <c r="AB310" i="19"/>
  <c r="AB311" i="19"/>
  <c r="AB312" i="19"/>
  <c r="AB313" i="19"/>
  <c r="AB314" i="19"/>
  <c r="AB315" i="19"/>
  <c r="AB316" i="19"/>
  <c r="AB317" i="19"/>
  <c r="AB318" i="19"/>
  <c r="AB319" i="19"/>
  <c r="AB320" i="19"/>
  <c r="AB321" i="19"/>
  <c r="AB322" i="19"/>
  <c r="AB323" i="19"/>
  <c r="AB324" i="19"/>
  <c r="AB7" i="19"/>
  <c r="S265" i="42" l="1"/>
  <c r="C281" i="42" l="1"/>
  <c r="AM325" i="42" l="1"/>
  <c r="AR325" i="42" l="1"/>
  <c r="AC234" i="42" l="1"/>
  <c r="AC224" i="42"/>
  <c r="AE217" i="42" l="1"/>
  <c r="Z217" i="42"/>
  <c r="AL49" i="42" l="1"/>
  <c r="W325" i="42" l="1"/>
  <c r="U325" i="42"/>
  <c r="C325" i="42" l="1"/>
  <c r="D325" i="42"/>
  <c r="F325" i="42"/>
  <c r="G325" i="42"/>
  <c r="H325" i="42"/>
  <c r="P117" i="19" l="1"/>
  <c r="M4" i="11" l="1"/>
  <c r="I4" i="11"/>
  <c r="C324" i="13" l="1"/>
  <c r="D324" i="13"/>
  <c r="E324" i="13"/>
  <c r="F324" i="13"/>
  <c r="G324" i="13"/>
  <c r="I324" i="13"/>
  <c r="M8" i="42" l="1"/>
  <c r="X8" i="42" s="1"/>
  <c r="M9" i="42"/>
  <c r="X9" i="42" s="1"/>
  <c r="M10" i="42"/>
  <c r="X10" i="42" s="1"/>
  <c r="M11" i="42"/>
  <c r="X11" i="42" s="1"/>
  <c r="M12" i="42"/>
  <c r="X12" i="42" s="1"/>
  <c r="M13" i="42"/>
  <c r="X13" i="42" s="1"/>
  <c r="M14" i="42"/>
  <c r="X14" i="42" s="1"/>
  <c r="M15" i="42"/>
  <c r="X15" i="42" s="1"/>
  <c r="M16" i="42"/>
  <c r="X16" i="42" s="1"/>
  <c r="M17" i="42"/>
  <c r="X17" i="42" s="1"/>
  <c r="M18" i="42"/>
  <c r="X18" i="42" s="1"/>
  <c r="M19" i="42"/>
  <c r="X19" i="42" s="1"/>
  <c r="M20" i="42"/>
  <c r="X20" i="42" s="1"/>
  <c r="M21" i="42"/>
  <c r="X21" i="42" s="1"/>
  <c r="M22" i="42"/>
  <c r="X22" i="42" s="1"/>
  <c r="M23" i="42"/>
  <c r="X23" i="42" s="1"/>
  <c r="M24" i="42"/>
  <c r="X24" i="42" s="1"/>
  <c r="M25" i="42"/>
  <c r="X25" i="42" s="1"/>
  <c r="M26" i="42"/>
  <c r="X26" i="42" s="1"/>
  <c r="M27" i="42"/>
  <c r="X27" i="42" s="1"/>
  <c r="M28" i="42"/>
  <c r="X28" i="42" s="1"/>
  <c r="M29" i="42"/>
  <c r="X29" i="42" s="1"/>
  <c r="M30" i="42"/>
  <c r="X30" i="42" s="1"/>
  <c r="M31" i="42"/>
  <c r="X31" i="42" s="1"/>
  <c r="M32" i="42"/>
  <c r="X32" i="42" s="1"/>
  <c r="M33" i="42"/>
  <c r="X33" i="42" s="1"/>
  <c r="M34" i="42"/>
  <c r="X34" i="42" s="1"/>
  <c r="M35" i="42"/>
  <c r="X35" i="42" s="1"/>
  <c r="M36" i="42"/>
  <c r="X36" i="42" s="1"/>
  <c r="M37" i="42"/>
  <c r="X37" i="42" s="1"/>
  <c r="M38" i="42"/>
  <c r="X38" i="42" s="1"/>
  <c r="M39" i="42"/>
  <c r="X39" i="42" s="1"/>
  <c r="M40" i="42"/>
  <c r="X40" i="42" s="1"/>
  <c r="M41" i="42"/>
  <c r="X41" i="42" s="1"/>
  <c r="M42" i="42"/>
  <c r="X42" i="42" s="1"/>
  <c r="M43" i="42"/>
  <c r="X43" i="42" s="1"/>
  <c r="M44" i="42"/>
  <c r="X44" i="42" s="1"/>
  <c r="M45" i="42"/>
  <c r="X45" i="42" s="1"/>
  <c r="M46" i="42"/>
  <c r="X46" i="42" s="1"/>
  <c r="M47" i="42"/>
  <c r="X47" i="42" s="1"/>
  <c r="M48" i="42"/>
  <c r="X48" i="42" s="1"/>
  <c r="M49" i="42"/>
  <c r="X49" i="42" s="1"/>
  <c r="M50" i="42"/>
  <c r="X50" i="42" s="1"/>
  <c r="M51" i="42"/>
  <c r="X51" i="42" s="1"/>
  <c r="M52" i="42"/>
  <c r="X52" i="42" s="1"/>
  <c r="M53" i="42"/>
  <c r="X53" i="42" s="1"/>
  <c r="M54" i="42"/>
  <c r="X54" i="42" s="1"/>
  <c r="M55" i="42"/>
  <c r="X55" i="42" s="1"/>
  <c r="M56" i="42"/>
  <c r="X56" i="42" s="1"/>
  <c r="M57" i="42"/>
  <c r="X57" i="42" s="1"/>
  <c r="M58" i="42"/>
  <c r="X58" i="42" s="1"/>
  <c r="M59" i="42"/>
  <c r="X59" i="42" s="1"/>
  <c r="M60" i="42"/>
  <c r="X60" i="42" s="1"/>
  <c r="M61" i="42"/>
  <c r="X61" i="42" s="1"/>
  <c r="M62" i="42"/>
  <c r="X62" i="42" s="1"/>
  <c r="M63" i="42"/>
  <c r="X63" i="42" s="1"/>
  <c r="M64" i="42"/>
  <c r="X64" i="42" s="1"/>
  <c r="M65" i="42"/>
  <c r="X65" i="42" s="1"/>
  <c r="M66" i="42"/>
  <c r="X66" i="42" s="1"/>
  <c r="M67" i="42"/>
  <c r="X67" i="42" s="1"/>
  <c r="M68" i="42"/>
  <c r="X68" i="42" s="1"/>
  <c r="M69" i="42"/>
  <c r="X69" i="42" s="1"/>
  <c r="M70" i="42"/>
  <c r="X70" i="42" s="1"/>
  <c r="M71" i="42"/>
  <c r="X71" i="42" s="1"/>
  <c r="M72" i="42"/>
  <c r="X72" i="42" s="1"/>
  <c r="M73" i="42"/>
  <c r="X73" i="42" s="1"/>
  <c r="M74" i="42"/>
  <c r="X74" i="42" s="1"/>
  <c r="M75" i="42"/>
  <c r="X75" i="42" s="1"/>
  <c r="M76" i="42"/>
  <c r="X76" i="42" s="1"/>
  <c r="M77" i="42"/>
  <c r="X77" i="42" s="1"/>
  <c r="M78" i="42"/>
  <c r="X78" i="42" s="1"/>
  <c r="M79" i="42"/>
  <c r="X79" i="42" s="1"/>
  <c r="M80" i="42"/>
  <c r="X80" i="42" s="1"/>
  <c r="M81" i="42"/>
  <c r="X81" i="42" s="1"/>
  <c r="M82" i="42"/>
  <c r="X82" i="42" s="1"/>
  <c r="M83" i="42"/>
  <c r="X83" i="42" s="1"/>
  <c r="M84" i="42"/>
  <c r="X84" i="42" s="1"/>
  <c r="M85" i="42"/>
  <c r="X85" i="42" s="1"/>
  <c r="M86" i="42"/>
  <c r="X86" i="42" s="1"/>
  <c r="M87" i="42"/>
  <c r="X87" i="42" s="1"/>
  <c r="M88" i="42"/>
  <c r="X88" i="42" s="1"/>
  <c r="M89" i="42"/>
  <c r="X89" i="42" s="1"/>
  <c r="M90" i="42"/>
  <c r="X90" i="42" s="1"/>
  <c r="M91" i="42"/>
  <c r="X91" i="42" s="1"/>
  <c r="M92" i="42"/>
  <c r="X92" i="42" s="1"/>
  <c r="M93" i="42"/>
  <c r="X93" i="42" s="1"/>
  <c r="M94" i="42"/>
  <c r="X94" i="42" s="1"/>
  <c r="M95" i="42"/>
  <c r="X95" i="42" s="1"/>
  <c r="M96" i="42"/>
  <c r="X96" i="42" s="1"/>
  <c r="M97" i="42"/>
  <c r="X97" i="42" s="1"/>
  <c r="M98" i="42"/>
  <c r="X98" i="42" s="1"/>
  <c r="M99" i="42"/>
  <c r="X99" i="42" s="1"/>
  <c r="M100" i="42"/>
  <c r="X100" i="42" s="1"/>
  <c r="M101" i="42"/>
  <c r="X101" i="42" s="1"/>
  <c r="M102" i="42"/>
  <c r="X102" i="42" s="1"/>
  <c r="M103" i="42"/>
  <c r="X103" i="42" s="1"/>
  <c r="M104" i="42"/>
  <c r="X104" i="42" s="1"/>
  <c r="M105" i="42"/>
  <c r="X105" i="42" s="1"/>
  <c r="M106" i="42"/>
  <c r="X106" i="42" s="1"/>
  <c r="M107" i="42"/>
  <c r="X107" i="42" s="1"/>
  <c r="M108" i="42"/>
  <c r="X108" i="42" s="1"/>
  <c r="M109" i="42"/>
  <c r="X109" i="42" s="1"/>
  <c r="M110" i="42"/>
  <c r="X110" i="42" s="1"/>
  <c r="M111" i="42"/>
  <c r="X111" i="42" s="1"/>
  <c r="M112" i="42"/>
  <c r="X112" i="42" s="1"/>
  <c r="M113" i="42"/>
  <c r="X113" i="42" s="1"/>
  <c r="M114" i="42"/>
  <c r="X114" i="42" s="1"/>
  <c r="M115" i="42"/>
  <c r="X115" i="42" s="1"/>
  <c r="M116" i="42"/>
  <c r="X116" i="42" s="1"/>
  <c r="M117" i="42"/>
  <c r="X117" i="42" s="1"/>
  <c r="M118" i="42"/>
  <c r="X118" i="42" s="1"/>
  <c r="M119" i="42"/>
  <c r="X119" i="42" s="1"/>
  <c r="M120" i="42"/>
  <c r="X120" i="42" s="1"/>
  <c r="M121" i="42"/>
  <c r="X121" i="42" s="1"/>
  <c r="M122" i="42"/>
  <c r="X122" i="42" s="1"/>
  <c r="M123" i="42"/>
  <c r="X123" i="42" s="1"/>
  <c r="M124" i="42"/>
  <c r="X124" i="42" s="1"/>
  <c r="M125" i="42"/>
  <c r="X125" i="42" s="1"/>
  <c r="M126" i="42"/>
  <c r="X126" i="42" s="1"/>
  <c r="M127" i="42"/>
  <c r="X127" i="42" s="1"/>
  <c r="M128" i="42"/>
  <c r="X128" i="42" s="1"/>
  <c r="M129" i="42"/>
  <c r="X129" i="42" s="1"/>
  <c r="M130" i="42"/>
  <c r="X130" i="42" s="1"/>
  <c r="M131" i="42"/>
  <c r="X131" i="42" s="1"/>
  <c r="M132" i="42"/>
  <c r="X132" i="42" s="1"/>
  <c r="M133" i="42"/>
  <c r="X133" i="42" s="1"/>
  <c r="M134" i="42"/>
  <c r="X134" i="42" s="1"/>
  <c r="M135" i="42"/>
  <c r="X135" i="42" s="1"/>
  <c r="M136" i="42"/>
  <c r="X136" i="42" s="1"/>
  <c r="M137" i="42"/>
  <c r="X137" i="42" s="1"/>
  <c r="M138" i="42"/>
  <c r="X138" i="42" s="1"/>
  <c r="M139" i="42"/>
  <c r="X139" i="42" s="1"/>
  <c r="M140" i="42"/>
  <c r="X140" i="42" s="1"/>
  <c r="M141" i="42"/>
  <c r="X141" i="42" s="1"/>
  <c r="M142" i="42"/>
  <c r="X142" i="42" s="1"/>
  <c r="M143" i="42"/>
  <c r="X143" i="42" s="1"/>
  <c r="M144" i="42"/>
  <c r="X144" i="42" s="1"/>
  <c r="M145" i="42"/>
  <c r="X145" i="42" s="1"/>
  <c r="M146" i="42"/>
  <c r="X146" i="42" s="1"/>
  <c r="M147" i="42"/>
  <c r="X147" i="42" s="1"/>
  <c r="M148" i="42"/>
  <c r="X148" i="42" s="1"/>
  <c r="M149" i="42"/>
  <c r="X149" i="42" s="1"/>
  <c r="M150" i="42"/>
  <c r="X150" i="42" s="1"/>
  <c r="M151" i="42"/>
  <c r="X151" i="42" s="1"/>
  <c r="M152" i="42"/>
  <c r="X152" i="42" s="1"/>
  <c r="M153" i="42"/>
  <c r="X153" i="42" s="1"/>
  <c r="M154" i="42"/>
  <c r="X154" i="42" s="1"/>
  <c r="M155" i="42"/>
  <c r="X155" i="42" s="1"/>
  <c r="M156" i="42"/>
  <c r="X156" i="42" s="1"/>
  <c r="M157" i="42"/>
  <c r="X157" i="42" s="1"/>
  <c r="M158" i="42"/>
  <c r="X158" i="42" s="1"/>
  <c r="M159" i="42"/>
  <c r="X159" i="42" s="1"/>
  <c r="M160" i="42"/>
  <c r="X160" i="42" s="1"/>
  <c r="M161" i="42"/>
  <c r="X161" i="42" s="1"/>
  <c r="M162" i="42"/>
  <c r="X162" i="42" s="1"/>
  <c r="M163" i="42"/>
  <c r="X163" i="42" s="1"/>
  <c r="M164" i="42"/>
  <c r="X164" i="42" s="1"/>
  <c r="M165" i="42"/>
  <c r="X165" i="42" s="1"/>
  <c r="M166" i="42"/>
  <c r="X166" i="42" s="1"/>
  <c r="M167" i="42"/>
  <c r="X167" i="42" s="1"/>
  <c r="M168" i="42"/>
  <c r="X168" i="42" s="1"/>
  <c r="M169" i="42"/>
  <c r="X169" i="42" s="1"/>
  <c r="M170" i="42"/>
  <c r="X170" i="42" s="1"/>
  <c r="M171" i="42"/>
  <c r="X171" i="42" s="1"/>
  <c r="M172" i="42"/>
  <c r="X172" i="42" s="1"/>
  <c r="M173" i="42"/>
  <c r="X173" i="42" s="1"/>
  <c r="M174" i="42"/>
  <c r="X174" i="42" s="1"/>
  <c r="M175" i="42"/>
  <c r="X175" i="42" s="1"/>
  <c r="M176" i="42"/>
  <c r="X176" i="42" s="1"/>
  <c r="M177" i="42"/>
  <c r="X177" i="42" s="1"/>
  <c r="M178" i="42"/>
  <c r="X178" i="42" s="1"/>
  <c r="M179" i="42"/>
  <c r="X179" i="42" s="1"/>
  <c r="M180" i="42"/>
  <c r="X180" i="42" s="1"/>
  <c r="M181" i="42"/>
  <c r="X181" i="42" s="1"/>
  <c r="M182" i="42"/>
  <c r="X182" i="42" s="1"/>
  <c r="M183" i="42"/>
  <c r="X183" i="42" s="1"/>
  <c r="M184" i="42"/>
  <c r="X184" i="42" s="1"/>
  <c r="M185" i="42"/>
  <c r="X185" i="42" s="1"/>
  <c r="M186" i="42"/>
  <c r="X186" i="42" s="1"/>
  <c r="M187" i="42"/>
  <c r="X187" i="42" s="1"/>
  <c r="M188" i="42"/>
  <c r="X188" i="42" s="1"/>
  <c r="M189" i="42"/>
  <c r="X189" i="42" s="1"/>
  <c r="M190" i="42"/>
  <c r="X190" i="42" s="1"/>
  <c r="M191" i="42"/>
  <c r="X191" i="42" s="1"/>
  <c r="M192" i="42"/>
  <c r="X192" i="42" s="1"/>
  <c r="M193" i="42"/>
  <c r="X193" i="42" s="1"/>
  <c r="M194" i="42"/>
  <c r="X194" i="42" s="1"/>
  <c r="M195" i="42"/>
  <c r="X195" i="42" s="1"/>
  <c r="M196" i="42"/>
  <c r="X196" i="42" s="1"/>
  <c r="M197" i="42"/>
  <c r="X197" i="42" s="1"/>
  <c r="M198" i="42"/>
  <c r="X198" i="42" s="1"/>
  <c r="M199" i="42"/>
  <c r="X199" i="42" s="1"/>
  <c r="M200" i="42"/>
  <c r="X200" i="42" s="1"/>
  <c r="M201" i="42"/>
  <c r="X201" i="42" s="1"/>
  <c r="M202" i="42"/>
  <c r="X202" i="42" s="1"/>
  <c r="M203" i="42"/>
  <c r="X203" i="42" s="1"/>
  <c r="M204" i="42"/>
  <c r="X204" i="42" s="1"/>
  <c r="M205" i="42"/>
  <c r="X205" i="42" s="1"/>
  <c r="M206" i="42"/>
  <c r="X206" i="42" s="1"/>
  <c r="M207" i="42"/>
  <c r="X207" i="42" s="1"/>
  <c r="M208" i="42"/>
  <c r="X208" i="42" s="1"/>
  <c r="M209" i="42"/>
  <c r="X209" i="42" s="1"/>
  <c r="M210" i="42"/>
  <c r="X210" i="42" s="1"/>
  <c r="M211" i="42"/>
  <c r="X211" i="42" s="1"/>
  <c r="M212" i="42"/>
  <c r="X212" i="42" s="1"/>
  <c r="M213" i="42"/>
  <c r="X213" i="42" s="1"/>
  <c r="M214" i="42"/>
  <c r="X214" i="42" s="1"/>
  <c r="M215" i="42"/>
  <c r="X215" i="42" s="1"/>
  <c r="M216" i="42"/>
  <c r="X216" i="42" s="1"/>
  <c r="M217" i="42"/>
  <c r="X217" i="42" s="1"/>
  <c r="M218" i="42"/>
  <c r="X218" i="42" s="1"/>
  <c r="M219" i="42"/>
  <c r="X219" i="42" s="1"/>
  <c r="M220" i="42"/>
  <c r="X220" i="42" s="1"/>
  <c r="M221" i="42"/>
  <c r="X221" i="42" s="1"/>
  <c r="M222" i="42"/>
  <c r="X222" i="42" s="1"/>
  <c r="M223" i="42"/>
  <c r="X223" i="42" s="1"/>
  <c r="M224" i="42"/>
  <c r="X224" i="42" s="1"/>
  <c r="M225" i="42"/>
  <c r="X225" i="42" s="1"/>
  <c r="M226" i="42"/>
  <c r="X226" i="42" s="1"/>
  <c r="M227" i="42"/>
  <c r="X227" i="42" s="1"/>
  <c r="M228" i="42"/>
  <c r="X228" i="42" s="1"/>
  <c r="M229" i="42"/>
  <c r="X229" i="42" s="1"/>
  <c r="M230" i="42"/>
  <c r="X230" i="42" s="1"/>
  <c r="M231" i="42"/>
  <c r="X231" i="42" s="1"/>
  <c r="M232" i="42"/>
  <c r="X232" i="42" s="1"/>
  <c r="M233" i="42"/>
  <c r="X233" i="42" s="1"/>
  <c r="M234" i="42"/>
  <c r="X234" i="42" s="1"/>
  <c r="M235" i="42"/>
  <c r="X235" i="42" s="1"/>
  <c r="M236" i="42"/>
  <c r="X236" i="42" s="1"/>
  <c r="M237" i="42"/>
  <c r="X237" i="42" s="1"/>
  <c r="M238" i="42"/>
  <c r="X238" i="42" s="1"/>
  <c r="M239" i="42"/>
  <c r="X239" i="42" s="1"/>
  <c r="M240" i="42"/>
  <c r="X240" i="42" s="1"/>
  <c r="M241" i="42"/>
  <c r="X241" i="42" s="1"/>
  <c r="M242" i="42"/>
  <c r="X242" i="42" s="1"/>
  <c r="M243" i="42"/>
  <c r="X243" i="42" s="1"/>
  <c r="M244" i="42"/>
  <c r="X244" i="42" s="1"/>
  <c r="M245" i="42"/>
  <c r="X245" i="42" s="1"/>
  <c r="M246" i="42"/>
  <c r="X246" i="42" s="1"/>
  <c r="M247" i="42"/>
  <c r="X247" i="42" s="1"/>
  <c r="M248" i="42"/>
  <c r="X248" i="42" s="1"/>
  <c r="M249" i="42"/>
  <c r="X249" i="42" s="1"/>
  <c r="M250" i="42"/>
  <c r="X250" i="42" s="1"/>
  <c r="M251" i="42"/>
  <c r="X251" i="42" s="1"/>
  <c r="M252" i="42"/>
  <c r="X252" i="42" s="1"/>
  <c r="M253" i="42"/>
  <c r="X253" i="42" s="1"/>
  <c r="M254" i="42"/>
  <c r="X254" i="42" s="1"/>
  <c r="M255" i="42"/>
  <c r="X255" i="42" s="1"/>
  <c r="M256" i="42"/>
  <c r="X256" i="42" s="1"/>
  <c r="M257" i="42"/>
  <c r="X257" i="42" s="1"/>
  <c r="M258" i="42"/>
  <c r="X258" i="42" s="1"/>
  <c r="M259" i="42"/>
  <c r="X259" i="42" s="1"/>
  <c r="M260" i="42"/>
  <c r="X260" i="42" s="1"/>
  <c r="M261" i="42"/>
  <c r="X261" i="42" s="1"/>
  <c r="M262" i="42"/>
  <c r="X262" i="42" s="1"/>
  <c r="M263" i="42"/>
  <c r="X263" i="42" s="1"/>
  <c r="M264" i="42"/>
  <c r="X264" i="42" s="1"/>
  <c r="M265" i="42"/>
  <c r="X265" i="42" s="1"/>
  <c r="M266" i="42"/>
  <c r="X266" i="42" s="1"/>
  <c r="M267" i="42"/>
  <c r="X267" i="42" s="1"/>
  <c r="M268" i="42"/>
  <c r="X268" i="42" s="1"/>
  <c r="M269" i="42"/>
  <c r="X269" i="42" s="1"/>
  <c r="M270" i="42"/>
  <c r="X270" i="42" s="1"/>
  <c r="M271" i="42"/>
  <c r="X271" i="42" s="1"/>
  <c r="M272" i="42"/>
  <c r="X272" i="42" s="1"/>
  <c r="M273" i="42"/>
  <c r="X273" i="42" s="1"/>
  <c r="M274" i="42"/>
  <c r="X274" i="42" s="1"/>
  <c r="M275" i="42"/>
  <c r="X275" i="42" s="1"/>
  <c r="M276" i="42"/>
  <c r="X276" i="42" s="1"/>
  <c r="M277" i="42"/>
  <c r="X277" i="42" s="1"/>
  <c r="M278" i="42"/>
  <c r="X278" i="42" s="1"/>
  <c r="M279" i="42"/>
  <c r="X279" i="42" s="1"/>
  <c r="M280" i="42"/>
  <c r="X280" i="42" s="1"/>
  <c r="M281" i="42"/>
  <c r="X281" i="42" s="1"/>
  <c r="M282" i="42"/>
  <c r="X282" i="42" s="1"/>
  <c r="M283" i="42"/>
  <c r="X283" i="42" s="1"/>
  <c r="M284" i="42"/>
  <c r="X284" i="42" s="1"/>
  <c r="M285" i="42"/>
  <c r="X285" i="42" s="1"/>
  <c r="M286" i="42"/>
  <c r="X286" i="42" s="1"/>
  <c r="M287" i="42"/>
  <c r="X287" i="42" s="1"/>
  <c r="M288" i="42"/>
  <c r="X288" i="42" s="1"/>
  <c r="M289" i="42"/>
  <c r="X289" i="42" s="1"/>
  <c r="M290" i="42"/>
  <c r="X290" i="42" s="1"/>
  <c r="M291" i="42"/>
  <c r="X291" i="42" s="1"/>
  <c r="M292" i="42"/>
  <c r="X292" i="42" s="1"/>
  <c r="M293" i="42"/>
  <c r="X293" i="42" s="1"/>
  <c r="M294" i="42"/>
  <c r="X294" i="42" s="1"/>
  <c r="M295" i="42"/>
  <c r="X295" i="42" s="1"/>
  <c r="M296" i="42"/>
  <c r="X296" i="42" s="1"/>
  <c r="M297" i="42"/>
  <c r="X297" i="42" s="1"/>
  <c r="M298" i="42"/>
  <c r="X298" i="42" s="1"/>
  <c r="M299" i="42"/>
  <c r="X299" i="42" s="1"/>
  <c r="M300" i="42"/>
  <c r="X300" i="42" s="1"/>
  <c r="M301" i="42"/>
  <c r="X301" i="42" s="1"/>
  <c r="M302" i="42"/>
  <c r="X302" i="42" s="1"/>
  <c r="M303" i="42"/>
  <c r="X303" i="42" s="1"/>
  <c r="M304" i="42"/>
  <c r="X304" i="42" s="1"/>
  <c r="M305" i="42"/>
  <c r="X305" i="42" s="1"/>
  <c r="M306" i="42"/>
  <c r="X306" i="42" s="1"/>
  <c r="M307" i="42"/>
  <c r="X307" i="42" s="1"/>
  <c r="M308" i="42"/>
  <c r="X308" i="42" s="1"/>
  <c r="M309" i="42"/>
  <c r="X309" i="42" s="1"/>
  <c r="M310" i="42"/>
  <c r="X310" i="42" s="1"/>
  <c r="M311" i="42"/>
  <c r="X311" i="42" s="1"/>
  <c r="M312" i="42"/>
  <c r="X312" i="42" s="1"/>
  <c r="M313" i="42"/>
  <c r="X313" i="42" s="1"/>
  <c r="M314" i="42"/>
  <c r="X314" i="42" s="1"/>
  <c r="M315" i="42"/>
  <c r="X315" i="42" s="1"/>
  <c r="M316" i="42"/>
  <c r="X316" i="42" s="1"/>
  <c r="M317" i="42"/>
  <c r="X317" i="42" s="1"/>
  <c r="M318" i="42"/>
  <c r="X318" i="42" s="1"/>
  <c r="M319" i="42"/>
  <c r="X319" i="42" s="1"/>
  <c r="M320" i="42"/>
  <c r="X320" i="42" s="1"/>
  <c r="M321" i="42"/>
  <c r="X321" i="42" s="1"/>
  <c r="M322" i="42"/>
  <c r="X322" i="42" s="1"/>
  <c r="M323" i="42"/>
  <c r="X323" i="42" s="1"/>
  <c r="M324" i="42"/>
  <c r="X324" i="42" s="1"/>
  <c r="AL8" i="42"/>
  <c r="AL7" i="42"/>
  <c r="AL323" i="42"/>
  <c r="B6" i="48" l="1"/>
  <c r="F61" i="40" l="1"/>
  <c r="D63" i="40"/>
  <c r="D62" i="40"/>
  <c r="H306" i="13" l="1"/>
  <c r="H301" i="13"/>
  <c r="B25" i="40" l="1"/>
  <c r="C8" i="19" l="1"/>
  <c r="D8" i="19"/>
  <c r="E8" i="19"/>
  <c r="F8" i="19"/>
  <c r="H8" i="19"/>
  <c r="I8" i="19"/>
  <c r="J8" i="19"/>
  <c r="K8" i="19"/>
  <c r="L8" i="19"/>
  <c r="M8" i="19"/>
  <c r="N8" i="19"/>
  <c r="P8" i="19"/>
  <c r="Q8" i="19"/>
  <c r="S8" i="19"/>
  <c r="V8" i="19"/>
  <c r="W8" i="19"/>
  <c r="X8" i="19"/>
  <c r="Z8" i="19"/>
  <c r="D6" i="32" s="1"/>
  <c r="AA8" i="19"/>
  <c r="AC8" i="19"/>
  <c r="AE8" i="19"/>
  <c r="AF8" i="19"/>
  <c r="AG8" i="19"/>
  <c r="AH8" i="19"/>
  <c r="AI8" i="19"/>
  <c r="AJ8" i="19"/>
  <c r="AK8" i="19"/>
  <c r="AL8" i="19"/>
  <c r="AM8" i="19"/>
  <c r="AN8" i="19"/>
  <c r="AO8" i="19"/>
  <c r="AP8" i="19"/>
  <c r="AQ8" i="19"/>
  <c r="AR8" i="19"/>
  <c r="C9" i="19"/>
  <c r="D9" i="19"/>
  <c r="E9" i="19"/>
  <c r="F9" i="19"/>
  <c r="H9" i="19"/>
  <c r="I9" i="19"/>
  <c r="J9" i="19"/>
  <c r="K9" i="19"/>
  <c r="L9" i="19"/>
  <c r="M9" i="19"/>
  <c r="N9" i="19"/>
  <c r="P9" i="19"/>
  <c r="Q9" i="19"/>
  <c r="S9" i="19"/>
  <c r="V9" i="19"/>
  <c r="W9" i="19"/>
  <c r="X9" i="19"/>
  <c r="Z9" i="19"/>
  <c r="D7" i="32" s="1"/>
  <c r="AA9" i="19"/>
  <c r="AC9" i="19"/>
  <c r="AE9" i="19"/>
  <c r="AF9" i="19"/>
  <c r="AG9" i="19"/>
  <c r="AH9" i="19"/>
  <c r="AI9" i="19"/>
  <c r="AJ9" i="19"/>
  <c r="AK9" i="19"/>
  <c r="AL9" i="19"/>
  <c r="AM9" i="19"/>
  <c r="AN9" i="19"/>
  <c r="AO9" i="19"/>
  <c r="AP9" i="19"/>
  <c r="AQ9" i="19"/>
  <c r="AR9" i="19"/>
  <c r="C10" i="19"/>
  <c r="D10" i="19"/>
  <c r="E10" i="19"/>
  <c r="F10" i="19"/>
  <c r="H10" i="19"/>
  <c r="I10" i="19"/>
  <c r="J10" i="19"/>
  <c r="K10" i="19"/>
  <c r="L10" i="19"/>
  <c r="M10" i="19"/>
  <c r="N10" i="19"/>
  <c r="P10" i="19"/>
  <c r="Q10" i="19"/>
  <c r="S10" i="19"/>
  <c r="V10" i="19"/>
  <c r="W10" i="19"/>
  <c r="X10" i="19"/>
  <c r="Z10" i="19"/>
  <c r="D8" i="32" s="1"/>
  <c r="AA10" i="19"/>
  <c r="AC10" i="19"/>
  <c r="AE10" i="19"/>
  <c r="AF10" i="19"/>
  <c r="AG10" i="19"/>
  <c r="AH10" i="19"/>
  <c r="AI10" i="19"/>
  <c r="AJ10" i="19"/>
  <c r="AK10" i="19"/>
  <c r="AL10" i="19"/>
  <c r="AM10" i="19"/>
  <c r="AN10" i="19"/>
  <c r="AO10" i="19"/>
  <c r="AP10" i="19"/>
  <c r="AQ10" i="19"/>
  <c r="AR10" i="19"/>
  <c r="C11" i="19"/>
  <c r="D11" i="19"/>
  <c r="E11" i="19"/>
  <c r="F11" i="19"/>
  <c r="H11" i="19"/>
  <c r="I11" i="19"/>
  <c r="J11" i="19"/>
  <c r="K11" i="19"/>
  <c r="L11" i="19"/>
  <c r="M11" i="19"/>
  <c r="N11" i="19"/>
  <c r="P11" i="19"/>
  <c r="Q11" i="19"/>
  <c r="S11" i="19"/>
  <c r="V11" i="19"/>
  <c r="W11" i="19"/>
  <c r="X11" i="19"/>
  <c r="Z11" i="19"/>
  <c r="D9" i="32" s="1"/>
  <c r="AA11" i="19"/>
  <c r="AC11" i="19"/>
  <c r="AE11" i="19"/>
  <c r="AF11" i="19"/>
  <c r="AG11" i="19"/>
  <c r="AH11" i="19"/>
  <c r="AI11" i="19"/>
  <c r="AJ11" i="19"/>
  <c r="AK11" i="19"/>
  <c r="AL11" i="19"/>
  <c r="AM11" i="19"/>
  <c r="AN11" i="19"/>
  <c r="AO11" i="19"/>
  <c r="AP11" i="19"/>
  <c r="AQ11" i="19"/>
  <c r="AR11" i="19"/>
  <c r="C12" i="19"/>
  <c r="D12" i="19"/>
  <c r="E12" i="19"/>
  <c r="F12" i="19"/>
  <c r="H12" i="19"/>
  <c r="I12" i="19"/>
  <c r="J12" i="19"/>
  <c r="K12" i="19"/>
  <c r="L12" i="19"/>
  <c r="M12" i="19"/>
  <c r="N12" i="19"/>
  <c r="P12" i="19"/>
  <c r="Q12" i="19"/>
  <c r="S12" i="19"/>
  <c r="V12" i="19"/>
  <c r="W12" i="19"/>
  <c r="X12" i="19"/>
  <c r="Z12" i="19"/>
  <c r="D10" i="32" s="1"/>
  <c r="AA12" i="19"/>
  <c r="AC12" i="19"/>
  <c r="AE12" i="19"/>
  <c r="AF12" i="19"/>
  <c r="AG12" i="19"/>
  <c r="AH12" i="19"/>
  <c r="AI12" i="19"/>
  <c r="AJ12" i="19"/>
  <c r="AK12" i="19"/>
  <c r="AL12" i="19"/>
  <c r="AM12" i="19"/>
  <c r="AN12" i="19"/>
  <c r="AO12" i="19"/>
  <c r="AP12" i="19"/>
  <c r="AQ12" i="19"/>
  <c r="AR12" i="19"/>
  <c r="C13" i="19"/>
  <c r="D13" i="19"/>
  <c r="E13" i="19"/>
  <c r="F13" i="19"/>
  <c r="H13" i="19"/>
  <c r="I13" i="19"/>
  <c r="J13" i="19"/>
  <c r="K13" i="19"/>
  <c r="L13" i="19"/>
  <c r="M13" i="19"/>
  <c r="N13" i="19"/>
  <c r="P13" i="19"/>
  <c r="Q13" i="19"/>
  <c r="S13" i="19"/>
  <c r="V13" i="19"/>
  <c r="W13" i="19"/>
  <c r="X13" i="19"/>
  <c r="Z13" i="19"/>
  <c r="D11" i="32" s="1"/>
  <c r="AA13" i="19"/>
  <c r="AC13" i="19"/>
  <c r="AE13" i="19"/>
  <c r="AF13" i="19"/>
  <c r="AG13" i="19"/>
  <c r="AH13" i="19"/>
  <c r="AI13" i="19"/>
  <c r="AJ13" i="19"/>
  <c r="AK13" i="19"/>
  <c r="AL13" i="19"/>
  <c r="AM13" i="19"/>
  <c r="AN13" i="19"/>
  <c r="AO13" i="19"/>
  <c r="AP13" i="19"/>
  <c r="AQ13" i="19"/>
  <c r="AR13" i="19"/>
  <c r="C14" i="19"/>
  <c r="D14" i="19"/>
  <c r="E14" i="19"/>
  <c r="F14" i="19"/>
  <c r="H14" i="19"/>
  <c r="I14" i="19"/>
  <c r="J14" i="19"/>
  <c r="K14" i="19"/>
  <c r="L14" i="19"/>
  <c r="M14" i="19"/>
  <c r="N14" i="19"/>
  <c r="P14" i="19"/>
  <c r="Q14" i="19"/>
  <c r="S14" i="19"/>
  <c r="V14" i="19"/>
  <c r="W14" i="19"/>
  <c r="X14" i="19"/>
  <c r="Z14" i="19"/>
  <c r="D12" i="32" s="1"/>
  <c r="AA14" i="19"/>
  <c r="AC14" i="19"/>
  <c r="AE14" i="19"/>
  <c r="AF14" i="19"/>
  <c r="AG14" i="19"/>
  <c r="AH14" i="19"/>
  <c r="AI14" i="19"/>
  <c r="AJ14" i="19"/>
  <c r="AK14" i="19"/>
  <c r="AL14" i="19"/>
  <c r="AM14" i="19"/>
  <c r="AN14" i="19"/>
  <c r="AO14" i="19"/>
  <c r="AP14" i="19"/>
  <c r="AQ14" i="19"/>
  <c r="AR14" i="19"/>
  <c r="C15" i="19"/>
  <c r="D15" i="19"/>
  <c r="E15" i="19"/>
  <c r="F15" i="19"/>
  <c r="H15" i="19"/>
  <c r="I15" i="19"/>
  <c r="J15" i="19"/>
  <c r="K15" i="19"/>
  <c r="L15" i="19"/>
  <c r="M15" i="19"/>
  <c r="N15" i="19"/>
  <c r="P15" i="19"/>
  <c r="Q15" i="19"/>
  <c r="S15" i="19"/>
  <c r="V15" i="19"/>
  <c r="W15" i="19"/>
  <c r="X15" i="19"/>
  <c r="Z15" i="19"/>
  <c r="D13" i="32" s="1"/>
  <c r="AA15" i="19"/>
  <c r="AC15" i="19"/>
  <c r="AE15" i="19"/>
  <c r="AF15" i="19"/>
  <c r="AG15" i="19"/>
  <c r="AH15" i="19"/>
  <c r="AI15" i="19"/>
  <c r="AJ15" i="19"/>
  <c r="AK15" i="19"/>
  <c r="AL15" i="19"/>
  <c r="AM15" i="19"/>
  <c r="AN15" i="19"/>
  <c r="AO15" i="19"/>
  <c r="AP15" i="19"/>
  <c r="AQ15" i="19"/>
  <c r="AR15" i="19"/>
  <c r="C16" i="19"/>
  <c r="D16" i="19"/>
  <c r="E16" i="19"/>
  <c r="F16" i="19"/>
  <c r="H16" i="19"/>
  <c r="I16" i="19"/>
  <c r="J16" i="19"/>
  <c r="K16" i="19"/>
  <c r="L16" i="19"/>
  <c r="M16" i="19"/>
  <c r="N16" i="19"/>
  <c r="P16" i="19"/>
  <c r="Q16" i="19"/>
  <c r="S16" i="19"/>
  <c r="V16" i="19"/>
  <c r="W16" i="19"/>
  <c r="X16" i="19"/>
  <c r="Z16" i="19"/>
  <c r="D14" i="32" s="1"/>
  <c r="AA16" i="19"/>
  <c r="AC16" i="19"/>
  <c r="AE16" i="19"/>
  <c r="AF16" i="19"/>
  <c r="AG16" i="19"/>
  <c r="AH16" i="19"/>
  <c r="AI16" i="19"/>
  <c r="AJ16" i="19"/>
  <c r="AK16" i="19"/>
  <c r="AL16" i="19"/>
  <c r="AM16" i="19"/>
  <c r="AN16" i="19"/>
  <c r="AO16" i="19"/>
  <c r="AP16" i="19"/>
  <c r="AQ16" i="19"/>
  <c r="AR16" i="19"/>
  <c r="C17" i="19"/>
  <c r="D17" i="19"/>
  <c r="E17" i="19"/>
  <c r="F17" i="19"/>
  <c r="H17" i="19"/>
  <c r="I17" i="19"/>
  <c r="J17" i="19"/>
  <c r="K17" i="19"/>
  <c r="L17" i="19"/>
  <c r="M17" i="19"/>
  <c r="N17" i="19"/>
  <c r="P17" i="19"/>
  <c r="Q17" i="19"/>
  <c r="S17" i="19"/>
  <c r="V17" i="19"/>
  <c r="W17" i="19"/>
  <c r="X17" i="19"/>
  <c r="Z17" i="19"/>
  <c r="D15" i="32" s="1"/>
  <c r="AA17" i="19"/>
  <c r="AC17" i="19"/>
  <c r="AE17" i="19"/>
  <c r="AF17" i="19"/>
  <c r="AG17" i="19"/>
  <c r="AH17" i="19"/>
  <c r="AI17" i="19"/>
  <c r="AJ17" i="19"/>
  <c r="AK17" i="19"/>
  <c r="AL17" i="19"/>
  <c r="AM17" i="19"/>
  <c r="AN17" i="19"/>
  <c r="AO17" i="19"/>
  <c r="AP17" i="19"/>
  <c r="AQ17" i="19"/>
  <c r="AR17" i="19"/>
  <c r="C18" i="19"/>
  <c r="D18" i="19"/>
  <c r="E18" i="19"/>
  <c r="F18" i="19"/>
  <c r="H18" i="19"/>
  <c r="I18" i="19"/>
  <c r="J18" i="19"/>
  <c r="K18" i="19"/>
  <c r="L18" i="19"/>
  <c r="M18" i="19"/>
  <c r="N18" i="19"/>
  <c r="P18" i="19"/>
  <c r="Q18" i="19"/>
  <c r="S18" i="19"/>
  <c r="V18" i="19"/>
  <c r="W18" i="19"/>
  <c r="X18" i="19"/>
  <c r="Z18" i="19"/>
  <c r="AA18" i="19"/>
  <c r="AC18" i="19"/>
  <c r="AE18" i="19"/>
  <c r="AF18" i="19"/>
  <c r="AG18" i="19"/>
  <c r="AH18" i="19"/>
  <c r="AI18" i="19"/>
  <c r="AJ18" i="19"/>
  <c r="AK18" i="19"/>
  <c r="AL18" i="19"/>
  <c r="AM18" i="19"/>
  <c r="AN18" i="19"/>
  <c r="AO18" i="19"/>
  <c r="AP18" i="19"/>
  <c r="AQ18" i="19"/>
  <c r="AR18" i="19"/>
  <c r="C19" i="19"/>
  <c r="D19" i="19"/>
  <c r="E19" i="19"/>
  <c r="F19" i="19"/>
  <c r="H19" i="19"/>
  <c r="I19" i="19"/>
  <c r="J19" i="19"/>
  <c r="K19" i="19"/>
  <c r="L19" i="19"/>
  <c r="M19" i="19"/>
  <c r="N19" i="19"/>
  <c r="P19" i="19"/>
  <c r="Q19" i="19"/>
  <c r="S19" i="19"/>
  <c r="V19" i="19"/>
  <c r="W19" i="19"/>
  <c r="X19" i="19"/>
  <c r="Z19" i="19"/>
  <c r="AA19" i="19"/>
  <c r="AC19" i="19"/>
  <c r="AE19" i="19"/>
  <c r="AF19" i="19"/>
  <c r="AG19" i="19"/>
  <c r="AH19" i="19"/>
  <c r="AI19" i="19"/>
  <c r="AJ19" i="19"/>
  <c r="AK19" i="19"/>
  <c r="AL19" i="19"/>
  <c r="AM19" i="19"/>
  <c r="AN19" i="19"/>
  <c r="AO19" i="19"/>
  <c r="AP19" i="19"/>
  <c r="AQ19" i="19"/>
  <c r="AR19" i="19"/>
  <c r="C20" i="19"/>
  <c r="D20" i="19"/>
  <c r="E20" i="19"/>
  <c r="F20" i="19"/>
  <c r="H20" i="19"/>
  <c r="I20" i="19"/>
  <c r="J20" i="19"/>
  <c r="K20" i="19"/>
  <c r="L20" i="19"/>
  <c r="M20" i="19"/>
  <c r="N20" i="19"/>
  <c r="P20" i="19"/>
  <c r="Q20" i="19"/>
  <c r="S20" i="19"/>
  <c r="V20" i="19"/>
  <c r="W20" i="19"/>
  <c r="X20" i="19"/>
  <c r="Z20" i="19"/>
  <c r="D18" i="32" s="1"/>
  <c r="AA20" i="19"/>
  <c r="AC20" i="19"/>
  <c r="AE20" i="19"/>
  <c r="AF20" i="19"/>
  <c r="AG20" i="19"/>
  <c r="AH20" i="19"/>
  <c r="AI20" i="19"/>
  <c r="AJ20" i="19"/>
  <c r="AK20" i="19"/>
  <c r="AL20" i="19"/>
  <c r="AM20" i="19"/>
  <c r="AN20" i="19"/>
  <c r="AO20" i="19"/>
  <c r="AP20" i="19"/>
  <c r="AQ20" i="19"/>
  <c r="AR20" i="19"/>
  <c r="C21" i="19"/>
  <c r="D21" i="19"/>
  <c r="E21" i="19"/>
  <c r="F21" i="19"/>
  <c r="H21" i="19"/>
  <c r="I21" i="19"/>
  <c r="J21" i="19"/>
  <c r="K21" i="19"/>
  <c r="L21" i="19"/>
  <c r="M21" i="19"/>
  <c r="N21" i="19"/>
  <c r="P21" i="19"/>
  <c r="Q21" i="19"/>
  <c r="S21" i="19"/>
  <c r="V21" i="19"/>
  <c r="W21" i="19"/>
  <c r="X21" i="19"/>
  <c r="Z21" i="19"/>
  <c r="D19" i="32" s="1"/>
  <c r="AA21" i="19"/>
  <c r="AC21" i="19"/>
  <c r="AE21" i="19"/>
  <c r="AF21" i="19"/>
  <c r="AG21" i="19"/>
  <c r="AH21" i="19"/>
  <c r="AI21" i="19"/>
  <c r="AJ21" i="19"/>
  <c r="AK21" i="19"/>
  <c r="AL21" i="19"/>
  <c r="AM21" i="19"/>
  <c r="AN21" i="19"/>
  <c r="AO21" i="19"/>
  <c r="AP21" i="19"/>
  <c r="AQ21" i="19"/>
  <c r="AR21" i="19"/>
  <c r="C22" i="19"/>
  <c r="D22" i="19"/>
  <c r="E22" i="19"/>
  <c r="F22" i="19"/>
  <c r="H22" i="19"/>
  <c r="I22" i="19"/>
  <c r="J22" i="19"/>
  <c r="K22" i="19"/>
  <c r="L22" i="19"/>
  <c r="M22" i="19"/>
  <c r="N22" i="19"/>
  <c r="P22" i="19"/>
  <c r="Q22" i="19"/>
  <c r="S22" i="19"/>
  <c r="V22" i="19"/>
  <c r="W22" i="19"/>
  <c r="X22" i="19"/>
  <c r="Z22" i="19"/>
  <c r="D20" i="32" s="1"/>
  <c r="AA22" i="19"/>
  <c r="AC22" i="19"/>
  <c r="AE22" i="19"/>
  <c r="AF22" i="19"/>
  <c r="AG22" i="19"/>
  <c r="AH22" i="19"/>
  <c r="AI22" i="19"/>
  <c r="AJ22" i="19"/>
  <c r="AK22" i="19"/>
  <c r="AL22" i="19"/>
  <c r="AM22" i="19"/>
  <c r="AN22" i="19"/>
  <c r="AO22" i="19"/>
  <c r="AP22" i="19"/>
  <c r="AQ22" i="19"/>
  <c r="AR22" i="19"/>
  <c r="C23" i="19"/>
  <c r="D23" i="19"/>
  <c r="E23" i="19"/>
  <c r="F23" i="19"/>
  <c r="H23" i="19"/>
  <c r="I23" i="19"/>
  <c r="J23" i="19"/>
  <c r="K23" i="19"/>
  <c r="L23" i="19"/>
  <c r="M23" i="19"/>
  <c r="N23" i="19"/>
  <c r="P23" i="19"/>
  <c r="Q23" i="19"/>
  <c r="S23" i="19"/>
  <c r="V23" i="19"/>
  <c r="W23" i="19"/>
  <c r="X23" i="19"/>
  <c r="Z23" i="19"/>
  <c r="D21" i="32" s="1"/>
  <c r="AA23" i="19"/>
  <c r="AC23" i="19"/>
  <c r="AE23" i="19"/>
  <c r="AF23" i="19"/>
  <c r="AG23" i="19"/>
  <c r="AH23" i="19"/>
  <c r="AI23" i="19"/>
  <c r="AJ23" i="19"/>
  <c r="AK23" i="19"/>
  <c r="AL23" i="19"/>
  <c r="AM23" i="19"/>
  <c r="AN23" i="19"/>
  <c r="AO23" i="19"/>
  <c r="AP23" i="19"/>
  <c r="AQ23" i="19"/>
  <c r="AR23" i="19"/>
  <c r="C24" i="19"/>
  <c r="D24" i="19"/>
  <c r="E24" i="19"/>
  <c r="F24" i="19"/>
  <c r="H24" i="19"/>
  <c r="I24" i="19"/>
  <c r="J24" i="19"/>
  <c r="K24" i="19"/>
  <c r="L24" i="19"/>
  <c r="M24" i="19"/>
  <c r="N24" i="19"/>
  <c r="P24" i="19"/>
  <c r="Q24" i="19"/>
  <c r="S24" i="19"/>
  <c r="V24" i="19"/>
  <c r="W24" i="19"/>
  <c r="X24" i="19"/>
  <c r="Z24" i="19"/>
  <c r="D22" i="32" s="1"/>
  <c r="AA24" i="19"/>
  <c r="AC24" i="19"/>
  <c r="AE24" i="19"/>
  <c r="AF24" i="19"/>
  <c r="AG24" i="19"/>
  <c r="AH24" i="19"/>
  <c r="AI24" i="19"/>
  <c r="AJ24" i="19"/>
  <c r="AK24" i="19"/>
  <c r="AL24" i="19"/>
  <c r="AM24" i="19"/>
  <c r="AN24" i="19"/>
  <c r="AO24" i="19"/>
  <c r="AP24" i="19"/>
  <c r="AQ24" i="19"/>
  <c r="AR24" i="19"/>
  <c r="C25" i="19"/>
  <c r="D25" i="19"/>
  <c r="E25" i="19"/>
  <c r="F25" i="19"/>
  <c r="H25" i="19"/>
  <c r="I25" i="19"/>
  <c r="J25" i="19"/>
  <c r="K25" i="19"/>
  <c r="L25" i="19"/>
  <c r="M25" i="19"/>
  <c r="N25" i="19"/>
  <c r="P25" i="19"/>
  <c r="Q25" i="19"/>
  <c r="S25" i="19"/>
  <c r="V25" i="19"/>
  <c r="W25" i="19"/>
  <c r="X25" i="19"/>
  <c r="Z25" i="19"/>
  <c r="D23" i="32" s="1"/>
  <c r="AA25" i="19"/>
  <c r="AC25" i="19"/>
  <c r="AE25" i="19"/>
  <c r="AF25" i="19"/>
  <c r="AG25" i="19"/>
  <c r="AH25" i="19"/>
  <c r="AI25" i="19"/>
  <c r="AJ25" i="19"/>
  <c r="AK25" i="19"/>
  <c r="AL25" i="19"/>
  <c r="AM25" i="19"/>
  <c r="AN25" i="19"/>
  <c r="AO25" i="19"/>
  <c r="AP25" i="19"/>
  <c r="AQ25" i="19"/>
  <c r="AR25" i="19"/>
  <c r="C26" i="19"/>
  <c r="D26" i="19"/>
  <c r="E26" i="19"/>
  <c r="F26" i="19"/>
  <c r="H26" i="19"/>
  <c r="I26" i="19"/>
  <c r="J26" i="19"/>
  <c r="K26" i="19"/>
  <c r="L26" i="19"/>
  <c r="M26" i="19"/>
  <c r="N26" i="19"/>
  <c r="P26" i="19"/>
  <c r="Q26" i="19"/>
  <c r="S26" i="19"/>
  <c r="V26" i="19"/>
  <c r="W26" i="19"/>
  <c r="X26" i="19"/>
  <c r="Z26" i="19"/>
  <c r="AA26" i="19"/>
  <c r="AC26" i="19"/>
  <c r="AE26" i="19"/>
  <c r="AF26" i="19"/>
  <c r="AG26" i="19"/>
  <c r="AH26" i="19"/>
  <c r="AI26" i="19"/>
  <c r="AJ26" i="19"/>
  <c r="AK26" i="19"/>
  <c r="AL26" i="19"/>
  <c r="AM26" i="19"/>
  <c r="AN26" i="19"/>
  <c r="AO26" i="19"/>
  <c r="AP26" i="19"/>
  <c r="AQ26" i="19"/>
  <c r="AR26" i="19"/>
  <c r="C27" i="19"/>
  <c r="D27" i="19"/>
  <c r="E27" i="19"/>
  <c r="F27" i="19"/>
  <c r="H27" i="19"/>
  <c r="I27" i="19"/>
  <c r="J27" i="19"/>
  <c r="K27" i="19"/>
  <c r="L27" i="19"/>
  <c r="M27" i="19"/>
  <c r="N27" i="19"/>
  <c r="P27" i="19"/>
  <c r="Q27" i="19"/>
  <c r="S27" i="19"/>
  <c r="V27" i="19"/>
  <c r="W27" i="19"/>
  <c r="X27" i="19"/>
  <c r="Z27" i="19"/>
  <c r="AA27" i="19"/>
  <c r="AC27" i="19"/>
  <c r="AE27" i="19"/>
  <c r="AF27" i="19"/>
  <c r="AG27" i="19"/>
  <c r="AH27" i="19"/>
  <c r="AI27" i="19"/>
  <c r="AJ27" i="19"/>
  <c r="AK27" i="19"/>
  <c r="AL27" i="19"/>
  <c r="AM27" i="19"/>
  <c r="AN27" i="19"/>
  <c r="AO27" i="19"/>
  <c r="AP27" i="19"/>
  <c r="AQ27" i="19"/>
  <c r="AR27" i="19"/>
  <c r="C28" i="19"/>
  <c r="D28" i="19"/>
  <c r="E28" i="19"/>
  <c r="F28" i="19"/>
  <c r="H28" i="19"/>
  <c r="I28" i="19"/>
  <c r="J28" i="19"/>
  <c r="K28" i="19"/>
  <c r="L28" i="19"/>
  <c r="M28" i="19"/>
  <c r="N28" i="19"/>
  <c r="P28" i="19"/>
  <c r="Q28" i="19"/>
  <c r="S28" i="19"/>
  <c r="V28" i="19"/>
  <c r="W28" i="19"/>
  <c r="X28" i="19"/>
  <c r="Z28" i="19"/>
  <c r="D26" i="32" s="1"/>
  <c r="AA28" i="19"/>
  <c r="AC28" i="19"/>
  <c r="AE28" i="19"/>
  <c r="AF28" i="19"/>
  <c r="AG28" i="19"/>
  <c r="AH28" i="19"/>
  <c r="AI28" i="19"/>
  <c r="AJ28" i="19"/>
  <c r="AK28" i="19"/>
  <c r="AL28" i="19"/>
  <c r="AM28" i="19"/>
  <c r="AN28" i="19"/>
  <c r="AO28" i="19"/>
  <c r="AP28" i="19"/>
  <c r="AQ28" i="19"/>
  <c r="AR28" i="19"/>
  <c r="C29" i="19"/>
  <c r="D29" i="19"/>
  <c r="E29" i="19"/>
  <c r="F29" i="19"/>
  <c r="H29" i="19"/>
  <c r="I29" i="19"/>
  <c r="J29" i="19"/>
  <c r="K29" i="19"/>
  <c r="L29" i="19"/>
  <c r="M29" i="19"/>
  <c r="N29" i="19"/>
  <c r="P29" i="19"/>
  <c r="Q29" i="19"/>
  <c r="S29" i="19"/>
  <c r="V29" i="19"/>
  <c r="W29" i="19"/>
  <c r="X29" i="19"/>
  <c r="Z29" i="19"/>
  <c r="D27" i="32" s="1"/>
  <c r="AA29" i="19"/>
  <c r="AC29" i="19"/>
  <c r="AE29" i="19"/>
  <c r="AF29" i="19"/>
  <c r="AG29" i="19"/>
  <c r="AH29" i="19"/>
  <c r="AI29" i="19"/>
  <c r="AJ29" i="19"/>
  <c r="AK29" i="19"/>
  <c r="AL29" i="19"/>
  <c r="AM29" i="19"/>
  <c r="AN29" i="19"/>
  <c r="AO29" i="19"/>
  <c r="AP29" i="19"/>
  <c r="AQ29" i="19"/>
  <c r="AR29" i="19"/>
  <c r="C30" i="19"/>
  <c r="D30" i="19"/>
  <c r="E30" i="19"/>
  <c r="F30" i="19"/>
  <c r="H30" i="19"/>
  <c r="I30" i="19"/>
  <c r="J30" i="19"/>
  <c r="K30" i="19"/>
  <c r="L30" i="19"/>
  <c r="M30" i="19"/>
  <c r="N30" i="19"/>
  <c r="P30" i="19"/>
  <c r="Q30" i="19"/>
  <c r="S30" i="19"/>
  <c r="V30" i="19"/>
  <c r="W30" i="19"/>
  <c r="X30" i="19"/>
  <c r="Z30" i="19"/>
  <c r="D28" i="32" s="1"/>
  <c r="AA30" i="19"/>
  <c r="AC30" i="19"/>
  <c r="AE30" i="19"/>
  <c r="AF30" i="19"/>
  <c r="AG30" i="19"/>
  <c r="AH30" i="19"/>
  <c r="AI30" i="19"/>
  <c r="AJ30" i="19"/>
  <c r="AK30" i="19"/>
  <c r="AL30" i="19"/>
  <c r="AM30" i="19"/>
  <c r="AN30" i="19"/>
  <c r="AO30" i="19"/>
  <c r="AP30" i="19"/>
  <c r="AQ30" i="19"/>
  <c r="AR30" i="19"/>
  <c r="C31" i="19"/>
  <c r="D31" i="19"/>
  <c r="E31" i="19"/>
  <c r="F31" i="19"/>
  <c r="H31" i="19"/>
  <c r="I31" i="19"/>
  <c r="J31" i="19"/>
  <c r="K31" i="19"/>
  <c r="L31" i="19"/>
  <c r="M31" i="19"/>
  <c r="N31" i="19"/>
  <c r="P31" i="19"/>
  <c r="Q31" i="19"/>
  <c r="S31" i="19"/>
  <c r="V31" i="19"/>
  <c r="W31" i="19"/>
  <c r="X31" i="19"/>
  <c r="Z31" i="19"/>
  <c r="D29" i="32" s="1"/>
  <c r="AA31" i="19"/>
  <c r="AC31" i="19"/>
  <c r="AE31" i="19"/>
  <c r="AF31" i="19"/>
  <c r="AG31" i="19"/>
  <c r="AH31" i="19"/>
  <c r="AI31" i="19"/>
  <c r="AJ31" i="19"/>
  <c r="AK31" i="19"/>
  <c r="AL31" i="19"/>
  <c r="AM31" i="19"/>
  <c r="AN31" i="19"/>
  <c r="AO31" i="19"/>
  <c r="AP31" i="19"/>
  <c r="AQ31" i="19"/>
  <c r="AR31" i="19"/>
  <c r="C32" i="19"/>
  <c r="D32" i="19"/>
  <c r="E32" i="19"/>
  <c r="F32" i="19"/>
  <c r="H32" i="19"/>
  <c r="I32" i="19"/>
  <c r="J32" i="19"/>
  <c r="K32" i="19"/>
  <c r="L32" i="19"/>
  <c r="M32" i="19"/>
  <c r="N32" i="19"/>
  <c r="P32" i="19"/>
  <c r="Q32" i="19"/>
  <c r="S32" i="19"/>
  <c r="V32" i="19"/>
  <c r="W32" i="19"/>
  <c r="X32" i="19"/>
  <c r="Z32" i="19"/>
  <c r="D30" i="32" s="1"/>
  <c r="AA32" i="19"/>
  <c r="AC32" i="19"/>
  <c r="AE32" i="19"/>
  <c r="AF32" i="19"/>
  <c r="AG32" i="19"/>
  <c r="AH32" i="19"/>
  <c r="AI32" i="19"/>
  <c r="AJ32" i="19"/>
  <c r="AK32" i="19"/>
  <c r="AL32" i="19"/>
  <c r="AM32" i="19"/>
  <c r="AN32" i="19"/>
  <c r="AO32" i="19"/>
  <c r="AP32" i="19"/>
  <c r="AQ32" i="19"/>
  <c r="AR32" i="19"/>
  <c r="C33" i="19"/>
  <c r="D33" i="19"/>
  <c r="E33" i="19"/>
  <c r="F33" i="19"/>
  <c r="H33" i="19"/>
  <c r="I33" i="19"/>
  <c r="J33" i="19"/>
  <c r="K33" i="19"/>
  <c r="L33" i="19"/>
  <c r="M33" i="19"/>
  <c r="N33" i="19"/>
  <c r="P33" i="19"/>
  <c r="Q33" i="19"/>
  <c r="S33" i="19"/>
  <c r="V33" i="19"/>
  <c r="W33" i="19"/>
  <c r="X33" i="19"/>
  <c r="Z33" i="19"/>
  <c r="D31" i="32" s="1"/>
  <c r="AA33" i="19"/>
  <c r="AC33" i="19"/>
  <c r="AE33" i="19"/>
  <c r="AF33" i="19"/>
  <c r="AG33" i="19"/>
  <c r="AH33" i="19"/>
  <c r="AI33" i="19"/>
  <c r="AJ33" i="19"/>
  <c r="AK33" i="19"/>
  <c r="AL33" i="19"/>
  <c r="AM33" i="19"/>
  <c r="AN33" i="19"/>
  <c r="AO33" i="19"/>
  <c r="AP33" i="19"/>
  <c r="AQ33" i="19"/>
  <c r="AR33" i="19"/>
  <c r="C34" i="19"/>
  <c r="D34" i="19"/>
  <c r="E34" i="19"/>
  <c r="F34" i="19"/>
  <c r="H34" i="19"/>
  <c r="I34" i="19"/>
  <c r="J34" i="19"/>
  <c r="K34" i="19"/>
  <c r="L34" i="19"/>
  <c r="M34" i="19"/>
  <c r="N34" i="19"/>
  <c r="P34" i="19"/>
  <c r="Q34" i="19"/>
  <c r="S34" i="19"/>
  <c r="V34" i="19"/>
  <c r="W34" i="19"/>
  <c r="X34" i="19"/>
  <c r="Z34" i="19"/>
  <c r="D32" i="32" s="1"/>
  <c r="AA34" i="19"/>
  <c r="AC34" i="19"/>
  <c r="AE34" i="19"/>
  <c r="AF34" i="19"/>
  <c r="AG34" i="19"/>
  <c r="AH34" i="19"/>
  <c r="AI34" i="19"/>
  <c r="AJ34" i="19"/>
  <c r="AK34" i="19"/>
  <c r="AL34" i="19"/>
  <c r="AM34" i="19"/>
  <c r="AN34" i="19"/>
  <c r="AO34" i="19"/>
  <c r="AP34" i="19"/>
  <c r="AQ34" i="19"/>
  <c r="AR34" i="19"/>
  <c r="C35" i="19"/>
  <c r="D35" i="19"/>
  <c r="E35" i="19"/>
  <c r="F35" i="19"/>
  <c r="H35" i="19"/>
  <c r="I35" i="19"/>
  <c r="J35" i="19"/>
  <c r="K35" i="19"/>
  <c r="L35" i="19"/>
  <c r="M35" i="19"/>
  <c r="N35" i="19"/>
  <c r="P35" i="19"/>
  <c r="Q35" i="19"/>
  <c r="S35" i="19"/>
  <c r="V35" i="19"/>
  <c r="W35" i="19"/>
  <c r="X35" i="19"/>
  <c r="Z35" i="19"/>
  <c r="D33" i="32" s="1"/>
  <c r="AA35" i="19"/>
  <c r="AC35" i="19"/>
  <c r="AE35" i="19"/>
  <c r="AF35" i="19"/>
  <c r="AG35" i="19"/>
  <c r="AH35" i="19"/>
  <c r="AI35" i="19"/>
  <c r="AJ35" i="19"/>
  <c r="AK35" i="19"/>
  <c r="AL35" i="19"/>
  <c r="AM35" i="19"/>
  <c r="AN35" i="19"/>
  <c r="AO35" i="19"/>
  <c r="AP35" i="19"/>
  <c r="AQ35" i="19"/>
  <c r="AR35" i="19"/>
  <c r="C36" i="19"/>
  <c r="D36" i="19"/>
  <c r="E36" i="19"/>
  <c r="F36" i="19"/>
  <c r="H36" i="19"/>
  <c r="I36" i="19"/>
  <c r="J36" i="19"/>
  <c r="K36" i="19"/>
  <c r="L36" i="19"/>
  <c r="M36" i="19"/>
  <c r="N36" i="19"/>
  <c r="P36" i="19"/>
  <c r="Q36" i="19"/>
  <c r="S36" i="19"/>
  <c r="V36" i="19"/>
  <c r="W36" i="19"/>
  <c r="X36" i="19"/>
  <c r="Z36" i="19"/>
  <c r="D34" i="32" s="1"/>
  <c r="AA36" i="19"/>
  <c r="AC36" i="19"/>
  <c r="AE36" i="19"/>
  <c r="AF36" i="19"/>
  <c r="AG36" i="19"/>
  <c r="AH36" i="19"/>
  <c r="AI36" i="19"/>
  <c r="AJ36" i="19"/>
  <c r="AK36" i="19"/>
  <c r="AL36" i="19"/>
  <c r="AM36" i="19"/>
  <c r="AN36" i="19"/>
  <c r="AO36" i="19"/>
  <c r="AP36" i="19"/>
  <c r="AQ36" i="19"/>
  <c r="AR36" i="19"/>
  <c r="C37" i="19"/>
  <c r="D37" i="19"/>
  <c r="E37" i="19"/>
  <c r="F37" i="19"/>
  <c r="H37" i="19"/>
  <c r="I37" i="19"/>
  <c r="J37" i="19"/>
  <c r="K37" i="19"/>
  <c r="L37" i="19"/>
  <c r="M37" i="19"/>
  <c r="N37" i="19"/>
  <c r="P37" i="19"/>
  <c r="Q37" i="19"/>
  <c r="S37" i="19"/>
  <c r="V37" i="19"/>
  <c r="W37" i="19"/>
  <c r="X37" i="19"/>
  <c r="Z37" i="19"/>
  <c r="D35" i="32" s="1"/>
  <c r="AA37" i="19"/>
  <c r="AC37" i="19"/>
  <c r="AE37" i="19"/>
  <c r="AF37" i="19"/>
  <c r="AG37" i="19"/>
  <c r="AH37" i="19"/>
  <c r="AI37" i="19"/>
  <c r="AJ37" i="19"/>
  <c r="AK37" i="19"/>
  <c r="AL37" i="19"/>
  <c r="AM37" i="19"/>
  <c r="AN37" i="19"/>
  <c r="AO37" i="19"/>
  <c r="AP37" i="19"/>
  <c r="AQ37" i="19"/>
  <c r="AR37" i="19"/>
  <c r="C38" i="19"/>
  <c r="D38" i="19"/>
  <c r="E38" i="19"/>
  <c r="F38" i="19"/>
  <c r="H38" i="19"/>
  <c r="I38" i="19"/>
  <c r="J38" i="19"/>
  <c r="K38" i="19"/>
  <c r="L38" i="19"/>
  <c r="M38" i="19"/>
  <c r="N38" i="19"/>
  <c r="P38" i="19"/>
  <c r="Q38" i="19"/>
  <c r="S38" i="19"/>
  <c r="V38" i="19"/>
  <c r="W38" i="19"/>
  <c r="X38" i="19"/>
  <c r="Z38" i="19"/>
  <c r="D36" i="32" s="1"/>
  <c r="AA38" i="19"/>
  <c r="AC38" i="19"/>
  <c r="AE38" i="19"/>
  <c r="AF38" i="19"/>
  <c r="AG38" i="19"/>
  <c r="AH38" i="19"/>
  <c r="AI38" i="19"/>
  <c r="AJ38" i="19"/>
  <c r="AK38" i="19"/>
  <c r="AL38" i="19"/>
  <c r="AM38" i="19"/>
  <c r="AN38" i="19"/>
  <c r="AO38" i="19"/>
  <c r="AP38" i="19"/>
  <c r="AQ38" i="19"/>
  <c r="AR38" i="19"/>
  <c r="C39" i="19"/>
  <c r="D39" i="19"/>
  <c r="E39" i="19"/>
  <c r="F39" i="19"/>
  <c r="H39" i="19"/>
  <c r="I39" i="19"/>
  <c r="J39" i="19"/>
  <c r="K39" i="19"/>
  <c r="L39" i="19"/>
  <c r="M39" i="19"/>
  <c r="N39" i="19"/>
  <c r="P39" i="19"/>
  <c r="Q39" i="19"/>
  <c r="S39" i="19"/>
  <c r="V39" i="19"/>
  <c r="W39" i="19"/>
  <c r="X39" i="19"/>
  <c r="Z39" i="19"/>
  <c r="D37" i="32" s="1"/>
  <c r="AA39" i="19"/>
  <c r="AC39" i="19"/>
  <c r="AE39" i="19"/>
  <c r="AF39" i="19"/>
  <c r="AG39" i="19"/>
  <c r="AH39" i="19"/>
  <c r="AI39" i="19"/>
  <c r="AJ39" i="19"/>
  <c r="AK39" i="19"/>
  <c r="AL39" i="19"/>
  <c r="AM39" i="19"/>
  <c r="AN39" i="19"/>
  <c r="AO39" i="19"/>
  <c r="AP39" i="19"/>
  <c r="AQ39" i="19"/>
  <c r="AR39" i="19"/>
  <c r="C40" i="19"/>
  <c r="D40" i="19"/>
  <c r="E40" i="19"/>
  <c r="F40" i="19"/>
  <c r="H40" i="19"/>
  <c r="I40" i="19"/>
  <c r="J40" i="19"/>
  <c r="K40" i="19"/>
  <c r="L40" i="19"/>
  <c r="M40" i="19"/>
  <c r="N40" i="19"/>
  <c r="P40" i="19"/>
  <c r="Q40" i="19"/>
  <c r="S40" i="19"/>
  <c r="V40" i="19"/>
  <c r="W40" i="19"/>
  <c r="X40" i="19"/>
  <c r="Z40" i="19"/>
  <c r="D38" i="32" s="1"/>
  <c r="AA40" i="19"/>
  <c r="AC40" i="19"/>
  <c r="AE40" i="19"/>
  <c r="AF40" i="19"/>
  <c r="AG40" i="19"/>
  <c r="AH40" i="19"/>
  <c r="AI40" i="19"/>
  <c r="AJ40" i="19"/>
  <c r="AK40" i="19"/>
  <c r="AL40" i="19"/>
  <c r="AM40" i="19"/>
  <c r="AN40" i="19"/>
  <c r="AO40" i="19"/>
  <c r="AP40" i="19"/>
  <c r="AQ40" i="19"/>
  <c r="AR40" i="19"/>
  <c r="C41" i="19"/>
  <c r="D41" i="19"/>
  <c r="E41" i="19"/>
  <c r="F41" i="19"/>
  <c r="H41" i="19"/>
  <c r="I41" i="19"/>
  <c r="J41" i="19"/>
  <c r="K41" i="19"/>
  <c r="L41" i="19"/>
  <c r="M41" i="19"/>
  <c r="N41" i="19"/>
  <c r="P41" i="19"/>
  <c r="Q41" i="19"/>
  <c r="S41" i="19"/>
  <c r="V41" i="19"/>
  <c r="W41" i="19"/>
  <c r="X41" i="19"/>
  <c r="Z41" i="19"/>
  <c r="D39" i="32" s="1"/>
  <c r="AA41" i="19"/>
  <c r="AC41" i="19"/>
  <c r="AE41" i="19"/>
  <c r="AF41" i="19"/>
  <c r="AG41" i="19"/>
  <c r="AH41" i="19"/>
  <c r="AI41" i="19"/>
  <c r="AJ41" i="19"/>
  <c r="AK41" i="19"/>
  <c r="AL41" i="19"/>
  <c r="AM41" i="19"/>
  <c r="AN41" i="19"/>
  <c r="AO41" i="19"/>
  <c r="AP41" i="19"/>
  <c r="AQ41" i="19"/>
  <c r="AR41" i="19"/>
  <c r="C42" i="19"/>
  <c r="D42" i="19"/>
  <c r="E42" i="19"/>
  <c r="F42" i="19"/>
  <c r="H42" i="19"/>
  <c r="I42" i="19"/>
  <c r="J42" i="19"/>
  <c r="K42" i="19"/>
  <c r="L42" i="19"/>
  <c r="M42" i="19"/>
  <c r="N42" i="19"/>
  <c r="P42" i="19"/>
  <c r="Q42" i="19"/>
  <c r="S42" i="19"/>
  <c r="V42" i="19"/>
  <c r="W42" i="19"/>
  <c r="X42" i="19"/>
  <c r="Z42" i="19"/>
  <c r="D40" i="32" s="1"/>
  <c r="AA42" i="19"/>
  <c r="AC42" i="19"/>
  <c r="AE42" i="19"/>
  <c r="AF42" i="19"/>
  <c r="AG42" i="19"/>
  <c r="AH42" i="19"/>
  <c r="AI42" i="19"/>
  <c r="AJ42" i="19"/>
  <c r="AK42" i="19"/>
  <c r="AL42" i="19"/>
  <c r="AM42" i="19"/>
  <c r="AN42" i="19"/>
  <c r="AO42" i="19"/>
  <c r="AP42" i="19"/>
  <c r="AQ42" i="19"/>
  <c r="AR42" i="19"/>
  <c r="C43" i="19"/>
  <c r="D43" i="19"/>
  <c r="E43" i="19"/>
  <c r="F43" i="19"/>
  <c r="H43" i="19"/>
  <c r="I43" i="19"/>
  <c r="J43" i="19"/>
  <c r="K43" i="19"/>
  <c r="L43" i="19"/>
  <c r="M43" i="19"/>
  <c r="N43" i="19"/>
  <c r="P43" i="19"/>
  <c r="Q43" i="19"/>
  <c r="S43" i="19"/>
  <c r="V43" i="19"/>
  <c r="W43" i="19"/>
  <c r="X43" i="19"/>
  <c r="Z43" i="19"/>
  <c r="D41" i="32" s="1"/>
  <c r="AA43" i="19"/>
  <c r="AC43" i="19"/>
  <c r="AE43" i="19"/>
  <c r="AF43" i="19"/>
  <c r="AG43" i="19"/>
  <c r="AH43" i="19"/>
  <c r="AI43" i="19"/>
  <c r="AJ43" i="19"/>
  <c r="AK43" i="19"/>
  <c r="AL43" i="19"/>
  <c r="AM43" i="19"/>
  <c r="AN43" i="19"/>
  <c r="AO43" i="19"/>
  <c r="AP43" i="19"/>
  <c r="AQ43" i="19"/>
  <c r="AR43" i="19"/>
  <c r="C44" i="19"/>
  <c r="D44" i="19"/>
  <c r="E44" i="19"/>
  <c r="F44" i="19"/>
  <c r="H44" i="19"/>
  <c r="I44" i="19"/>
  <c r="J44" i="19"/>
  <c r="K44" i="19"/>
  <c r="L44" i="19"/>
  <c r="M44" i="19"/>
  <c r="N44" i="19"/>
  <c r="P44" i="19"/>
  <c r="Q44" i="19"/>
  <c r="S44" i="19"/>
  <c r="V44" i="19"/>
  <c r="W44" i="19"/>
  <c r="X44" i="19"/>
  <c r="Z44" i="19"/>
  <c r="D42" i="32" s="1"/>
  <c r="AA44" i="19"/>
  <c r="AC44" i="19"/>
  <c r="AE44" i="19"/>
  <c r="AF44" i="19"/>
  <c r="AG44" i="19"/>
  <c r="AH44" i="19"/>
  <c r="AI44" i="19"/>
  <c r="AJ44" i="19"/>
  <c r="AK44" i="19"/>
  <c r="AL44" i="19"/>
  <c r="AM44" i="19"/>
  <c r="AN44" i="19"/>
  <c r="AO44" i="19"/>
  <c r="AP44" i="19"/>
  <c r="AQ44" i="19"/>
  <c r="AR44" i="19"/>
  <c r="C45" i="19"/>
  <c r="D45" i="19"/>
  <c r="E45" i="19"/>
  <c r="F45" i="19"/>
  <c r="H45" i="19"/>
  <c r="I45" i="19"/>
  <c r="J45" i="19"/>
  <c r="K45" i="19"/>
  <c r="L45" i="19"/>
  <c r="M45" i="19"/>
  <c r="N45" i="19"/>
  <c r="P45" i="19"/>
  <c r="Q45" i="19"/>
  <c r="S45" i="19"/>
  <c r="V45" i="19"/>
  <c r="W45" i="19"/>
  <c r="X45" i="19"/>
  <c r="Z45" i="19"/>
  <c r="D43" i="32" s="1"/>
  <c r="AA45" i="19"/>
  <c r="AC45" i="19"/>
  <c r="AE45" i="19"/>
  <c r="AF45" i="19"/>
  <c r="AG45" i="19"/>
  <c r="AH45" i="19"/>
  <c r="AI45" i="19"/>
  <c r="AJ45" i="19"/>
  <c r="AK45" i="19"/>
  <c r="AL45" i="19"/>
  <c r="AM45" i="19"/>
  <c r="AN45" i="19"/>
  <c r="AO45" i="19"/>
  <c r="AP45" i="19"/>
  <c r="AQ45" i="19"/>
  <c r="AR45" i="19"/>
  <c r="C46" i="19"/>
  <c r="D46" i="19"/>
  <c r="E46" i="19"/>
  <c r="F46" i="19"/>
  <c r="H46" i="19"/>
  <c r="I46" i="19"/>
  <c r="J46" i="19"/>
  <c r="K46" i="19"/>
  <c r="L46" i="19"/>
  <c r="M46" i="19"/>
  <c r="N46" i="19"/>
  <c r="P46" i="19"/>
  <c r="Q46" i="19"/>
  <c r="S46" i="19"/>
  <c r="V46" i="19"/>
  <c r="W46" i="19"/>
  <c r="X46" i="19"/>
  <c r="Z46" i="19"/>
  <c r="D44" i="32" s="1"/>
  <c r="AA46" i="19"/>
  <c r="AC46" i="19"/>
  <c r="AE46" i="19"/>
  <c r="AF46" i="19"/>
  <c r="AG46" i="19"/>
  <c r="AH46" i="19"/>
  <c r="AI46" i="19"/>
  <c r="AJ46" i="19"/>
  <c r="AK46" i="19"/>
  <c r="AL46" i="19"/>
  <c r="AM46" i="19"/>
  <c r="AN46" i="19"/>
  <c r="AO46" i="19"/>
  <c r="AP46" i="19"/>
  <c r="AQ46" i="19"/>
  <c r="AR46" i="19"/>
  <c r="C47" i="19"/>
  <c r="D47" i="19"/>
  <c r="E47" i="19"/>
  <c r="F47" i="19"/>
  <c r="H47" i="19"/>
  <c r="I47" i="19"/>
  <c r="J47" i="19"/>
  <c r="K47" i="19"/>
  <c r="L47" i="19"/>
  <c r="M47" i="19"/>
  <c r="N47" i="19"/>
  <c r="P47" i="19"/>
  <c r="Q47" i="19"/>
  <c r="S47" i="19"/>
  <c r="V47" i="19"/>
  <c r="W47" i="19"/>
  <c r="X47" i="19"/>
  <c r="Z47" i="19"/>
  <c r="D45" i="32" s="1"/>
  <c r="AA47" i="19"/>
  <c r="AC47" i="19"/>
  <c r="AE47" i="19"/>
  <c r="AF47" i="19"/>
  <c r="AG47" i="19"/>
  <c r="AH47" i="19"/>
  <c r="AI47" i="19"/>
  <c r="AJ47" i="19"/>
  <c r="AK47" i="19"/>
  <c r="AL47" i="19"/>
  <c r="AM47" i="19"/>
  <c r="AN47" i="19"/>
  <c r="AO47" i="19"/>
  <c r="AP47" i="19"/>
  <c r="AQ47" i="19"/>
  <c r="AR47" i="19"/>
  <c r="C48" i="19"/>
  <c r="D48" i="19"/>
  <c r="E48" i="19"/>
  <c r="F48" i="19"/>
  <c r="H48" i="19"/>
  <c r="I48" i="19"/>
  <c r="J48" i="19"/>
  <c r="K48" i="19"/>
  <c r="L48" i="19"/>
  <c r="M48" i="19"/>
  <c r="N48" i="19"/>
  <c r="P48" i="19"/>
  <c r="Q48" i="19"/>
  <c r="S48" i="19"/>
  <c r="V48" i="19"/>
  <c r="W48" i="19"/>
  <c r="X48" i="19"/>
  <c r="Z48" i="19"/>
  <c r="D46" i="32" s="1"/>
  <c r="AA48" i="19"/>
  <c r="AC48" i="19"/>
  <c r="AE48" i="19"/>
  <c r="AF48" i="19"/>
  <c r="AG48" i="19"/>
  <c r="AH48" i="19"/>
  <c r="AI48" i="19"/>
  <c r="AJ48" i="19"/>
  <c r="AK48" i="19"/>
  <c r="AL48" i="19"/>
  <c r="AM48" i="19"/>
  <c r="AN48" i="19"/>
  <c r="AO48" i="19"/>
  <c r="AP48" i="19"/>
  <c r="AQ48" i="19"/>
  <c r="AR48" i="19"/>
  <c r="C49" i="19"/>
  <c r="D49" i="19"/>
  <c r="E49" i="19"/>
  <c r="F49" i="19"/>
  <c r="H49" i="19"/>
  <c r="I49" i="19"/>
  <c r="J49" i="19"/>
  <c r="K49" i="19"/>
  <c r="L49" i="19"/>
  <c r="M49" i="19"/>
  <c r="N49" i="19"/>
  <c r="P49" i="19"/>
  <c r="Q49" i="19"/>
  <c r="S49" i="19"/>
  <c r="V49" i="19"/>
  <c r="W49" i="19"/>
  <c r="X49" i="19"/>
  <c r="Z49" i="19"/>
  <c r="D47" i="32" s="1"/>
  <c r="AA49" i="19"/>
  <c r="AC49" i="19"/>
  <c r="AE49" i="19"/>
  <c r="AF49" i="19"/>
  <c r="AG49" i="19"/>
  <c r="AH49" i="19"/>
  <c r="AI49" i="19"/>
  <c r="AJ49" i="19"/>
  <c r="AK49" i="19"/>
  <c r="AL49" i="19"/>
  <c r="AM49" i="19"/>
  <c r="AN49" i="19"/>
  <c r="AO49" i="19"/>
  <c r="AP49" i="19"/>
  <c r="AQ49" i="19"/>
  <c r="AR49" i="19"/>
  <c r="C50" i="19"/>
  <c r="D50" i="19"/>
  <c r="E50" i="19"/>
  <c r="F50" i="19"/>
  <c r="H50" i="19"/>
  <c r="I50" i="19"/>
  <c r="J50" i="19"/>
  <c r="K50" i="19"/>
  <c r="L50" i="19"/>
  <c r="M50" i="19"/>
  <c r="N50" i="19"/>
  <c r="P50" i="19"/>
  <c r="Q50" i="19"/>
  <c r="S50" i="19"/>
  <c r="V50" i="19"/>
  <c r="W50" i="19"/>
  <c r="X50" i="19"/>
  <c r="Z50" i="19"/>
  <c r="D48" i="32" s="1"/>
  <c r="AA50" i="19"/>
  <c r="AC50" i="19"/>
  <c r="AE50" i="19"/>
  <c r="AF50" i="19"/>
  <c r="AG50" i="19"/>
  <c r="AH50" i="19"/>
  <c r="AI50" i="19"/>
  <c r="AJ50" i="19"/>
  <c r="AK50" i="19"/>
  <c r="AL50" i="19"/>
  <c r="AM50" i="19"/>
  <c r="AN50" i="19"/>
  <c r="AO50" i="19"/>
  <c r="AP50" i="19"/>
  <c r="AQ50" i="19"/>
  <c r="AR50" i="19"/>
  <c r="C51" i="19"/>
  <c r="D51" i="19"/>
  <c r="E51" i="19"/>
  <c r="F51" i="19"/>
  <c r="H51" i="19"/>
  <c r="I51" i="19"/>
  <c r="J51" i="19"/>
  <c r="K51" i="19"/>
  <c r="L51" i="19"/>
  <c r="M51" i="19"/>
  <c r="N51" i="19"/>
  <c r="P51" i="19"/>
  <c r="Q51" i="19"/>
  <c r="S51" i="19"/>
  <c r="V51" i="19"/>
  <c r="W51" i="19"/>
  <c r="X51" i="19"/>
  <c r="Z51" i="19"/>
  <c r="D49" i="32" s="1"/>
  <c r="AA51" i="19"/>
  <c r="AC51" i="19"/>
  <c r="AE51" i="19"/>
  <c r="AF51" i="19"/>
  <c r="AG51" i="19"/>
  <c r="AH51" i="19"/>
  <c r="AI51" i="19"/>
  <c r="AJ51" i="19"/>
  <c r="AK51" i="19"/>
  <c r="AL51" i="19"/>
  <c r="AM51" i="19"/>
  <c r="AN51" i="19"/>
  <c r="AO51" i="19"/>
  <c r="AP51" i="19"/>
  <c r="AQ51" i="19"/>
  <c r="AR51" i="19"/>
  <c r="C52" i="19"/>
  <c r="D52" i="19"/>
  <c r="E52" i="19"/>
  <c r="F52" i="19"/>
  <c r="H52" i="19"/>
  <c r="I52" i="19"/>
  <c r="J52" i="19"/>
  <c r="K52" i="19"/>
  <c r="L52" i="19"/>
  <c r="M52" i="19"/>
  <c r="N52" i="19"/>
  <c r="P52" i="19"/>
  <c r="Q52" i="19"/>
  <c r="S52" i="19"/>
  <c r="V52" i="19"/>
  <c r="W52" i="19"/>
  <c r="X52" i="19"/>
  <c r="Z52" i="19"/>
  <c r="D50" i="32" s="1"/>
  <c r="AA52" i="19"/>
  <c r="AC52" i="19"/>
  <c r="AE52" i="19"/>
  <c r="AF52" i="19"/>
  <c r="AG52" i="19"/>
  <c r="AH52" i="19"/>
  <c r="AI52" i="19"/>
  <c r="AJ52" i="19"/>
  <c r="AK52" i="19"/>
  <c r="AL52" i="19"/>
  <c r="AM52" i="19"/>
  <c r="AN52" i="19"/>
  <c r="AO52" i="19"/>
  <c r="AP52" i="19"/>
  <c r="AQ52" i="19"/>
  <c r="AR52" i="19"/>
  <c r="C53" i="19"/>
  <c r="D53" i="19"/>
  <c r="E53" i="19"/>
  <c r="F53" i="19"/>
  <c r="H53" i="19"/>
  <c r="I53" i="19"/>
  <c r="J53" i="19"/>
  <c r="K53" i="19"/>
  <c r="L53" i="19"/>
  <c r="M53" i="19"/>
  <c r="N53" i="19"/>
  <c r="P53" i="19"/>
  <c r="Q53" i="19"/>
  <c r="S53" i="19"/>
  <c r="V53" i="19"/>
  <c r="W53" i="19"/>
  <c r="X53" i="19"/>
  <c r="Z53" i="19"/>
  <c r="AA53" i="19"/>
  <c r="AC53" i="19"/>
  <c r="AE53" i="19"/>
  <c r="AF53" i="19"/>
  <c r="AG53" i="19"/>
  <c r="AH53" i="19"/>
  <c r="AI53" i="19"/>
  <c r="AJ53" i="19"/>
  <c r="AK53" i="19"/>
  <c r="AL53" i="19"/>
  <c r="AM53" i="19"/>
  <c r="AN53" i="19"/>
  <c r="AO53" i="19"/>
  <c r="AP53" i="19"/>
  <c r="AQ53" i="19"/>
  <c r="AR53" i="19"/>
  <c r="C54" i="19"/>
  <c r="D54" i="19"/>
  <c r="E54" i="19"/>
  <c r="F54" i="19"/>
  <c r="H54" i="19"/>
  <c r="I54" i="19"/>
  <c r="J54" i="19"/>
  <c r="K54" i="19"/>
  <c r="L54" i="19"/>
  <c r="M54" i="19"/>
  <c r="N54" i="19"/>
  <c r="P54" i="19"/>
  <c r="Q54" i="19"/>
  <c r="S54" i="19"/>
  <c r="V54" i="19"/>
  <c r="W54" i="19"/>
  <c r="X54" i="19"/>
  <c r="Z54" i="19"/>
  <c r="D52" i="32" s="1"/>
  <c r="AA54" i="19"/>
  <c r="AC54" i="19"/>
  <c r="AE54" i="19"/>
  <c r="AF54" i="19"/>
  <c r="AG54" i="19"/>
  <c r="AH54" i="19"/>
  <c r="AI54" i="19"/>
  <c r="AJ54" i="19"/>
  <c r="AK54" i="19"/>
  <c r="AL54" i="19"/>
  <c r="AM54" i="19"/>
  <c r="AN54" i="19"/>
  <c r="AO54" i="19"/>
  <c r="AP54" i="19"/>
  <c r="AQ54" i="19"/>
  <c r="AR54" i="19"/>
  <c r="C55" i="19"/>
  <c r="D55" i="19"/>
  <c r="E55" i="19"/>
  <c r="F55" i="19"/>
  <c r="H55" i="19"/>
  <c r="I55" i="19"/>
  <c r="J55" i="19"/>
  <c r="K55" i="19"/>
  <c r="L55" i="19"/>
  <c r="M55" i="19"/>
  <c r="N55" i="19"/>
  <c r="P55" i="19"/>
  <c r="Q55" i="19"/>
  <c r="S55" i="19"/>
  <c r="V55" i="19"/>
  <c r="W55" i="19"/>
  <c r="X55" i="19"/>
  <c r="Z55" i="19"/>
  <c r="D53" i="32" s="1"/>
  <c r="AA55" i="19"/>
  <c r="AC55" i="19"/>
  <c r="AE55" i="19"/>
  <c r="AF55" i="19"/>
  <c r="AG55" i="19"/>
  <c r="AH55" i="19"/>
  <c r="AI55" i="19"/>
  <c r="AJ55" i="19"/>
  <c r="AK55" i="19"/>
  <c r="AL55" i="19"/>
  <c r="AM55" i="19"/>
  <c r="AN55" i="19"/>
  <c r="AO55" i="19"/>
  <c r="AP55" i="19"/>
  <c r="AQ55" i="19"/>
  <c r="AR55" i="19"/>
  <c r="C56" i="19"/>
  <c r="D56" i="19"/>
  <c r="E56" i="19"/>
  <c r="F56" i="19"/>
  <c r="H56" i="19"/>
  <c r="I56" i="19"/>
  <c r="J56" i="19"/>
  <c r="K56" i="19"/>
  <c r="L56" i="19"/>
  <c r="M56" i="19"/>
  <c r="N56" i="19"/>
  <c r="P56" i="19"/>
  <c r="Q56" i="19"/>
  <c r="S56" i="19"/>
  <c r="V56" i="19"/>
  <c r="W56" i="19"/>
  <c r="X56" i="19"/>
  <c r="Z56" i="19"/>
  <c r="AA56" i="19"/>
  <c r="AC56" i="19"/>
  <c r="AE56" i="19"/>
  <c r="AF56" i="19"/>
  <c r="AG56" i="19"/>
  <c r="AH56" i="19"/>
  <c r="AI56" i="19"/>
  <c r="AJ56" i="19"/>
  <c r="AK56" i="19"/>
  <c r="AL56" i="19"/>
  <c r="AM56" i="19"/>
  <c r="AN56" i="19"/>
  <c r="AO56" i="19"/>
  <c r="AP56" i="19"/>
  <c r="AQ56" i="19"/>
  <c r="AR56" i="19"/>
  <c r="C57" i="19"/>
  <c r="D57" i="19"/>
  <c r="E57" i="19"/>
  <c r="F57" i="19"/>
  <c r="H57" i="19"/>
  <c r="I57" i="19"/>
  <c r="J57" i="19"/>
  <c r="K57" i="19"/>
  <c r="L57" i="19"/>
  <c r="M57" i="19"/>
  <c r="N57" i="19"/>
  <c r="P57" i="19"/>
  <c r="Q57" i="19"/>
  <c r="S57" i="19"/>
  <c r="V57" i="19"/>
  <c r="W57" i="19"/>
  <c r="X57" i="19"/>
  <c r="Z57" i="19"/>
  <c r="D55" i="32" s="1"/>
  <c r="AA57" i="19"/>
  <c r="AC57" i="19"/>
  <c r="AE57" i="19"/>
  <c r="AF57" i="19"/>
  <c r="AG57" i="19"/>
  <c r="AH57" i="19"/>
  <c r="AI57" i="19"/>
  <c r="AJ57" i="19"/>
  <c r="AK57" i="19"/>
  <c r="AL57" i="19"/>
  <c r="AM57" i="19"/>
  <c r="AN57" i="19"/>
  <c r="AO57" i="19"/>
  <c r="AP57" i="19"/>
  <c r="AQ57" i="19"/>
  <c r="AR57" i="19"/>
  <c r="C58" i="19"/>
  <c r="D58" i="19"/>
  <c r="E58" i="19"/>
  <c r="F58" i="19"/>
  <c r="H58" i="19"/>
  <c r="I58" i="19"/>
  <c r="J58" i="19"/>
  <c r="K58" i="19"/>
  <c r="L58" i="19"/>
  <c r="M58" i="19"/>
  <c r="N58" i="19"/>
  <c r="P58" i="19"/>
  <c r="Q58" i="19"/>
  <c r="S58" i="19"/>
  <c r="V58" i="19"/>
  <c r="W58" i="19"/>
  <c r="X58" i="19"/>
  <c r="Z58" i="19"/>
  <c r="D56" i="32" s="1"/>
  <c r="AA58" i="19"/>
  <c r="AC58" i="19"/>
  <c r="AE58" i="19"/>
  <c r="AF58" i="19"/>
  <c r="AG58" i="19"/>
  <c r="AH58" i="19"/>
  <c r="AI58" i="19"/>
  <c r="AJ58" i="19"/>
  <c r="AK58" i="19"/>
  <c r="AL58" i="19"/>
  <c r="AM58" i="19"/>
  <c r="AN58" i="19"/>
  <c r="AO58" i="19"/>
  <c r="AP58" i="19"/>
  <c r="AQ58" i="19"/>
  <c r="AR58" i="19"/>
  <c r="C59" i="19"/>
  <c r="D59" i="19"/>
  <c r="E59" i="19"/>
  <c r="F59" i="19"/>
  <c r="H59" i="19"/>
  <c r="I59" i="19"/>
  <c r="J59" i="19"/>
  <c r="K59" i="19"/>
  <c r="L59" i="19"/>
  <c r="M59" i="19"/>
  <c r="N59" i="19"/>
  <c r="P59" i="19"/>
  <c r="Q59" i="19"/>
  <c r="S59" i="19"/>
  <c r="V59" i="19"/>
  <c r="W59" i="19"/>
  <c r="X59" i="19"/>
  <c r="Z59" i="19"/>
  <c r="D57" i="32" s="1"/>
  <c r="AA59" i="19"/>
  <c r="AC59" i="19"/>
  <c r="AE59" i="19"/>
  <c r="AF59" i="19"/>
  <c r="AG59" i="19"/>
  <c r="AH59" i="19"/>
  <c r="AI59" i="19"/>
  <c r="AJ59" i="19"/>
  <c r="AK59" i="19"/>
  <c r="AL59" i="19"/>
  <c r="AM59" i="19"/>
  <c r="AN59" i="19"/>
  <c r="AO59" i="19"/>
  <c r="AP59" i="19"/>
  <c r="AQ59" i="19"/>
  <c r="AR59" i="19"/>
  <c r="C60" i="19"/>
  <c r="D60" i="19"/>
  <c r="E60" i="19"/>
  <c r="F60" i="19"/>
  <c r="H60" i="19"/>
  <c r="I60" i="19"/>
  <c r="J60" i="19"/>
  <c r="K60" i="19"/>
  <c r="L60" i="19"/>
  <c r="M60" i="19"/>
  <c r="N60" i="19"/>
  <c r="P60" i="19"/>
  <c r="Q60" i="19"/>
  <c r="S60" i="19"/>
  <c r="V60" i="19"/>
  <c r="W60" i="19"/>
  <c r="X60" i="19"/>
  <c r="Z60" i="19"/>
  <c r="D58" i="32" s="1"/>
  <c r="AA60" i="19"/>
  <c r="AC60" i="19"/>
  <c r="AE60" i="19"/>
  <c r="AF60" i="19"/>
  <c r="AG60" i="19"/>
  <c r="AH60" i="19"/>
  <c r="AI60" i="19"/>
  <c r="AJ60" i="19"/>
  <c r="AK60" i="19"/>
  <c r="AL60" i="19"/>
  <c r="AM60" i="19"/>
  <c r="AN60" i="19"/>
  <c r="AO60" i="19"/>
  <c r="AP60" i="19"/>
  <c r="AQ60" i="19"/>
  <c r="AR60" i="19"/>
  <c r="C61" i="19"/>
  <c r="D61" i="19"/>
  <c r="E61" i="19"/>
  <c r="F61" i="19"/>
  <c r="H61" i="19"/>
  <c r="I61" i="19"/>
  <c r="J61" i="19"/>
  <c r="K61" i="19"/>
  <c r="L61" i="19"/>
  <c r="M61" i="19"/>
  <c r="N61" i="19"/>
  <c r="P61" i="19"/>
  <c r="Q61" i="19"/>
  <c r="S61" i="19"/>
  <c r="V61" i="19"/>
  <c r="W61" i="19"/>
  <c r="X61" i="19"/>
  <c r="Z61" i="19"/>
  <c r="D59" i="32" s="1"/>
  <c r="AA61" i="19"/>
  <c r="AC61" i="19"/>
  <c r="AE61" i="19"/>
  <c r="AF61" i="19"/>
  <c r="AG61" i="19"/>
  <c r="AH61" i="19"/>
  <c r="AI61" i="19"/>
  <c r="AJ61" i="19"/>
  <c r="AK61" i="19"/>
  <c r="AL61" i="19"/>
  <c r="AM61" i="19"/>
  <c r="AN61" i="19"/>
  <c r="AO61" i="19"/>
  <c r="AP61" i="19"/>
  <c r="AQ61" i="19"/>
  <c r="AR61" i="19"/>
  <c r="C62" i="19"/>
  <c r="D62" i="19"/>
  <c r="E62" i="19"/>
  <c r="F62" i="19"/>
  <c r="H62" i="19"/>
  <c r="I62" i="19"/>
  <c r="J62" i="19"/>
  <c r="K62" i="19"/>
  <c r="L62" i="19"/>
  <c r="M62" i="19"/>
  <c r="N62" i="19"/>
  <c r="P62" i="19"/>
  <c r="Q62" i="19"/>
  <c r="S62" i="19"/>
  <c r="V62" i="19"/>
  <c r="W62" i="19"/>
  <c r="X62" i="19"/>
  <c r="Z62" i="19"/>
  <c r="D60" i="32" s="1"/>
  <c r="AA62" i="19"/>
  <c r="AC62" i="19"/>
  <c r="AE62" i="19"/>
  <c r="AF62" i="19"/>
  <c r="AG62" i="19"/>
  <c r="AH62" i="19"/>
  <c r="AI62" i="19"/>
  <c r="AJ62" i="19"/>
  <c r="AK62" i="19"/>
  <c r="AL62" i="19"/>
  <c r="AM62" i="19"/>
  <c r="AN62" i="19"/>
  <c r="AO62" i="19"/>
  <c r="AP62" i="19"/>
  <c r="AQ62" i="19"/>
  <c r="AR62" i="19"/>
  <c r="C63" i="19"/>
  <c r="D63" i="19"/>
  <c r="E63" i="19"/>
  <c r="F63" i="19"/>
  <c r="H63" i="19"/>
  <c r="I63" i="19"/>
  <c r="J63" i="19"/>
  <c r="K63" i="19"/>
  <c r="L63" i="19"/>
  <c r="M63" i="19"/>
  <c r="N63" i="19"/>
  <c r="P63" i="19"/>
  <c r="Q63" i="19"/>
  <c r="S63" i="19"/>
  <c r="V63" i="19"/>
  <c r="W63" i="19"/>
  <c r="X63" i="19"/>
  <c r="Z63" i="19"/>
  <c r="AA63" i="19"/>
  <c r="AC63" i="19"/>
  <c r="AE63" i="19"/>
  <c r="AF63" i="19"/>
  <c r="AG63" i="19"/>
  <c r="AH63" i="19"/>
  <c r="AI63" i="19"/>
  <c r="AJ63" i="19"/>
  <c r="AK63" i="19"/>
  <c r="AL63" i="19"/>
  <c r="AM63" i="19"/>
  <c r="AN63" i="19"/>
  <c r="AO63" i="19"/>
  <c r="AP63" i="19"/>
  <c r="AQ63" i="19"/>
  <c r="AR63" i="19"/>
  <c r="C64" i="19"/>
  <c r="D64" i="19"/>
  <c r="E64" i="19"/>
  <c r="F64" i="19"/>
  <c r="H64" i="19"/>
  <c r="I64" i="19"/>
  <c r="J64" i="19"/>
  <c r="K64" i="19"/>
  <c r="L64" i="19"/>
  <c r="M64" i="19"/>
  <c r="N64" i="19"/>
  <c r="P64" i="19"/>
  <c r="Q64" i="19"/>
  <c r="S64" i="19"/>
  <c r="V64" i="19"/>
  <c r="W64" i="19"/>
  <c r="X64" i="19"/>
  <c r="Z64" i="19"/>
  <c r="D62" i="32" s="1"/>
  <c r="AA64" i="19"/>
  <c r="AC64" i="19"/>
  <c r="AE64" i="19"/>
  <c r="AF64" i="19"/>
  <c r="AG64" i="19"/>
  <c r="AH64" i="19"/>
  <c r="AI64" i="19"/>
  <c r="AJ64" i="19"/>
  <c r="AK64" i="19"/>
  <c r="AL64" i="19"/>
  <c r="AM64" i="19"/>
  <c r="AN64" i="19"/>
  <c r="AO64" i="19"/>
  <c r="AP64" i="19"/>
  <c r="AQ64" i="19"/>
  <c r="AR64" i="19"/>
  <c r="C65" i="19"/>
  <c r="D65" i="19"/>
  <c r="E65" i="19"/>
  <c r="F65" i="19"/>
  <c r="H65" i="19"/>
  <c r="I65" i="19"/>
  <c r="J65" i="19"/>
  <c r="K65" i="19"/>
  <c r="L65" i="19"/>
  <c r="M65" i="19"/>
  <c r="N65" i="19"/>
  <c r="P65" i="19"/>
  <c r="Q65" i="19"/>
  <c r="S65" i="19"/>
  <c r="V65" i="19"/>
  <c r="W65" i="19"/>
  <c r="X65" i="19"/>
  <c r="Z65" i="19"/>
  <c r="AA65" i="19"/>
  <c r="AC65" i="19"/>
  <c r="AE65" i="19"/>
  <c r="AF65" i="19"/>
  <c r="AG65" i="19"/>
  <c r="AH65" i="19"/>
  <c r="AI65" i="19"/>
  <c r="AJ65" i="19"/>
  <c r="AK65" i="19"/>
  <c r="AL65" i="19"/>
  <c r="AM65" i="19"/>
  <c r="AN65" i="19"/>
  <c r="AO65" i="19"/>
  <c r="AP65" i="19"/>
  <c r="AQ65" i="19"/>
  <c r="AR65" i="19"/>
  <c r="C66" i="19"/>
  <c r="D66" i="19"/>
  <c r="E66" i="19"/>
  <c r="F66" i="19"/>
  <c r="H66" i="19"/>
  <c r="I66" i="19"/>
  <c r="J66" i="19"/>
  <c r="K66" i="19"/>
  <c r="L66" i="19"/>
  <c r="M66" i="19"/>
  <c r="N66" i="19"/>
  <c r="P66" i="19"/>
  <c r="Q66" i="19"/>
  <c r="S66" i="19"/>
  <c r="V66" i="19"/>
  <c r="W66" i="19"/>
  <c r="X66" i="19"/>
  <c r="Z66" i="19"/>
  <c r="D64" i="32" s="1"/>
  <c r="AA66" i="19"/>
  <c r="AC66" i="19"/>
  <c r="AE66" i="19"/>
  <c r="AF66" i="19"/>
  <c r="AG66" i="19"/>
  <c r="AH66" i="19"/>
  <c r="AI66" i="19"/>
  <c r="AJ66" i="19"/>
  <c r="AK66" i="19"/>
  <c r="AL66" i="19"/>
  <c r="AM66" i="19"/>
  <c r="AN66" i="19"/>
  <c r="AO66" i="19"/>
  <c r="AP66" i="19"/>
  <c r="AQ66" i="19"/>
  <c r="AR66" i="19"/>
  <c r="C67" i="19"/>
  <c r="D67" i="19"/>
  <c r="E67" i="19"/>
  <c r="F67" i="19"/>
  <c r="H67" i="19"/>
  <c r="I67" i="19"/>
  <c r="J67" i="19"/>
  <c r="K67" i="19"/>
  <c r="L67" i="19"/>
  <c r="M67" i="19"/>
  <c r="N67" i="19"/>
  <c r="P67" i="19"/>
  <c r="Q67" i="19"/>
  <c r="S67" i="19"/>
  <c r="V67" i="19"/>
  <c r="W67" i="19"/>
  <c r="X67" i="19"/>
  <c r="Z67" i="19"/>
  <c r="D65" i="32" s="1"/>
  <c r="AA67" i="19"/>
  <c r="AC67" i="19"/>
  <c r="AE67" i="19"/>
  <c r="AF67" i="19"/>
  <c r="AG67" i="19"/>
  <c r="AH67" i="19"/>
  <c r="AI67" i="19"/>
  <c r="AJ67" i="19"/>
  <c r="AK67" i="19"/>
  <c r="AL67" i="19"/>
  <c r="AM67" i="19"/>
  <c r="AN67" i="19"/>
  <c r="AO67" i="19"/>
  <c r="AP67" i="19"/>
  <c r="AQ67" i="19"/>
  <c r="AR67" i="19"/>
  <c r="D68" i="19"/>
  <c r="E68" i="19"/>
  <c r="F68" i="19"/>
  <c r="H68" i="19"/>
  <c r="I68" i="19"/>
  <c r="J68" i="19"/>
  <c r="K68" i="19"/>
  <c r="L68" i="19"/>
  <c r="M68" i="19"/>
  <c r="N68" i="19"/>
  <c r="P68" i="19"/>
  <c r="Q68" i="19"/>
  <c r="S68" i="19"/>
  <c r="V68" i="19"/>
  <c r="W68" i="19"/>
  <c r="X68" i="19"/>
  <c r="Z68" i="19"/>
  <c r="AA68" i="19"/>
  <c r="AC68" i="19"/>
  <c r="AE68" i="19"/>
  <c r="AF68" i="19"/>
  <c r="AG68" i="19"/>
  <c r="AH68" i="19"/>
  <c r="AI68" i="19"/>
  <c r="AJ68" i="19"/>
  <c r="AK68" i="19"/>
  <c r="AL68" i="19"/>
  <c r="AM68" i="19"/>
  <c r="AN68" i="19"/>
  <c r="AO68" i="19"/>
  <c r="AP68" i="19"/>
  <c r="AQ68" i="19"/>
  <c r="AR68" i="19"/>
  <c r="C69" i="19"/>
  <c r="D69" i="19"/>
  <c r="E69" i="19"/>
  <c r="F69" i="19"/>
  <c r="H69" i="19"/>
  <c r="I69" i="19"/>
  <c r="J69" i="19"/>
  <c r="K69" i="19"/>
  <c r="L69" i="19"/>
  <c r="M69" i="19"/>
  <c r="N69" i="19"/>
  <c r="P69" i="19"/>
  <c r="Q69" i="19"/>
  <c r="S69" i="19"/>
  <c r="V69" i="19"/>
  <c r="W69" i="19"/>
  <c r="X69" i="19"/>
  <c r="Z69" i="19"/>
  <c r="AA69" i="19"/>
  <c r="AC69" i="19"/>
  <c r="AE69" i="19"/>
  <c r="AF69" i="19"/>
  <c r="AG69" i="19"/>
  <c r="AH69" i="19"/>
  <c r="AI69" i="19"/>
  <c r="AJ69" i="19"/>
  <c r="AK69" i="19"/>
  <c r="AL69" i="19"/>
  <c r="AM69" i="19"/>
  <c r="AN69" i="19"/>
  <c r="AO69" i="19"/>
  <c r="AP69" i="19"/>
  <c r="AQ69" i="19"/>
  <c r="AR69" i="19"/>
  <c r="C70" i="19"/>
  <c r="D70" i="19"/>
  <c r="E70" i="19"/>
  <c r="F70" i="19"/>
  <c r="H70" i="19"/>
  <c r="I70" i="19"/>
  <c r="J70" i="19"/>
  <c r="K70" i="19"/>
  <c r="L70" i="19"/>
  <c r="M70" i="19"/>
  <c r="N70" i="19"/>
  <c r="P70" i="19"/>
  <c r="Q70" i="19"/>
  <c r="S70" i="19"/>
  <c r="V70" i="19"/>
  <c r="W70" i="19"/>
  <c r="X70" i="19"/>
  <c r="Z70" i="19"/>
  <c r="AA70" i="19"/>
  <c r="AC70" i="19"/>
  <c r="AE70" i="19"/>
  <c r="AF70" i="19"/>
  <c r="AG70" i="19"/>
  <c r="AH70" i="19"/>
  <c r="AI70" i="19"/>
  <c r="AJ70" i="19"/>
  <c r="AK70" i="19"/>
  <c r="AL70" i="19"/>
  <c r="AM70" i="19"/>
  <c r="AN70" i="19"/>
  <c r="AO70" i="19"/>
  <c r="AP70" i="19"/>
  <c r="AQ70" i="19"/>
  <c r="AR70" i="19"/>
  <c r="C71" i="19"/>
  <c r="D71" i="19"/>
  <c r="E71" i="19"/>
  <c r="F71" i="19"/>
  <c r="H71" i="19"/>
  <c r="I71" i="19"/>
  <c r="J71" i="19"/>
  <c r="K71" i="19"/>
  <c r="L71" i="19"/>
  <c r="M71" i="19"/>
  <c r="N71" i="19"/>
  <c r="P71" i="19"/>
  <c r="Q71" i="19"/>
  <c r="S71" i="19"/>
  <c r="V71" i="19"/>
  <c r="W71" i="19"/>
  <c r="X71" i="19"/>
  <c r="Z71" i="19"/>
  <c r="AA71" i="19"/>
  <c r="AC71" i="19"/>
  <c r="AE71" i="19"/>
  <c r="AF71" i="19"/>
  <c r="AG71" i="19"/>
  <c r="AH71" i="19"/>
  <c r="AI71" i="19"/>
  <c r="AJ71" i="19"/>
  <c r="AK71" i="19"/>
  <c r="AL71" i="19"/>
  <c r="AM71" i="19"/>
  <c r="AN71" i="19"/>
  <c r="AO71" i="19"/>
  <c r="AP71" i="19"/>
  <c r="AQ71" i="19"/>
  <c r="AR71" i="19"/>
  <c r="C72" i="19"/>
  <c r="D72" i="19"/>
  <c r="E72" i="19"/>
  <c r="F72" i="19"/>
  <c r="H72" i="19"/>
  <c r="I72" i="19"/>
  <c r="J72" i="19"/>
  <c r="K72" i="19"/>
  <c r="L72" i="19"/>
  <c r="M72" i="19"/>
  <c r="N72" i="19"/>
  <c r="P72" i="19"/>
  <c r="Q72" i="19"/>
  <c r="S72" i="19"/>
  <c r="V72" i="19"/>
  <c r="W72" i="19"/>
  <c r="X72" i="19"/>
  <c r="Z72" i="19"/>
  <c r="AA72" i="19"/>
  <c r="AC72" i="19"/>
  <c r="AE72" i="19"/>
  <c r="AF72" i="19"/>
  <c r="AG72" i="19"/>
  <c r="AH72" i="19"/>
  <c r="AI72" i="19"/>
  <c r="AJ72" i="19"/>
  <c r="AK72" i="19"/>
  <c r="AL72" i="19"/>
  <c r="AM72" i="19"/>
  <c r="AN72" i="19"/>
  <c r="AO72" i="19"/>
  <c r="AP72" i="19"/>
  <c r="AQ72" i="19"/>
  <c r="AR72" i="19"/>
  <c r="C73" i="19"/>
  <c r="D73" i="19"/>
  <c r="E73" i="19"/>
  <c r="F73" i="19"/>
  <c r="H73" i="19"/>
  <c r="I73" i="19"/>
  <c r="J73" i="19"/>
  <c r="K73" i="19"/>
  <c r="L73" i="19"/>
  <c r="M73" i="19"/>
  <c r="N73" i="19"/>
  <c r="P73" i="19"/>
  <c r="Q73" i="19"/>
  <c r="S73" i="19"/>
  <c r="V73" i="19"/>
  <c r="W73" i="19"/>
  <c r="X73" i="19"/>
  <c r="Z73" i="19"/>
  <c r="AA73" i="19"/>
  <c r="AC73" i="19"/>
  <c r="AE73" i="19"/>
  <c r="AF73" i="19"/>
  <c r="AG73" i="19"/>
  <c r="AH73" i="19"/>
  <c r="AI73" i="19"/>
  <c r="AJ73" i="19"/>
  <c r="AK73" i="19"/>
  <c r="AL73" i="19"/>
  <c r="AM73" i="19"/>
  <c r="AN73" i="19"/>
  <c r="AO73" i="19"/>
  <c r="AP73" i="19"/>
  <c r="AQ73" i="19"/>
  <c r="AR73" i="19"/>
  <c r="C74" i="19"/>
  <c r="D74" i="19"/>
  <c r="E74" i="19"/>
  <c r="F74" i="19"/>
  <c r="H74" i="19"/>
  <c r="I74" i="19"/>
  <c r="J74" i="19"/>
  <c r="K74" i="19"/>
  <c r="L74" i="19"/>
  <c r="M74" i="19"/>
  <c r="N74" i="19"/>
  <c r="P74" i="19"/>
  <c r="Q74" i="19"/>
  <c r="S74" i="19"/>
  <c r="V74" i="19"/>
  <c r="W74" i="19"/>
  <c r="X74" i="19"/>
  <c r="Z74" i="19"/>
  <c r="AA74" i="19"/>
  <c r="AC74" i="19"/>
  <c r="AE74" i="19"/>
  <c r="AF74" i="19"/>
  <c r="AG74" i="19"/>
  <c r="AH74" i="19"/>
  <c r="AI74" i="19"/>
  <c r="AJ74" i="19"/>
  <c r="AK74" i="19"/>
  <c r="AL74" i="19"/>
  <c r="AM74" i="19"/>
  <c r="AN74" i="19"/>
  <c r="AO74" i="19"/>
  <c r="AP74" i="19"/>
  <c r="AQ74" i="19"/>
  <c r="AR74" i="19"/>
  <c r="C75" i="19"/>
  <c r="D75" i="19"/>
  <c r="E75" i="19"/>
  <c r="F75" i="19"/>
  <c r="H75" i="19"/>
  <c r="I75" i="19"/>
  <c r="J75" i="19"/>
  <c r="K75" i="19"/>
  <c r="L75" i="19"/>
  <c r="M75" i="19"/>
  <c r="N75" i="19"/>
  <c r="P75" i="19"/>
  <c r="Q75" i="19"/>
  <c r="S75" i="19"/>
  <c r="V75" i="19"/>
  <c r="W75" i="19"/>
  <c r="X75" i="19"/>
  <c r="Z75" i="19"/>
  <c r="AA75" i="19"/>
  <c r="AC75" i="19"/>
  <c r="AE75" i="19"/>
  <c r="AF75" i="19"/>
  <c r="AG75" i="19"/>
  <c r="AH75" i="19"/>
  <c r="AI75" i="19"/>
  <c r="AJ75" i="19"/>
  <c r="AK75" i="19"/>
  <c r="AL75" i="19"/>
  <c r="AM75" i="19"/>
  <c r="AN75" i="19"/>
  <c r="AO75" i="19"/>
  <c r="AP75" i="19"/>
  <c r="AQ75" i="19"/>
  <c r="AR75" i="19"/>
  <c r="C76" i="19"/>
  <c r="D76" i="19"/>
  <c r="E76" i="19"/>
  <c r="F76" i="19"/>
  <c r="H76" i="19"/>
  <c r="I76" i="19"/>
  <c r="J76" i="19"/>
  <c r="K76" i="19"/>
  <c r="L76" i="19"/>
  <c r="M76" i="19"/>
  <c r="N76" i="19"/>
  <c r="P76" i="19"/>
  <c r="Q76" i="19"/>
  <c r="S76" i="19"/>
  <c r="V76" i="19"/>
  <c r="W76" i="19"/>
  <c r="X76" i="19"/>
  <c r="Z76" i="19"/>
  <c r="AA76" i="19"/>
  <c r="AC76" i="19"/>
  <c r="AE76" i="19"/>
  <c r="AF76" i="19"/>
  <c r="AG76" i="19"/>
  <c r="AH76" i="19"/>
  <c r="AI76" i="19"/>
  <c r="AJ76" i="19"/>
  <c r="AK76" i="19"/>
  <c r="AL76" i="19"/>
  <c r="AM76" i="19"/>
  <c r="AN76" i="19"/>
  <c r="AO76" i="19"/>
  <c r="AP76" i="19"/>
  <c r="AQ76" i="19"/>
  <c r="AR76" i="19"/>
  <c r="C77" i="19"/>
  <c r="D77" i="19"/>
  <c r="E77" i="19"/>
  <c r="F77" i="19"/>
  <c r="H77" i="19"/>
  <c r="I77" i="19"/>
  <c r="J77" i="19"/>
  <c r="K77" i="19"/>
  <c r="L77" i="19"/>
  <c r="M77" i="19"/>
  <c r="N77" i="19"/>
  <c r="P77" i="19"/>
  <c r="Q77" i="19"/>
  <c r="S77" i="19"/>
  <c r="V77" i="19"/>
  <c r="W77" i="19"/>
  <c r="X77" i="19"/>
  <c r="Z77" i="19"/>
  <c r="AA77" i="19"/>
  <c r="AC77" i="19"/>
  <c r="AE77" i="19"/>
  <c r="AF77" i="19"/>
  <c r="AG77" i="19"/>
  <c r="AH77" i="19"/>
  <c r="AI77" i="19"/>
  <c r="AJ77" i="19"/>
  <c r="AK77" i="19"/>
  <c r="AL77" i="19"/>
  <c r="AM77" i="19"/>
  <c r="AN77" i="19"/>
  <c r="AO77" i="19"/>
  <c r="AP77" i="19"/>
  <c r="AQ77" i="19"/>
  <c r="AR77" i="19"/>
  <c r="C78" i="19"/>
  <c r="D78" i="19"/>
  <c r="E78" i="19"/>
  <c r="F78" i="19"/>
  <c r="H78" i="19"/>
  <c r="I78" i="19"/>
  <c r="J78" i="19"/>
  <c r="K78" i="19"/>
  <c r="L78" i="19"/>
  <c r="M78" i="19"/>
  <c r="N78" i="19"/>
  <c r="P78" i="19"/>
  <c r="Q78" i="19"/>
  <c r="S78" i="19"/>
  <c r="V78" i="19"/>
  <c r="W78" i="19"/>
  <c r="X78" i="19"/>
  <c r="Z78" i="19"/>
  <c r="AA78" i="19"/>
  <c r="AC78" i="19"/>
  <c r="AE78" i="19"/>
  <c r="AF78" i="19"/>
  <c r="AG78" i="19"/>
  <c r="AH78" i="19"/>
  <c r="AI78" i="19"/>
  <c r="AJ78" i="19"/>
  <c r="AK78" i="19"/>
  <c r="AL78" i="19"/>
  <c r="AM78" i="19"/>
  <c r="AN78" i="19"/>
  <c r="AO78" i="19"/>
  <c r="AP78" i="19"/>
  <c r="AQ78" i="19"/>
  <c r="AR78" i="19"/>
  <c r="C79" i="19"/>
  <c r="D79" i="19"/>
  <c r="E79" i="19"/>
  <c r="F79" i="19"/>
  <c r="H79" i="19"/>
  <c r="I79" i="19"/>
  <c r="J79" i="19"/>
  <c r="K79" i="19"/>
  <c r="L79" i="19"/>
  <c r="M79" i="19"/>
  <c r="N79" i="19"/>
  <c r="P79" i="19"/>
  <c r="Q79" i="19"/>
  <c r="S79" i="19"/>
  <c r="V79" i="19"/>
  <c r="W79" i="19"/>
  <c r="X79" i="19"/>
  <c r="Z79" i="19"/>
  <c r="AA79" i="19"/>
  <c r="AC79" i="19"/>
  <c r="AE79" i="19"/>
  <c r="AF79" i="19"/>
  <c r="AG79" i="19"/>
  <c r="AH79" i="19"/>
  <c r="AI79" i="19"/>
  <c r="AJ79" i="19"/>
  <c r="AK79" i="19"/>
  <c r="AL79" i="19"/>
  <c r="AM79" i="19"/>
  <c r="AN79" i="19"/>
  <c r="AO79" i="19"/>
  <c r="AP79" i="19"/>
  <c r="AQ79" i="19"/>
  <c r="AR79" i="19"/>
  <c r="C80" i="19"/>
  <c r="D80" i="19"/>
  <c r="E80" i="19"/>
  <c r="F80" i="19"/>
  <c r="H80" i="19"/>
  <c r="I80" i="19"/>
  <c r="J80" i="19"/>
  <c r="K80" i="19"/>
  <c r="L80" i="19"/>
  <c r="M80" i="19"/>
  <c r="N80" i="19"/>
  <c r="P80" i="19"/>
  <c r="Q80" i="19"/>
  <c r="S80" i="19"/>
  <c r="V80" i="19"/>
  <c r="W80" i="19"/>
  <c r="X80" i="19"/>
  <c r="Z80" i="19"/>
  <c r="AA80" i="19"/>
  <c r="AC80" i="19"/>
  <c r="AE80" i="19"/>
  <c r="AF80" i="19"/>
  <c r="AG80" i="19"/>
  <c r="AH80" i="19"/>
  <c r="AI80" i="19"/>
  <c r="AJ80" i="19"/>
  <c r="AK80" i="19"/>
  <c r="AL80" i="19"/>
  <c r="AM80" i="19"/>
  <c r="AN80" i="19"/>
  <c r="AO80" i="19"/>
  <c r="AP80" i="19"/>
  <c r="AQ80" i="19"/>
  <c r="AR80" i="19"/>
  <c r="C81" i="19"/>
  <c r="D81" i="19"/>
  <c r="E81" i="19"/>
  <c r="F81" i="19"/>
  <c r="H81" i="19"/>
  <c r="I81" i="19"/>
  <c r="J81" i="19"/>
  <c r="K81" i="19"/>
  <c r="L81" i="19"/>
  <c r="M81" i="19"/>
  <c r="N81" i="19"/>
  <c r="P81" i="19"/>
  <c r="Q81" i="19"/>
  <c r="S81" i="19"/>
  <c r="V81" i="19"/>
  <c r="W81" i="19"/>
  <c r="X81" i="19"/>
  <c r="Z81" i="19"/>
  <c r="AA81" i="19"/>
  <c r="AC81" i="19"/>
  <c r="AE81" i="19"/>
  <c r="AF81" i="19"/>
  <c r="AG81" i="19"/>
  <c r="AH81" i="19"/>
  <c r="AI81" i="19"/>
  <c r="AJ81" i="19"/>
  <c r="AK81" i="19"/>
  <c r="AL81" i="19"/>
  <c r="AM81" i="19"/>
  <c r="AN81" i="19"/>
  <c r="AO81" i="19"/>
  <c r="AP81" i="19"/>
  <c r="AQ81" i="19"/>
  <c r="AR81" i="19"/>
  <c r="C82" i="19"/>
  <c r="D82" i="19"/>
  <c r="E82" i="19"/>
  <c r="F82" i="19"/>
  <c r="H82" i="19"/>
  <c r="I82" i="19"/>
  <c r="J82" i="19"/>
  <c r="K82" i="19"/>
  <c r="L82" i="19"/>
  <c r="M82" i="19"/>
  <c r="N82" i="19"/>
  <c r="P82" i="19"/>
  <c r="Q82" i="19"/>
  <c r="S82" i="19"/>
  <c r="V82" i="19"/>
  <c r="W82" i="19"/>
  <c r="X82" i="19"/>
  <c r="Z82" i="19"/>
  <c r="AA82" i="19"/>
  <c r="AC82" i="19"/>
  <c r="AE82" i="19"/>
  <c r="AF82" i="19"/>
  <c r="AG82" i="19"/>
  <c r="AH82" i="19"/>
  <c r="AI82" i="19"/>
  <c r="AJ82" i="19"/>
  <c r="AK82" i="19"/>
  <c r="AL82" i="19"/>
  <c r="AM82" i="19"/>
  <c r="AN82" i="19"/>
  <c r="AO82" i="19"/>
  <c r="AP82" i="19"/>
  <c r="AQ82" i="19"/>
  <c r="AR82" i="19"/>
  <c r="C83" i="19"/>
  <c r="D83" i="19"/>
  <c r="E83" i="19"/>
  <c r="F83" i="19"/>
  <c r="H83" i="19"/>
  <c r="I83" i="19"/>
  <c r="J83" i="19"/>
  <c r="K83" i="19"/>
  <c r="L83" i="19"/>
  <c r="M83" i="19"/>
  <c r="N83" i="19"/>
  <c r="P83" i="19"/>
  <c r="Q83" i="19"/>
  <c r="S83" i="19"/>
  <c r="V83" i="19"/>
  <c r="W83" i="19"/>
  <c r="X83" i="19"/>
  <c r="Z83" i="19"/>
  <c r="AA83" i="19"/>
  <c r="AC83" i="19"/>
  <c r="AE83" i="19"/>
  <c r="AF83" i="19"/>
  <c r="AG83" i="19"/>
  <c r="AH83" i="19"/>
  <c r="AI83" i="19"/>
  <c r="AJ83" i="19"/>
  <c r="AK83" i="19"/>
  <c r="AL83" i="19"/>
  <c r="AM83" i="19"/>
  <c r="AN83" i="19"/>
  <c r="AO83" i="19"/>
  <c r="AP83" i="19"/>
  <c r="AQ83" i="19"/>
  <c r="AR83" i="19"/>
  <c r="C84" i="19"/>
  <c r="D84" i="19"/>
  <c r="E84" i="19"/>
  <c r="F84" i="19"/>
  <c r="H84" i="19"/>
  <c r="I84" i="19"/>
  <c r="J84" i="19"/>
  <c r="K84" i="19"/>
  <c r="L84" i="19"/>
  <c r="M84" i="19"/>
  <c r="N84" i="19"/>
  <c r="P84" i="19"/>
  <c r="Q84" i="19"/>
  <c r="S84" i="19"/>
  <c r="V84" i="19"/>
  <c r="W84" i="19"/>
  <c r="X84" i="19"/>
  <c r="Z84" i="19"/>
  <c r="AA84" i="19"/>
  <c r="AC84" i="19"/>
  <c r="AE84" i="19"/>
  <c r="AF84" i="19"/>
  <c r="AG84" i="19"/>
  <c r="AH84" i="19"/>
  <c r="AI84" i="19"/>
  <c r="AJ84" i="19"/>
  <c r="AK84" i="19"/>
  <c r="AL84" i="19"/>
  <c r="AM84" i="19"/>
  <c r="AN84" i="19"/>
  <c r="AO84" i="19"/>
  <c r="AP84" i="19"/>
  <c r="AQ84" i="19"/>
  <c r="AR84" i="19"/>
  <c r="C85" i="19"/>
  <c r="D85" i="19"/>
  <c r="E85" i="19"/>
  <c r="F85" i="19"/>
  <c r="H85" i="19"/>
  <c r="I85" i="19"/>
  <c r="J85" i="19"/>
  <c r="K85" i="19"/>
  <c r="L85" i="19"/>
  <c r="M85" i="19"/>
  <c r="N85" i="19"/>
  <c r="P85" i="19"/>
  <c r="Q85" i="19"/>
  <c r="S85" i="19"/>
  <c r="V85" i="19"/>
  <c r="W85" i="19"/>
  <c r="X85" i="19"/>
  <c r="Z85" i="19"/>
  <c r="AA85" i="19"/>
  <c r="AC85" i="19"/>
  <c r="AE85" i="19"/>
  <c r="AF85" i="19"/>
  <c r="AG85" i="19"/>
  <c r="AH85" i="19"/>
  <c r="AI85" i="19"/>
  <c r="AJ85" i="19"/>
  <c r="AK85" i="19"/>
  <c r="AL85" i="19"/>
  <c r="AM85" i="19"/>
  <c r="AN85" i="19"/>
  <c r="AO85" i="19"/>
  <c r="AP85" i="19"/>
  <c r="AQ85" i="19"/>
  <c r="AR85" i="19"/>
  <c r="C86" i="19"/>
  <c r="D86" i="19"/>
  <c r="E86" i="19"/>
  <c r="F86" i="19"/>
  <c r="H86" i="19"/>
  <c r="I86" i="19"/>
  <c r="J86" i="19"/>
  <c r="K86" i="19"/>
  <c r="L86" i="19"/>
  <c r="M86" i="19"/>
  <c r="N86" i="19"/>
  <c r="P86" i="19"/>
  <c r="Q86" i="19"/>
  <c r="S86" i="19"/>
  <c r="V86" i="19"/>
  <c r="W86" i="19"/>
  <c r="X86" i="19"/>
  <c r="Z86" i="19"/>
  <c r="AA86" i="19"/>
  <c r="AC86" i="19"/>
  <c r="AE86" i="19"/>
  <c r="AF86" i="19"/>
  <c r="AG86" i="19"/>
  <c r="AH86" i="19"/>
  <c r="AI86" i="19"/>
  <c r="AJ86" i="19"/>
  <c r="AK86" i="19"/>
  <c r="AL86" i="19"/>
  <c r="AM86" i="19"/>
  <c r="AN86" i="19"/>
  <c r="AO86" i="19"/>
  <c r="AP86" i="19"/>
  <c r="AQ86" i="19"/>
  <c r="AR86" i="19"/>
  <c r="C87" i="19"/>
  <c r="D87" i="19"/>
  <c r="E87" i="19"/>
  <c r="F87" i="19"/>
  <c r="H87" i="19"/>
  <c r="I87" i="19"/>
  <c r="J87" i="19"/>
  <c r="K87" i="19"/>
  <c r="L87" i="19"/>
  <c r="M87" i="19"/>
  <c r="N87" i="19"/>
  <c r="P87" i="19"/>
  <c r="Q87" i="19"/>
  <c r="S87" i="19"/>
  <c r="V87" i="19"/>
  <c r="W87" i="19"/>
  <c r="X87" i="19"/>
  <c r="Z87" i="19"/>
  <c r="AA87" i="19"/>
  <c r="AC87" i="19"/>
  <c r="AE87" i="19"/>
  <c r="AF87" i="19"/>
  <c r="AG87" i="19"/>
  <c r="AH87" i="19"/>
  <c r="AI87" i="19"/>
  <c r="AJ87" i="19"/>
  <c r="AK87" i="19"/>
  <c r="AL87" i="19"/>
  <c r="AM87" i="19"/>
  <c r="AN87" i="19"/>
  <c r="AO87" i="19"/>
  <c r="AP87" i="19"/>
  <c r="AQ87" i="19"/>
  <c r="AR87" i="19"/>
  <c r="C88" i="19"/>
  <c r="D88" i="19"/>
  <c r="E88" i="19"/>
  <c r="F88" i="19"/>
  <c r="H88" i="19"/>
  <c r="I88" i="19"/>
  <c r="J88" i="19"/>
  <c r="K88" i="19"/>
  <c r="L88" i="19"/>
  <c r="M88" i="19"/>
  <c r="N88" i="19"/>
  <c r="P88" i="19"/>
  <c r="Q88" i="19"/>
  <c r="S88" i="19"/>
  <c r="V88" i="19"/>
  <c r="W88" i="19"/>
  <c r="X88" i="19"/>
  <c r="Z88" i="19"/>
  <c r="AA88" i="19"/>
  <c r="AC88" i="19"/>
  <c r="AE88" i="19"/>
  <c r="AF88" i="19"/>
  <c r="AG88" i="19"/>
  <c r="AH88" i="19"/>
  <c r="AI88" i="19"/>
  <c r="AJ88" i="19"/>
  <c r="AK88" i="19"/>
  <c r="AL88" i="19"/>
  <c r="AM88" i="19"/>
  <c r="AN88" i="19"/>
  <c r="AO88" i="19"/>
  <c r="AP88" i="19"/>
  <c r="AQ88" i="19"/>
  <c r="AR88" i="19"/>
  <c r="C89" i="19"/>
  <c r="D89" i="19"/>
  <c r="E89" i="19"/>
  <c r="F89" i="19"/>
  <c r="H89" i="19"/>
  <c r="I89" i="19"/>
  <c r="J89" i="19"/>
  <c r="K89" i="19"/>
  <c r="L89" i="19"/>
  <c r="M89" i="19"/>
  <c r="N89" i="19"/>
  <c r="P89" i="19"/>
  <c r="Q89" i="19"/>
  <c r="S89" i="19"/>
  <c r="V89" i="19"/>
  <c r="W89" i="19"/>
  <c r="X89" i="19"/>
  <c r="Z89" i="19"/>
  <c r="AA89" i="19"/>
  <c r="AC89" i="19"/>
  <c r="AE89" i="19"/>
  <c r="AF89" i="19"/>
  <c r="AG89" i="19"/>
  <c r="AH89" i="19"/>
  <c r="AI89" i="19"/>
  <c r="AJ89" i="19"/>
  <c r="AK89" i="19"/>
  <c r="AL89" i="19"/>
  <c r="AM89" i="19"/>
  <c r="AN89" i="19"/>
  <c r="AO89" i="19"/>
  <c r="AP89" i="19"/>
  <c r="AQ89" i="19"/>
  <c r="AR89" i="19"/>
  <c r="C90" i="19"/>
  <c r="D90" i="19"/>
  <c r="E90" i="19"/>
  <c r="F90" i="19"/>
  <c r="H90" i="19"/>
  <c r="I90" i="19"/>
  <c r="J90" i="19"/>
  <c r="K90" i="19"/>
  <c r="L90" i="19"/>
  <c r="M90" i="19"/>
  <c r="N90" i="19"/>
  <c r="P90" i="19"/>
  <c r="Q90" i="19"/>
  <c r="S90" i="19"/>
  <c r="V90" i="19"/>
  <c r="W90" i="19"/>
  <c r="X90" i="19"/>
  <c r="Z90" i="19"/>
  <c r="AA90" i="19"/>
  <c r="AC90" i="19"/>
  <c r="AE90" i="19"/>
  <c r="AF90" i="19"/>
  <c r="AG90" i="19"/>
  <c r="AH90" i="19"/>
  <c r="AI90" i="19"/>
  <c r="AJ90" i="19"/>
  <c r="AK90" i="19"/>
  <c r="AL90" i="19"/>
  <c r="AM90" i="19"/>
  <c r="AN90" i="19"/>
  <c r="AO90" i="19"/>
  <c r="AP90" i="19"/>
  <c r="AQ90" i="19"/>
  <c r="AR90" i="19"/>
  <c r="C91" i="19"/>
  <c r="D91" i="19"/>
  <c r="E91" i="19"/>
  <c r="F91" i="19"/>
  <c r="H91" i="19"/>
  <c r="I91" i="19"/>
  <c r="J91" i="19"/>
  <c r="K91" i="19"/>
  <c r="L91" i="19"/>
  <c r="M91" i="19"/>
  <c r="N91" i="19"/>
  <c r="P91" i="19"/>
  <c r="Q91" i="19"/>
  <c r="S91" i="19"/>
  <c r="V91" i="19"/>
  <c r="W91" i="19"/>
  <c r="X91" i="19"/>
  <c r="Z91" i="19"/>
  <c r="AA91" i="19"/>
  <c r="AC91" i="19"/>
  <c r="AE91" i="19"/>
  <c r="AF91" i="19"/>
  <c r="AG91" i="19"/>
  <c r="AH91" i="19"/>
  <c r="AI91" i="19"/>
  <c r="AJ91" i="19"/>
  <c r="AK91" i="19"/>
  <c r="AL91" i="19"/>
  <c r="AM91" i="19"/>
  <c r="AN91" i="19"/>
  <c r="AO91" i="19"/>
  <c r="AP91" i="19"/>
  <c r="AQ91" i="19"/>
  <c r="AR91" i="19"/>
  <c r="C92" i="19"/>
  <c r="D92" i="19"/>
  <c r="E92" i="19"/>
  <c r="F92" i="19"/>
  <c r="H92" i="19"/>
  <c r="I92" i="19"/>
  <c r="J92" i="19"/>
  <c r="K92" i="19"/>
  <c r="L92" i="19"/>
  <c r="M92" i="19"/>
  <c r="N92" i="19"/>
  <c r="P92" i="19"/>
  <c r="Q92" i="19"/>
  <c r="S92" i="19"/>
  <c r="V92" i="19"/>
  <c r="W92" i="19"/>
  <c r="X92" i="19"/>
  <c r="Z92" i="19"/>
  <c r="AA92" i="19"/>
  <c r="AC92" i="19"/>
  <c r="AE92" i="19"/>
  <c r="AF92" i="19"/>
  <c r="AG92" i="19"/>
  <c r="AH92" i="19"/>
  <c r="AI92" i="19"/>
  <c r="AJ92" i="19"/>
  <c r="AK92" i="19"/>
  <c r="AL92" i="19"/>
  <c r="AM92" i="19"/>
  <c r="AN92" i="19"/>
  <c r="AO92" i="19"/>
  <c r="AP92" i="19"/>
  <c r="AQ92" i="19"/>
  <c r="AR92" i="19"/>
  <c r="C93" i="19"/>
  <c r="D93" i="19"/>
  <c r="E93" i="19"/>
  <c r="F93" i="19"/>
  <c r="H93" i="19"/>
  <c r="I93" i="19"/>
  <c r="J93" i="19"/>
  <c r="K93" i="19"/>
  <c r="L93" i="19"/>
  <c r="M93" i="19"/>
  <c r="N93" i="19"/>
  <c r="P93" i="19"/>
  <c r="Q93" i="19"/>
  <c r="S93" i="19"/>
  <c r="V93" i="19"/>
  <c r="W93" i="19"/>
  <c r="X93" i="19"/>
  <c r="Z93" i="19"/>
  <c r="AA93" i="19"/>
  <c r="AC93" i="19"/>
  <c r="AE93" i="19"/>
  <c r="AF93" i="19"/>
  <c r="AG93" i="19"/>
  <c r="AH93" i="19"/>
  <c r="AI93" i="19"/>
  <c r="AJ93" i="19"/>
  <c r="AK93" i="19"/>
  <c r="AL93" i="19"/>
  <c r="AM93" i="19"/>
  <c r="AN93" i="19"/>
  <c r="AO93" i="19"/>
  <c r="AP93" i="19"/>
  <c r="AQ93" i="19"/>
  <c r="AR93" i="19"/>
  <c r="C94" i="19"/>
  <c r="D94" i="19"/>
  <c r="E94" i="19"/>
  <c r="F94" i="19"/>
  <c r="H94" i="19"/>
  <c r="I94" i="19"/>
  <c r="J94" i="19"/>
  <c r="K94" i="19"/>
  <c r="L94" i="19"/>
  <c r="M94" i="19"/>
  <c r="N94" i="19"/>
  <c r="P94" i="19"/>
  <c r="Q94" i="19"/>
  <c r="S94" i="19"/>
  <c r="V94" i="19"/>
  <c r="W94" i="19"/>
  <c r="X94" i="19"/>
  <c r="Z94" i="19"/>
  <c r="AA94" i="19"/>
  <c r="AC94" i="19"/>
  <c r="AE94" i="19"/>
  <c r="AF94" i="19"/>
  <c r="AG94" i="19"/>
  <c r="AH94" i="19"/>
  <c r="AI94" i="19"/>
  <c r="AJ94" i="19"/>
  <c r="AK94" i="19"/>
  <c r="AL94" i="19"/>
  <c r="AM94" i="19"/>
  <c r="AN94" i="19"/>
  <c r="AO94" i="19"/>
  <c r="AP94" i="19"/>
  <c r="AQ94" i="19"/>
  <c r="AR94" i="19"/>
  <c r="C95" i="19"/>
  <c r="D95" i="19"/>
  <c r="E95" i="19"/>
  <c r="F95" i="19"/>
  <c r="H95" i="19"/>
  <c r="I95" i="19"/>
  <c r="J95" i="19"/>
  <c r="K95" i="19"/>
  <c r="L95" i="19"/>
  <c r="M95" i="19"/>
  <c r="N95" i="19"/>
  <c r="P95" i="19"/>
  <c r="Q95" i="19"/>
  <c r="S95" i="19"/>
  <c r="V95" i="19"/>
  <c r="W95" i="19"/>
  <c r="X95" i="19"/>
  <c r="Z95" i="19"/>
  <c r="AA95" i="19"/>
  <c r="AC95" i="19"/>
  <c r="AE95" i="19"/>
  <c r="AF95" i="19"/>
  <c r="AG95" i="19"/>
  <c r="AH95" i="19"/>
  <c r="AI95" i="19"/>
  <c r="AJ95" i="19"/>
  <c r="AK95" i="19"/>
  <c r="AL95" i="19"/>
  <c r="AM95" i="19"/>
  <c r="AN95" i="19"/>
  <c r="AO95" i="19"/>
  <c r="AP95" i="19"/>
  <c r="AQ95" i="19"/>
  <c r="AR95" i="19"/>
  <c r="C96" i="19"/>
  <c r="D96" i="19"/>
  <c r="E96" i="19"/>
  <c r="F96" i="19"/>
  <c r="H96" i="19"/>
  <c r="I96" i="19"/>
  <c r="J96" i="19"/>
  <c r="K96" i="19"/>
  <c r="L96" i="19"/>
  <c r="M96" i="19"/>
  <c r="N96" i="19"/>
  <c r="P96" i="19"/>
  <c r="Q96" i="19"/>
  <c r="S96" i="19"/>
  <c r="V96" i="19"/>
  <c r="W96" i="19"/>
  <c r="X96" i="19"/>
  <c r="Z96" i="19"/>
  <c r="AA96" i="19"/>
  <c r="AC96" i="19"/>
  <c r="AE96" i="19"/>
  <c r="AF96" i="19"/>
  <c r="AG96" i="19"/>
  <c r="AH96" i="19"/>
  <c r="AI96" i="19"/>
  <c r="AJ96" i="19"/>
  <c r="AK96" i="19"/>
  <c r="AL96" i="19"/>
  <c r="AM96" i="19"/>
  <c r="AN96" i="19"/>
  <c r="AO96" i="19"/>
  <c r="AP96" i="19"/>
  <c r="AQ96" i="19"/>
  <c r="AR96" i="19"/>
  <c r="C97" i="19"/>
  <c r="D97" i="19"/>
  <c r="E97" i="19"/>
  <c r="F97" i="19"/>
  <c r="H97" i="19"/>
  <c r="I97" i="19"/>
  <c r="J97" i="19"/>
  <c r="K97" i="19"/>
  <c r="L97" i="19"/>
  <c r="M97" i="19"/>
  <c r="N97" i="19"/>
  <c r="P97" i="19"/>
  <c r="Q97" i="19"/>
  <c r="S97" i="19"/>
  <c r="V97" i="19"/>
  <c r="W97" i="19"/>
  <c r="X97" i="19"/>
  <c r="Z97" i="19"/>
  <c r="AA97" i="19"/>
  <c r="AC97" i="19"/>
  <c r="AE97" i="19"/>
  <c r="AF97" i="19"/>
  <c r="AG97" i="19"/>
  <c r="AH97" i="19"/>
  <c r="AI97" i="19"/>
  <c r="AJ97" i="19"/>
  <c r="AK97" i="19"/>
  <c r="AL97" i="19"/>
  <c r="AM97" i="19"/>
  <c r="AN97" i="19"/>
  <c r="AO97" i="19"/>
  <c r="AP97" i="19"/>
  <c r="AQ97" i="19"/>
  <c r="AR97" i="19"/>
  <c r="C98" i="19"/>
  <c r="D98" i="19"/>
  <c r="E98" i="19"/>
  <c r="F98" i="19"/>
  <c r="H98" i="19"/>
  <c r="I98" i="19"/>
  <c r="J98" i="19"/>
  <c r="K98" i="19"/>
  <c r="L98" i="19"/>
  <c r="M98" i="19"/>
  <c r="N98" i="19"/>
  <c r="P98" i="19"/>
  <c r="Q98" i="19"/>
  <c r="S98" i="19"/>
  <c r="V98" i="19"/>
  <c r="W98" i="19"/>
  <c r="X98" i="19"/>
  <c r="Z98" i="19"/>
  <c r="AA98" i="19"/>
  <c r="AC98" i="19"/>
  <c r="AE98" i="19"/>
  <c r="AF98" i="19"/>
  <c r="AG98" i="19"/>
  <c r="AH98" i="19"/>
  <c r="AI98" i="19"/>
  <c r="AJ98" i="19"/>
  <c r="AK98" i="19"/>
  <c r="AL98" i="19"/>
  <c r="AM98" i="19"/>
  <c r="AN98" i="19"/>
  <c r="AO98" i="19"/>
  <c r="AP98" i="19"/>
  <c r="AQ98" i="19"/>
  <c r="AR98" i="19"/>
  <c r="C99" i="19"/>
  <c r="D99" i="19"/>
  <c r="E99" i="19"/>
  <c r="F99" i="19"/>
  <c r="H99" i="19"/>
  <c r="I99" i="19"/>
  <c r="J99" i="19"/>
  <c r="K99" i="19"/>
  <c r="L99" i="19"/>
  <c r="M99" i="19"/>
  <c r="N99" i="19"/>
  <c r="P99" i="19"/>
  <c r="Q99" i="19"/>
  <c r="S99" i="19"/>
  <c r="V99" i="19"/>
  <c r="W99" i="19"/>
  <c r="X99" i="19"/>
  <c r="Z99" i="19"/>
  <c r="AA99" i="19"/>
  <c r="AC99" i="19"/>
  <c r="AE99" i="19"/>
  <c r="AF99" i="19"/>
  <c r="AG99" i="19"/>
  <c r="AH99" i="19"/>
  <c r="AI99" i="19"/>
  <c r="AJ99" i="19"/>
  <c r="AK99" i="19"/>
  <c r="AL99" i="19"/>
  <c r="AM99" i="19"/>
  <c r="AN99" i="19"/>
  <c r="AO99" i="19"/>
  <c r="AP99" i="19"/>
  <c r="AQ99" i="19"/>
  <c r="AR99" i="19"/>
  <c r="C100" i="19"/>
  <c r="D100" i="19"/>
  <c r="E100" i="19"/>
  <c r="F100" i="19"/>
  <c r="H100" i="19"/>
  <c r="I100" i="19"/>
  <c r="J100" i="19"/>
  <c r="K100" i="19"/>
  <c r="L100" i="19"/>
  <c r="M100" i="19"/>
  <c r="N100" i="19"/>
  <c r="P100" i="19"/>
  <c r="Q100" i="19"/>
  <c r="S100" i="19"/>
  <c r="V100" i="19"/>
  <c r="W100" i="19"/>
  <c r="X100" i="19"/>
  <c r="Z100" i="19"/>
  <c r="AA100" i="19"/>
  <c r="AC100" i="19"/>
  <c r="AE100" i="19"/>
  <c r="AF100" i="19"/>
  <c r="AG100" i="19"/>
  <c r="AH100" i="19"/>
  <c r="AI100" i="19"/>
  <c r="AJ100" i="19"/>
  <c r="AK100" i="19"/>
  <c r="AL100" i="19"/>
  <c r="AM100" i="19"/>
  <c r="AN100" i="19"/>
  <c r="AO100" i="19"/>
  <c r="AP100" i="19"/>
  <c r="AQ100" i="19"/>
  <c r="AR100" i="19"/>
  <c r="C101" i="19"/>
  <c r="D101" i="19"/>
  <c r="E101" i="19"/>
  <c r="F101" i="19"/>
  <c r="H101" i="19"/>
  <c r="I101" i="19"/>
  <c r="J101" i="19"/>
  <c r="K101" i="19"/>
  <c r="L101" i="19"/>
  <c r="M101" i="19"/>
  <c r="N101" i="19"/>
  <c r="P101" i="19"/>
  <c r="Q101" i="19"/>
  <c r="S101" i="19"/>
  <c r="V101" i="19"/>
  <c r="W101" i="19"/>
  <c r="X101" i="19"/>
  <c r="Z101" i="19"/>
  <c r="AA101" i="19"/>
  <c r="AC101" i="19"/>
  <c r="AE101" i="19"/>
  <c r="AF101" i="19"/>
  <c r="AG101" i="19"/>
  <c r="AH101" i="19"/>
  <c r="AI101" i="19"/>
  <c r="AJ101" i="19"/>
  <c r="AK101" i="19"/>
  <c r="AL101" i="19"/>
  <c r="AM101" i="19"/>
  <c r="AN101" i="19"/>
  <c r="AO101" i="19"/>
  <c r="AP101" i="19"/>
  <c r="AQ101" i="19"/>
  <c r="AR101" i="19"/>
  <c r="C102" i="19"/>
  <c r="D102" i="19"/>
  <c r="E102" i="19"/>
  <c r="F102" i="19"/>
  <c r="H102" i="19"/>
  <c r="I102" i="19"/>
  <c r="J102" i="19"/>
  <c r="K102" i="19"/>
  <c r="L102" i="19"/>
  <c r="M102" i="19"/>
  <c r="N102" i="19"/>
  <c r="P102" i="19"/>
  <c r="Q102" i="19"/>
  <c r="S102" i="19"/>
  <c r="V102" i="19"/>
  <c r="W102" i="19"/>
  <c r="X102" i="19"/>
  <c r="Z102" i="19"/>
  <c r="AA102" i="19"/>
  <c r="AC102" i="19"/>
  <c r="AE102" i="19"/>
  <c r="AF102" i="19"/>
  <c r="AG102" i="19"/>
  <c r="AH102" i="19"/>
  <c r="AI102" i="19"/>
  <c r="AJ102" i="19"/>
  <c r="AK102" i="19"/>
  <c r="AL102" i="19"/>
  <c r="AM102" i="19"/>
  <c r="AN102" i="19"/>
  <c r="AO102" i="19"/>
  <c r="AP102" i="19"/>
  <c r="AQ102" i="19"/>
  <c r="AR102" i="19"/>
  <c r="C103" i="19"/>
  <c r="D103" i="19"/>
  <c r="E103" i="19"/>
  <c r="F103" i="19"/>
  <c r="H103" i="19"/>
  <c r="I103" i="19"/>
  <c r="J103" i="19"/>
  <c r="K103" i="19"/>
  <c r="L103" i="19"/>
  <c r="M103" i="19"/>
  <c r="N103" i="19"/>
  <c r="P103" i="19"/>
  <c r="Q103" i="19"/>
  <c r="S103" i="19"/>
  <c r="V103" i="19"/>
  <c r="W103" i="19"/>
  <c r="X103" i="19"/>
  <c r="Z103" i="19"/>
  <c r="AA103" i="19"/>
  <c r="AC103" i="19"/>
  <c r="AE103" i="19"/>
  <c r="AF103" i="19"/>
  <c r="AG103" i="19"/>
  <c r="AH103" i="19"/>
  <c r="AI103" i="19"/>
  <c r="AJ103" i="19"/>
  <c r="AK103" i="19"/>
  <c r="AL103" i="19"/>
  <c r="AM103" i="19"/>
  <c r="AN103" i="19"/>
  <c r="AO103" i="19"/>
  <c r="AP103" i="19"/>
  <c r="AQ103" i="19"/>
  <c r="AR103" i="19"/>
  <c r="C104" i="19"/>
  <c r="D104" i="19"/>
  <c r="E104" i="19"/>
  <c r="F104" i="19"/>
  <c r="H104" i="19"/>
  <c r="I104" i="19"/>
  <c r="J104" i="19"/>
  <c r="K104" i="19"/>
  <c r="L104" i="19"/>
  <c r="M104" i="19"/>
  <c r="N104" i="19"/>
  <c r="P104" i="19"/>
  <c r="Q104" i="19"/>
  <c r="S104" i="19"/>
  <c r="V104" i="19"/>
  <c r="W104" i="19"/>
  <c r="X104" i="19"/>
  <c r="Z104" i="19"/>
  <c r="AA104" i="19"/>
  <c r="AC104" i="19"/>
  <c r="AE104" i="19"/>
  <c r="AF104" i="19"/>
  <c r="AG104" i="19"/>
  <c r="AH104" i="19"/>
  <c r="AI104" i="19"/>
  <c r="AJ104" i="19"/>
  <c r="AK104" i="19"/>
  <c r="AL104" i="19"/>
  <c r="AM104" i="19"/>
  <c r="AN104" i="19"/>
  <c r="AO104" i="19"/>
  <c r="AP104" i="19"/>
  <c r="AQ104" i="19"/>
  <c r="AR104" i="19"/>
  <c r="C105" i="19"/>
  <c r="D105" i="19"/>
  <c r="E105" i="19"/>
  <c r="F105" i="19"/>
  <c r="H105" i="19"/>
  <c r="I105" i="19"/>
  <c r="J105" i="19"/>
  <c r="K105" i="19"/>
  <c r="L105" i="19"/>
  <c r="M105" i="19"/>
  <c r="N105" i="19"/>
  <c r="P105" i="19"/>
  <c r="Q105" i="19"/>
  <c r="S105" i="19"/>
  <c r="V105" i="19"/>
  <c r="W105" i="19"/>
  <c r="X105" i="19"/>
  <c r="Z105" i="19"/>
  <c r="AA105" i="19"/>
  <c r="AC105" i="19"/>
  <c r="AE105" i="19"/>
  <c r="AF105" i="19"/>
  <c r="AG105" i="19"/>
  <c r="AH105" i="19"/>
  <c r="AI105" i="19"/>
  <c r="AJ105" i="19"/>
  <c r="AK105" i="19"/>
  <c r="AL105" i="19"/>
  <c r="AM105" i="19"/>
  <c r="AN105" i="19"/>
  <c r="AO105" i="19"/>
  <c r="AP105" i="19"/>
  <c r="AQ105" i="19"/>
  <c r="AR105" i="19"/>
  <c r="C106" i="19"/>
  <c r="D106" i="19"/>
  <c r="E106" i="19"/>
  <c r="F106" i="19"/>
  <c r="H106" i="19"/>
  <c r="I106" i="19"/>
  <c r="J106" i="19"/>
  <c r="K106" i="19"/>
  <c r="L106" i="19"/>
  <c r="M106" i="19"/>
  <c r="N106" i="19"/>
  <c r="P106" i="19"/>
  <c r="Q106" i="19"/>
  <c r="S106" i="19"/>
  <c r="V106" i="19"/>
  <c r="W106" i="19"/>
  <c r="X106" i="19"/>
  <c r="Z106" i="19"/>
  <c r="AA106" i="19"/>
  <c r="AC106" i="19"/>
  <c r="AE106" i="19"/>
  <c r="AF106" i="19"/>
  <c r="AG106" i="19"/>
  <c r="AH106" i="19"/>
  <c r="AI106" i="19"/>
  <c r="AJ106" i="19"/>
  <c r="AK106" i="19"/>
  <c r="AL106" i="19"/>
  <c r="AM106" i="19"/>
  <c r="AN106" i="19"/>
  <c r="AO106" i="19"/>
  <c r="AP106" i="19"/>
  <c r="AQ106" i="19"/>
  <c r="AR106" i="19"/>
  <c r="C107" i="19"/>
  <c r="D107" i="19"/>
  <c r="E107" i="19"/>
  <c r="F107" i="19"/>
  <c r="H107" i="19"/>
  <c r="I107" i="19"/>
  <c r="J107" i="19"/>
  <c r="K107" i="19"/>
  <c r="L107" i="19"/>
  <c r="M107" i="19"/>
  <c r="N107" i="19"/>
  <c r="P107" i="19"/>
  <c r="Q107" i="19"/>
  <c r="S107" i="19"/>
  <c r="V107" i="19"/>
  <c r="W107" i="19"/>
  <c r="X107" i="19"/>
  <c r="Z107" i="19"/>
  <c r="AA107" i="19"/>
  <c r="AC107" i="19"/>
  <c r="AE107" i="19"/>
  <c r="AF107" i="19"/>
  <c r="AG107" i="19"/>
  <c r="AH107" i="19"/>
  <c r="AI107" i="19"/>
  <c r="AJ107" i="19"/>
  <c r="AK107" i="19"/>
  <c r="AL107" i="19"/>
  <c r="AM107" i="19"/>
  <c r="AN107" i="19"/>
  <c r="AO107" i="19"/>
  <c r="AP107" i="19"/>
  <c r="AQ107" i="19"/>
  <c r="AR107" i="19"/>
  <c r="C108" i="19"/>
  <c r="D108" i="19"/>
  <c r="E108" i="19"/>
  <c r="F108" i="19"/>
  <c r="H108" i="19"/>
  <c r="I108" i="19"/>
  <c r="J108" i="19"/>
  <c r="K108" i="19"/>
  <c r="L108" i="19"/>
  <c r="M108" i="19"/>
  <c r="N108" i="19"/>
  <c r="P108" i="19"/>
  <c r="Q108" i="19"/>
  <c r="S108" i="19"/>
  <c r="V108" i="19"/>
  <c r="W108" i="19"/>
  <c r="X108" i="19"/>
  <c r="Z108" i="19"/>
  <c r="AA108" i="19"/>
  <c r="AC108" i="19"/>
  <c r="AE108" i="19"/>
  <c r="AF108" i="19"/>
  <c r="AG108" i="19"/>
  <c r="AH108" i="19"/>
  <c r="AI108" i="19"/>
  <c r="AJ108" i="19"/>
  <c r="AK108" i="19"/>
  <c r="AL108" i="19"/>
  <c r="AM108" i="19"/>
  <c r="AN108" i="19"/>
  <c r="AO108" i="19"/>
  <c r="AP108" i="19"/>
  <c r="AQ108" i="19"/>
  <c r="AR108" i="19"/>
  <c r="C109" i="19"/>
  <c r="D109" i="19"/>
  <c r="E109" i="19"/>
  <c r="F109" i="19"/>
  <c r="H109" i="19"/>
  <c r="I109" i="19"/>
  <c r="J109" i="19"/>
  <c r="K109" i="19"/>
  <c r="L109" i="19"/>
  <c r="M109" i="19"/>
  <c r="N109" i="19"/>
  <c r="P109" i="19"/>
  <c r="Q109" i="19"/>
  <c r="S109" i="19"/>
  <c r="V109" i="19"/>
  <c r="W109" i="19"/>
  <c r="X109" i="19"/>
  <c r="Z109" i="19"/>
  <c r="AA109" i="19"/>
  <c r="AC109" i="19"/>
  <c r="AE109" i="19"/>
  <c r="AF109" i="19"/>
  <c r="AG109" i="19"/>
  <c r="AH109" i="19"/>
  <c r="AI109" i="19"/>
  <c r="AJ109" i="19"/>
  <c r="AK109" i="19"/>
  <c r="AL109" i="19"/>
  <c r="AM109" i="19"/>
  <c r="AN109" i="19"/>
  <c r="AO109" i="19"/>
  <c r="AP109" i="19"/>
  <c r="AQ109" i="19"/>
  <c r="AR109" i="19"/>
  <c r="C110" i="19"/>
  <c r="D110" i="19"/>
  <c r="E110" i="19"/>
  <c r="F110" i="19"/>
  <c r="H110" i="19"/>
  <c r="I110" i="19"/>
  <c r="J110" i="19"/>
  <c r="K110" i="19"/>
  <c r="L110" i="19"/>
  <c r="M110" i="19"/>
  <c r="N110" i="19"/>
  <c r="P110" i="19"/>
  <c r="Q110" i="19"/>
  <c r="S110" i="19"/>
  <c r="V110" i="19"/>
  <c r="W110" i="19"/>
  <c r="X110" i="19"/>
  <c r="Z110" i="19"/>
  <c r="AA110" i="19"/>
  <c r="AC110" i="19"/>
  <c r="AE110" i="19"/>
  <c r="AF110" i="19"/>
  <c r="AG110" i="19"/>
  <c r="AH110" i="19"/>
  <c r="AI110" i="19"/>
  <c r="AJ110" i="19"/>
  <c r="AK110" i="19"/>
  <c r="AL110" i="19"/>
  <c r="AM110" i="19"/>
  <c r="AN110" i="19"/>
  <c r="AO110" i="19"/>
  <c r="AP110" i="19"/>
  <c r="AQ110" i="19"/>
  <c r="AR110" i="19"/>
  <c r="C111" i="19"/>
  <c r="D111" i="19"/>
  <c r="E111" i="19"/>
  <c r="F111" i="19"/>
  <c r="H111" i="19"/>
  <c r="I111" i="19"/>
  <c r="J111" i="19"/>
  <c r="K111" i="19"/>
  <c r="L111" i="19"/>
  <c r="M111" i="19"/>
  <c r="N111" i="19"/>
  <c r="P111" i="19"/>
  <c r="Q111" i="19"/>
  <c r="S111" i="19"/>
  <c r="V111" i="19"/>
  <c r="W111" i="19"/>
  <c r="X111" i="19"/>
  <c r="Z111" i="19"/>
  <c r="AA111" i="19"/>
  <c r="AC111" i="19"/>
  <c r="AE111" i="19"/>
  <c r="AF111" i="19"/>
  <c r="AG111" i="19"/>
  <c r="AH111" i="19"/>
  <c r="AI111" i="19"/>
  <c r="AJ111" i="19"/>
  <c r="AK111" i="19"/>
  <c r="AL111" i="19"/>
  <c r="AM111" i="19"/>
  <c r="AN111" i="19"/>
  <c r="AO111" i="19"/>
  <c r="AP111" i="19"/>
  <c r="AQ111" i="19"/>
  <c r="AR111" i="19"/>
  <c r="C112" i="19"/>
  <c r="D112" i="19"/>
  <c r="E112" i="19"/>
  <c r="F112" i="19"/>
  <c r="H112" i="19"/>
  <c r="I112" i="19"/>
  <c r="J112" i="19"/>
  <c r="K112" i="19"/>
  <c r="L112" i="19"/>
  <c r="M112" i="19"/>
  <c r="N112" i="19"/>
  <c r="P112" i="19"/>
  <c r="Q112" i="19"/>
  <c r="S112" i="19"/>
  <c r="V112" i="19"/>
  <c r="W112" i="19"/>
  <c r="X112" i="19"/>
  <c r="Z112" i="19"/>
  <c r="AA112" i="19"/>
  <c r="AC112" i="19"/>
  <c r="AE112" i="19"/>
  <c r="AF112" i="19"/>
  <c r="AG112" i="19"/>
  <c r="AH112" i="19"/>
  <c r="AI112" i="19"/>
  <c r="AJ112" i="19"/>
  <c r="AK112" i="19"/>
  <c r="AL112" i="19"/>
  <c r="AM112" i="19"/>
  <c r="AN112" i="19"/>
  <c r="AO112" i="19"/>
  <c r="AP112" i="19"/>
  <c r="AQ112" i="19"/>
  <c r="AR112" i="19"/>
  <c r="C113" i="19"/>
  <c r="D113" i="19"/>
  <c r="E113" i="19"/>
  <c r="F113" i="19"/>
  <c r="H113" i="19"/>
  <c r="I113" i="19"/>
  <c r="J113" i="19"/>
  <c r="K113" i="19"/>
  <c r="L113" i="19"/>
  <c r="M113" i="19"/>
  <c r="N113" i="19"/>
  <c r="P113" i="19"/>
  <c r="Q113" i="19"/>
  <c r="S113" i="19"/>
  <c r="V113" i="19"/>
  <c r="W113" i="19"/>
  <c r="X113" i="19"/>
  <c r="Z113" i="19"/>
  <c r="AA113" i="19"/>
  <c r="AC113" i="19"/>
  <c r="AE113" i="19"/>
  <c r="AF113" i="19"/>
  <c r="AG113" i="19"/>
  <c r="AH113" i="19"/>
  <c r="AI113" i="19"/>
  <c r="AJ113" i="19"/>
  <c r="AK113" i="19"/>
  <c r="AL113" i="19"/>
  <c r="AM113" i="19"/>
  <c r="AN113" i="19"/>
  <c r="AO113" i="19"/>
  <c r="AP113" i="19"/>
  <c r="AQ113" i="19"/>
  <c r="AR113" i="19"/>
  <c r="C114" i="19"/>
  <c r="D114" i="19"/>
  <c r="E114" i="19"/>
  <c r="F114" i="19"/>
  <c r="H114" i="19"/>
  <c r="I114" i="19"/>
  <c r="J114" i="19"/>
  <c r="K114" i="19"/>
  <c r="L114" i="19"/>
  <c r="M114" i="19"/>
  <c r="N114" i="19"/>
  <c r="P114" i="19"/>
  <c r="Q114" i="19"/>
  <c r="S114" i="19"/>
  <c r="V114" i="19"/>
  <c r="W114" i="19"/>
  <c r="X114" i="19"/>
  <c r="Z114" i="19"/>
  <c r="AA114" i="19"/>
  <c r="AC114" i="19"/>
  <c r="AE114" i="19"/>
  <c r="AF114" i="19"/>
  <c r="AG114" i="19"/>
  <c r="AH114" i="19"/>
  <c r="AI114" i="19"/>
  <c r="AJ114" i="19"/>
  <c r="AK114" i="19"/>
  <c r="AL114" i="19"/>
  <c r="AM114" i="19"/>
  <c r="AN114" i="19"/>
  <c r="AO114" i="19"/>
  <c r="AP114" i="19"/>
  <c r="AQ114" i="19"/>
  <c r="AR114" i="19"/>
  <c r="C115" i="19"/>
  <c r="D115" i="19"/>
  <c r="E115" i="19"/>
  <c r="F115" i="19"/>
  <c r="H115" i="19"/>
  <c r="I115" i="19"/>
  <c r="J115" i="19"/>
  <c r="K115" i="19"/>
  <c r="L115" i="19"/>
  <c r="M115" i="19"/>
  <c r="N115" i="19"/>
  <c r="P115" i="19"/>
  <c r="Q115" i="19"/>
  <c r="S115" i="19"/>
  <c r="V115" i="19"/>
  <c r="W115" i="19"/>
  <c r="X115" i="19"/>
  <c r="Z115" i="19"/>
  <c r="AA115" i="19"/>
  <c r="AC115" i="19"/>
  <c r="AE115" i="19"/>
  <c r="AF115" i="19"/>
  <c r="AG115" i="19"/>
  <c r="AH115" i="19"/>
  <c r="AI115" i="19"/>
  <c r="AJ115" i="19"/>
  <c r="AK115" i="19"/>
  <c r="AL115" i="19"/>
  <c r="AM115" i="19"/>
  <c r="AN115" i="19"/>
  <c r="AO115" i="19"/>
  <c r="AP115" i="19"/>
  <c r="AQ115" i="19"/>
  <c r="AR115" i="19"/>
  <c r="C116" i="19"/>
  <c r="D116" i="19"/>
  <c r="E116" i="19"/>
  <c r="F116" i="19"/>
  <c r="H116" i="19"/>
  <c r="I116" i="19"/>
  <c r="J116" i="19"/>
  <c r="K116" i="19"/>
  <c r="L116" i="19"/>
  <c r="M116" i="19"/>
  <c r="N116" i="19"/>
  <c r="P116" i="19"/>
  <c r="Q116" i="19"/>
  <c r="S116" i="19"/>
  <c r="V116" i="19"/>
  <c r="W116" i="19"/>
  <c r="X116" i="19"/>
  <c r="Z116" i="19"/>
  <c r="AA116" i="19"/>
  <c r="AC116" i="19"/>
  <c r="AE116" i="19"/>
  <c r="AF116" i="19"/>
  <c r="AG116" i="19"/>
  <c r="AH116" i="19"/>
  <c r="AI116" i="19"/>
  <c r="AJ116" i="19"/>
  <c r="AK116" i="19"/>
  <c r="AL116" i="19"/>
  <c r="AM116" i="19"/>
  <c r="AN116" i="19"/>
  <c r="AO116" i="19"/>
  <c r="AP116" i="19"/>
  <c r="AQ116" i="19"/>
  <c r="AR116" i="19"/>
  <c r="C117" i="19"/>
  <c r="D117" i="19"/>
  <c r="E117" i="19"/>
  <c r="F117" i="19"/>
  <c r="H117" i="19"/>
  <c r="I117" i="19"/>
  <c r="J117" i="19"/>
  <c r="K117" i="19"/>
  <c r="L117" i="19"/>
  <c r="M117" i="19"/>
  <c r="N117" i="19"/>
  <c r="Q117" i="19"/>
  <c r="O117" i="19" s="1"/>
  <c r="S117" i="19"/>
  <c r="V117" i="19"/>
  <c r="W117" i="19"/>
  <c r="X117" i="19"/>
  <c r="Z117" i="19"/>
  <c r="AA117" i="19"/>
  <c r="AC117" i="19"/>
  <c r="AE117" i="19"/>
  <c r="AF117" i="19"/>
  <c r="AG117" i="19"/>
  <c r="AH117" i="19"/>
  <c r="AI117" i="19"/>
  <c r="AJ117" i="19"/>
  <c r="AK117" i="19"/>
  <c r="AL117" i="19"/>
  <c r="AM117" i="19"/>
  <c r="AN117" i="19"/>
  <c r="AO117" i="19"/>
  <c r="AP117" i="19"/>
  <c r="AQ117" i="19"/>
  <c r="AR117" i="19"/>
  <c r="C118" i="19"/>
  <c r="D118" i="19"/>
  <c r="E118" i="19"/>
  <c r="F118" i="19"/>
  <c r="H118" i="19"/>
  <c r="I118" i="19"/>
  <c r="J118" i="19"/>
  <c r="K118" i="19"/>
  <c r="L118" i="19"/>
  <c r="M118" i="19"/>
  <c r="N118" i="19"/>
  <c r="P118" i="19"/>
  <c r="Q118" i="19"/>
  <c r="S118" i="19"/>
  <c r="V118" i="19"/>
  <c r="W118" i="19"/>
  <c r="X118" i="19"/>
  <c r="Z118" i="19"/>
  <c r="AA118" i="19"/>
  <c r="AC118" i="19"/>
  <c r="AE118" i="19"/>
  <c r="AF118" i="19"/>
  <c r="AG118" i="19"/>
  <c r="AH118" i="19"/>
  <c r="AI118" i="19"/>
  <c r="AJ118" i="19"/>
  <c r="AK118" i="19"/>
  <c r="AL118" i="19"/>
  <c r="AM118" i="19"/>
  <c r="AN118" i="19"/>
  <c r="AO118" i="19"/>
  <c r="AP118" i="19"/>
  <c r="AQ118" i="19"/>
  <c r="AR118" i="19"/>
  <c r="C119" i="19"/>
  <c r="D119" i="19"/>
  <c r="E119" i="19"/>
  <c r="F119" i="19"/>
  <c r="H119" i="19"/>
  <c r="I119" i="19"/>
  <c r="J119" i="19"/>
  <c r="K119" i="19"/>
  <c r="L119" i="19"/>
  <c r="M119" i="19"/>
  <c r="N119" i="19"/>
  <c r="P119" i="19"/>
  <c r="Q119" i="19"/>
  <c r="S119" i="19"/>
  <c r="V119" i="19"/>
  <c r="W119" i="19"/>
  <c r="X119" i="19"/>
  <c r="Z119" i="19"/>
  <c r="AA119" i="19"/>
  <c r="AC119" i="19"/>
  <c r="AE119" i="19"/>
  <c r="AF119" i="19"/>
  <c r="AG119" i="19"/>
  <c r="AH119" i="19"/>
  <c r="AI119" i="19"/>
  <c r="AJ119" i="19"/>
  <c r="AK119" i="19"/>
  <c r="AL119" i="19"/>
  <c r="AM119" i="19"/>
  <c r="AN119" i="19"/>
  <c r="AO119" i="19"/>
  <c r="AP119" i="19"/>
  <c r="AQ119" i="19"/>
  <c r="AR119" i="19"/>
  <c r="C120" i="19"/>
  <c r="D120" i="19"/>
  <c r="E120" i="19"/>
  <c r="F120" i="19"/>
  <c r="H120" i="19"/>
  <c r="I120" i="19"/>
  <c r="J120" i="19"/>
  <c r="K120" i="19"/>
  <c r="L120" i="19"/>
  <c r="M120" i="19"/>
  <c r="N120" i="19"/>
  <c r="P120" i="19"/>
  <c r="Q120" i="19"/>
  <c r="S120" i="19"/>
  <c r="V120" i="19"/>
  <c r="W120" i="19"/>
  <c r="X120" i="19"/>
  <c r="Z120" i="19"/>
  <c r="AA120" i="19"/>
  <c r="AC120" i="19"/>
  <c r="AE120" i="19"/>
  <c r="AF120" i="19"/>
  <c r="AG120" i="19"/>
  <c r="AH120" i="19"/>
  <c r="AI120" i="19"/>
  <c r="AJ120" i="19"/>
  <c r="AK120" i="19"/>
  <c r="AL120" i="19"/>
  <c r="AM120" i="19"/>
  <c r="AN120" i="19"/>
  <c r="AO120" i="19"/>
  <c r="AP120" i="19"/>
  <c r="AQ120" i="19"/>
  <c r="AR120" i="19"/>
  <c r="C121" i="19"/>
  <c r="D121" i="19"/>
  <c r="E121" i="19"/>
  <c r="F121" i="19"/>
  <c r="H121" i="19"/>
  <c r="I121" i="19"/>
  <c r="J121" i="19"/>
  <c r="K121" i="19"/>
  <c r="L121" i="19"/>
  <c r="M121" i="19"/>
  <c r="N121" i="19"/>
  <c r="P121" i="19"/>
  <c r="Q121" i="19"/>
  <c r="S121" i="19"/>
  <c r="V121" i="19"/>
  <c r="W121" i="19"/>
  <c r="X121" i="19"/>
  <c r="Z121" i="19"/>
  <c r="AA121" i="19"/>
  <c r="AC121" i="19"/>
  <c r="AE121" i="19"/>
  <c r="AF121" i="19"/>
  <c r="AG121" i="19"/>
  <c r="AH121" i="19"/>
  <c r="AI121" i="19"/>
  <c r="AJ121" i="19"/>
  <c r="AK121" i="19"/>
  <c r="AL121" i="19"/>
  <c r="AM121" i="19"/>
  <c r="AN121" i="19"/>
  <c r="AO121" i="19"/>
  <c r="AP121" i="19"/>
  <c r="AQ121" i="19"/>
  <c r="AR121" i="19"/>
  <c r="C122" i="19"/>
  <c r="D122" i="19"/>
  <c r="E122" i="19"/>
  <c r="F122" i="19"/>
  <c r="H122" i="19"/>
  <c r="I122" i="19"/>
  <c r="J122" i="19"/>
  <c r="K122" i="19"/>
  <c r="L122" i="19"/>
  <c r="M122" i="19"/>
  <c r="N122" i="19"/>
  <c r="P122" i="19"/>
  <c r="Q122" i="19"/>
  <c r="S122" i="19"/>
  <c r="V122" i="19"/>
  <c r="W122" i="19"/>
  <c r="X122" i="19"/>
  <c r="Z122" i="19"/>
  <c r="AA122" i="19"/>
  <c r="AC122" i="19"/>
  <c r="AE122" i="19"/>
  <c r="AF122" i="19"/>
  <c r="AG122" i="19"/>
  <c r="AH122" i="19"/>
  <c r="AI122" i="19"/>
  <c r="AJ122" i="19"/>
  <c r="AK122" i="19"/>
  <c r="AL122" i="19"/>
  <c r="AM122" i="19"/>
  <c r="AN122" i="19"/>
  <c r="AO122" i="19"/>
  <c r="AP122" i="19"/>
  <c r="AQ122" i="19"/>
  <c r="AR122" i="19"/>
  <c r="C123" i="19"/>
  <c r="D123" i="19"/>
  <c r="E123" i="19"/>
  <c r="F123" i="19"/>
  <c r="H123" i="19"/>
  <c r="I123" i="19"/>
  <c r="J123" i="19"/>
  <c r="K123" i="19"/>
  <c r="L123" i="19"/>
  <c r="M123" i="19"/>
  <c r="N123" i="19"/>
  <c r="P123" i="19"/>
  <c r="Q123" i="19"/>
  <c r="S123" i="19"/>
  <c r="V123" i="19"/>
  <c r="W123" i="19"/>
  <c r="X123" i="19"/>
  <c r="Z123" i="19"/>
  <c r="AA123" i="19"/>
  <c r="AC123" i="19"/>
  <c r="AE123" i="19"/>
  <c r="AF123" i="19"/>
  <c r="AG123" i="19"/>
  <c r="AH123" i="19"/>
  <c r="AI123" i="19"/>
  <c r="AJ123" i="19"/>
  <c r="AK123" i="19"/>
  <c r="AL123" i="19"/>
  <c r="AM123" i="19"/>
  <c r="AN123" i="19"/>
  <c r="AO123" i="19"/>
  <c r="AP123" i="19"/>
  <c r="AQ123" i="19"/>
  <c r="AR123" i="19"/>
  <c r="C124" i="19"/>
  <c r="D124" i="19"/>
  <c r="E124" i="19"/>
  <c r="F124" i="19"/>
  <c r="H124" i="19"/>
  <c r="I124" i="19"/>
  <c r="J124" i="19"/>
  <c r="K124" i="19"/>
  <c r="L124" i="19"/>
  <c r="M124" i="19"/>
  <c r="N124" i="19"/>
  <c r="P124" i="19"/>
  <c r="Q124" i="19"/>
  <c r="S124" i="19"/>
  <c r="V124" i="19"/>
  <c r="W124" i="19"/>
  <c r="X124" i="19"/>
  <c r="Z124" i="19"/>
  <c r="AA124" i="19"/>
  <c r="AC124" i="19"/>
  <c r="AE124" i="19"/>
  <c r="AF124" i="19"/>
  <c r="AG124" i="19"/>
  <c r="AH124" i="19"/>
  <c r="AI124" i="19"/>
  <c r="AJ124" i="19"/>
  <c r="AK124" i="19"/>
  <c r="AL124" i="19"/>
  <c r="AM124" i="19"/>
  <c r="AN124" i="19"/>
  <c r="AO124" i="19"/>
  <c r="AP124" i="19"/>
  <c r="AQ124" i="19"/>
  <c r="AR124" i="19"/>
  <c r="C125" i="19"/>
  <c r="D125" i="19"/>
  <c r="E125" i="19"/>
  <c r="F125" i="19"/>
  <c r="H125" i="19"/>
  <c r="I125" i="19"/>
  <c r="J125" i="19"/>
  <c r="K125" i="19"/>
  <c r="L125" i="19"/>
  <c r="M125" i="19"/>
  <c r="N125" i="19"/>
  <c r="P125" i="19"/>
  <c r="Q125" i="19"/>
  <c r="S125" i="19"/>
  <c r="V125" i="19"/>
  <c r="W125" i="19"/>
  <c r="X125" i="19"/>
  <c r="Z125" i="19"/>
  <c r="AA125" i="19"/>
  <c r="AC125" i="19"/>
  <c r="AE125" i="19"/>
  <c r="AF125" i="19"/>
  <c r="AG125" i="19"/>
  <c r="AH125" i="19"/>
  <c r="AI125" i="19"/>
  <c r="AJ125" i="19"/>
  <c r="AK125" i="19"/>
  <c r="AL125" i="19"/>
  <c r="AM125" i="19"/>
  <c r="AN125" i="19"/>
  <c r="AO125" i="19"/>
  <c r="AP125" i="19"/>
  <c r="AQ125" i="19"/>
  <c r="AR125" i="19"/>
  <c r="C126" i="19"/>
  <c r="D126" i="19"/>
  <c r="E126" i="19"/>
  <c r="F126" i="19"/>
  <c r="H126" i="19"/>
  <c r="I126" i="19"/>
  <c r="J126" i="19"/>
  <c r="K126" i="19"/>
  <c r="L126" i="19"/>
  <c r="M126" i="19"/>
  <c r="N126" i="19"/>
  <c r="P126" i="19"/>
  <c r="Q126" i="19"/>
  <c r="S126" i="19"/>
  <c r="V126" i="19"/>
  <c r="W126" i="19"/>
  <c r="X126" i="19"/>
  <c r="Z126" i="19"/>
  <c r="AA126" i="19"/>
  <c r="AC126" i="19"/>
  <c r="AE126" i="19"/>
  <c r="AF126" i="19"/>
  <c r="AG126" i="19"/>
  <c r="AH126" i="19"/>
  <c r="AI126" i="19"/>
  <c r="AJ126" i="19"/>
  <c r="AK126" i="19"/>
  <c r="AL126" i="19"/>
  <c r="AM126" i="19"/>
  <c r="AN126" i="19"/>
  <c r="AO126" i="19"/>
  <c r="AP126" i="19"/>
  <c r="AQ126" i="19"/>
  <c r="AR126" i="19"/>
  <c r="C127" i="19"/>
  <c r="D127" i="19"/>
  <c r="E127" i="19"/>
  <c r="F127" i="19"/>
  <c r="H127" i="19"/>
  <c r="I127" i="19"/>
  <c r="J127" i="19"/>
  <c r="K127" i="19"/>
  <c r="L127" i="19"/>
  <c r="M127" i="19"/>
  <c r="N127" i="19"/>
  <c r="P127" i="19"/>
  <c r="Q127" i="19"/>
  <c r="S127" i="19"/>
  <c r="V127" i="19"/>
  <c r="W127" i="19"/>
  <c r="X127" i="19"/>
  <c r="Z127" i="19"/>
  <c r="AA127" i="19"/>
  <c r="AC127" i="19"/>
  <c r="AE127" i="19"/>
  <c r="AF127" i="19"/>
  <c r="AG127" i="19"/>
  <c r="AH127" i="19"/>
  <c r="AI127" i="19"/>
  <c r="AJ127" i="19"/>
  <c r="AK127" i="19"/>
  <c r="AL127" i="19"/>
  <c r="AM127" i="19"/>
  <c r="AN127" i="19"/>
  <c r="AO127" i="19"/>
  <c r="AP127" i="19"/>
  <c r="AQ127" i="19"/>
  <c r="AR127" i="19"/>
  <c r="C128" i="19"/>
  <c r="D128" i="19"/>
  <c r="E128" i="19"/>
  <c r="F128" i="19"/>
  <c r="H128" i="19"/>
  <c r="I128" i="19"/>
  <c r="J128" i="19"/>
  <c r="K128" i="19"/>
  <c r="L128" i="19"/>
  <c r="M128" i="19"/>
  <c r="N128" i="19"/>
  <c r="P128" i="19"/>
  <c r="Q128" i="19"/>
  <c r="S128" i="19"/>
  <c r="V128" i="19"/>
  <c r="W128" i="19"/>
  <c r="X128" i="19"/>
  <c r="Z128" i="19"/>
  <c r="AA128" i="19"/>
  <c r="AC128" i="19"/>
  <c r="AE128" i="19"/>
  <c r="AF128" i="19"/>
  <c r="AG128" i="19"/>
  <c r="AH128" i="19"/>
  <c r="AI128" i="19"/>
  <c r="AJ128" i="19"/>
  <c r="AK128" i="19"/>
  <c r="AL128" i="19"/>
  <c r="AM128" i="19"/>
  <c r="AN128" i="19"/>
  <c r="AO128" i="19"/>
  <c r="AP128" i="19"/>
  <c r="AQ128" i="19"/>
  <c r="AR128" i="19"/>
  <c r="C129" i="19"/>
  <c r="D129" i="19"/>
  <c r="E129" i="19"/>
  <c r="F129" i="19"/>
  <c r="H129" i="19"/>
  <c r="I129" i="19"/>
  <c r="J129" i="19"/>
  <c r="K129" i="19"/>
  <c r="L129" i="19"/>
  <c r="M129" i="19"/>
  <c r="N129" i="19"/>
  <c r="P129" i="19"/>
  <c r="Q129" i="19"/>
  <c r="S129" i="19"/>
  <c r="V129" i="19"/>
  <c r="W129" i="19"/>
  <c r="X129" i="19"/>
  <c r="Z129" i="19"/>
  <c r="AA129" i="19"/>
  <c r="AC129" i="19"/>
  <c r="AE129" i="19"/>
  <c r="AF129" i="19"/>
  <c r="AG129" i="19"/>
  <c r="AH129" i="19"/>
  <c r="AI129" i="19"/>
  <c r="AJ129" i="19"/>
  <c r="AK129" i="19"/>
  <c r="AL129" i="19"/>
  <c r="AM129" i="19"/>
  <c r="AN129" i="19"/>
  <c r="AO129" i="19"/>
  <c r="AP129" i="19"/>
  <c r="AQ129" i="19"/>
  <c r="AR129" i="19"/>
  <c r="C130" i="19"/>
  <c r="D130" i="19"/>
  <c r="E130" i="19"/>
  <c r="F130" i="19"/>
  <c r="H130" i="19"/>
  <c r="I130" i="19"/>
  <c r="J130" i="19"/>
  <c r="K130" i="19"/>
  <c r="L130" i="19"/>
  <c r="M130" i="19"/>
  <c r="N130" i="19"/>
  <c r="P130" i="19"/>
  <c r="Q130" i="19"/>
  <c r="S130" i="19"/>
  <c r="V130" i="19"/>
  <c r="W130" i="19"/>
  <c r="X130" i="19"/>
  <c r="Z130" i="19"/>
  <c r="AA130" i="19"/>
  <c r="AC130" i="19"/>
  <c r="AE130" i="19"/>
  <c r="AF130" i="19"/>
  <c r="AG130" i="19"/>
  <c r="AH130" i="19"/>
  <c r="AI130" i="19"/>
  <c r="AJ130" i="19"/>
  <c r="AK130" i="19"/>
  <c r="AL130" i="19"/>
  <c r="AM130" i="19"/>
  <c r="AN130" i="19"/>
  <c r="AO130" i="19"/>
  <c r="AP130" i="19"/>
  <c r="AQ130" i="19"/>
  <c r="AR130" i="19"/>
  <c r="C131" i="19"/>
  <c r="D131" i="19"/>
  <c r="E131" i="19"/>
  <c r="F131" i="19"/>
  <c r="H131" i="19"/>
  <c r="I131" i="19"/>
  <c r="J131" i="19"/>
  <c r="K131" i="19"/>
  <c r="L131" i="19"/>
  <c r="M131" i="19"/>
  <c r="N131" i="19"/>
  <c r="P131" i="19"/>
  <c r="Q131" i="19"/>
  <c r="S131" i="19"/>
  <c r="V131" i="19"/>
  <c r="W131" i="19"/>
  <c r="X131" i="19"/>
  <c r="Z131" i="19"/>
  <c r="AA131" i="19"/>
  <c r="AC131" i="19"/>
  <c r="AE131" i="19"/>
  <c r="AF131" i="19"/>
  <c r="AG131" i="19"/>
  <c r="AH131" i="19"/>
  <c r="AI131" i="19"/>
  <c r="AJ131" i="19"/>
  <c r="AK131" i="19"/>
  <c r="AL131" i="19"/>
  <c r="AM131" i="19"/>
  <c r="AN131" i="19"/>
  <c r="AO131" i="19"/>
  <c r="AP131" i="19"/>
  <c r="AQ131" i="19"/>
  <c r="AR131" i="19"/>
  <c r="C132" i="19"/>
  <c r="D132" i="19"/>
  <c r="E132" i="19"/>
  <c r="F132" i="19"/>
  <c r="H132" i="19"/>
  <c r="I132" i="19"/>
  <c r="J132" i="19"/>
  <c r="K132" i="19"/>
  <c r="L132" i="19"/>
  <c r="M132" i="19"/>
  <c r="N132" i="19"/>
  <c r="P132" i="19"/>
  <c r="Q132" i="19"/>
  <c r="S132" i="19"/>
  <c r="V132" i="19"/>
  <c r="W132" i="19"/>
  <c r="X132" i="19"/>
  <c r="Z132" i="19"/>
  <c r="AA132" i="19"/>
  <c r="AC132" i="19"/>
  <c r="AE132" i="19"/>
  <c r="AF132" i="19"/>
  <c r="AG132" i="19"/>
  <c r="AH132" i="19"/>
  <c r="AI132" i="19"/>
  <c r="AJ132" i="19"/>
  <c r="AK132" i="19"/>
  <c r="AL132" i="19"/>
  <c r="AM132" i="19"/>
  <c r="AN132" i="19"/>
  <c r="AO132" i="19"/>
  <c r="AP132" i="19"/>
  <c r="AQ132" i="19"/>
  <c r="AR132" i="19"/>
  <c r="C133" i="19"/>
  <c r="D133" i="19"/>
  <c r="E133" i="19"/>
  <c r="F133" i="19"/>
  <c r="H133" i="19"/>
  <c r="I133" i="19"/>
  <c r="J133" i="19"/>
  <c r="K133" i="19"/>
  <c r="L133" i="19"/>
  <c r="M133" i="19"/>
  <c r="N133" i="19"/>
  <c r="P133" i="19"/>
  <c r="Q133" i="19"/>
  <c r="S133" i="19"/>
  <c r="V133" i="19"/>
  <c r="W133" i="19"/>
  <c r="X133" i="19"/>
  <c r="Z133" i="19"/>
  <c r="AA133" i="19"/>
  <c r="AC133" i="19"/>
  <c r="AE133" i="19"/>
  <c r="AF133" i="19"/>
  <c r="AG133" i="19"/>
  <c r="AH133" i="19"/>
  <c r="AI133" i="19"/>
  <c r="AJ133" i="19"/>
  <c r="AK133" i="19"/>
  <c r="AL133" i="19"/>
  <c r="AM133" i="19"/>
  <c r="AN133" i="19"/>
  <c r="AO133" i="19"/>
  <c r="AP133" i="19"/>
  <c r="AQ133" i="19"/>
  <c r="AR133" i="19"/>
  <c r="C134" i="19"/>
  <c r="D134" i="19"/>
  <c r="E134" i="19"/>
  <c r="F134" i="19"/>
  <c r="H134" i="19"/>
  <c r="I134" i="19"/>
  <c r="J134" i="19"/>
  <c r="K134" i="19"/>
  <c r="L134" i="19"/>
  <c r="M134" i="19"/>
  <c r="N134" i="19"/>
  <c r="P134" i="19"/>
  <c r="Q134" i="19"/>
  <c r="S134" i="19"/>
  <c r="V134" i="19"/>
  <c r="W134" i="19"/>
  <c r="X134" i="19"/>
  <c r="Z134" i="19"/>
  <c r="AA134" i="19"/>
  <c r="AC134" i="19"/>
  <c r="AE134" i="19"/>
  <c r="AF134" i="19"/>
  <c r="AG134" i="19"/>
  <c r="AH134" i="19"/>
  <c r="AI134" i="19"/>
  <c r="AJ134" i="19"/>
  <c r="AK134" i="19"/>
  <c r="AL134" i="19"/>
  <c r="AM134" i="19"/>
  <c r="AN134" i="19"/>
  <c r="AO134" i="19"/>
  <c r="AP134" i="19"/>
  <c r="AQ134" i="19"/>
  <c r="AR134" i="19"/>
  <c r="C135" i="19"/>
  <c r="D135" i="19"/>
  <c r="E135" i="19"/>
  <c r="F135" i="19"/>
  <c r="H135" i="19"/>
  <c r="I135" i="19"/>
  <c r="J135" i="19"/>
  <c r="K135" i="19"/>
  <c r="L135" i="19"/>
  <c r="M135" i="19"/>
  <c r="N135" i="19"/>
  <c r="P135" i="19"/>
  <c r="Q135" i="19"/>
  <c r="S135" i="19"/>
  <c r="V135" i="19"/>
  <c r="W135" i="19"/>
  <c r="X135" i="19"/>
  <c r="Z135" i="19"/>
  <c r="AA135" i="19"/>
  <c r="AC135" i="19"/>
  <c r="AE135" i="19"/>
  <c r="AF135" i="19"/>
  <c r="AG135" i="19"/>
  <c r="AH135" i="19"/>
  <c r="AI135" i="19"/>
  <c r="AJ135" i="19"/>
  <c r="AK135" i="19"/>
  <c r="AL135" i="19"/>
  <c r="AM135" i="19"/>
  <c r="AN135" i="19"/>
  <c r="AO135" i="19"/>
  <c r="AP135" i="19"/>
  <c r="AQ135" i="19"/>
  <c r="AR135" i="19"/>
  <c r="C136" i="19"/>
  <c r="D136" i="19"/>
  <c r="E136" i="19"/>
  <c r="F136" i="19"/>
  <c r="H136" i="19"/>
  <c r="I136" i="19"/>
  <c r="J136" i="19"/>
  <c r="K136" i="19"/>
  <c r="L136" i="19"/>
  <c r="M136" i="19"/>
  <c r="N136" i="19"/>
  <c r="P136" i="19"/>
  <c r="Q136" i="19"/>
  <c r="S136" i="19"/>
  <c r="V136" i="19"/>
  <c r="W136" i="19"/>
  <c r="X136" i="19"/>
  <c r="Z136" i="19"/>
  <c r="AA136" i="19"/>
  <c r="AC136" i="19"/>
  <c r="AE136" i="19"/>
  <c r="AF136" i="19"/>
  <c r="AG136" i="19"/>
  <c r="AH136" i="19"/>
  <c r="AI136" i="19"/>
  <c r="AJ136" i="19"/>
  <c r="AK136" i="19"/>
  <c r="AL136" i="19"/>
  <c r="AM136" i="19"/>
  <c r="AN136" i="19"/>
  <c r="AO136" i="19"/>
  <c r="AP136" i="19"/>
  <c r="AQ136" i="19"/>
  <c r="AR136" i="19"/>
  <c r="C137" i="19"/>
  <c r="D137" i="19"/>
  <c r="E137" i="19"/>
  <c r="F137" i="19"/>
  <c r="H137" i="19"/>
  <c r="I137" i="19"/>
  <c r="J137" i="19"/>
  <c r="K137" i="19"/>
  <c r="L137" i="19"/>
  <c r="M137" i="19"/>
  <c r="N137" i="19"/>
  <c r="P137" i="19"/>
  <c r="Q137" i="19"/>
  <c r="S137" i="19"/>
  <c r="V137" i="19"/>
  <c r="W137" i="19"/>
  <c r="X137" i="19"/>
  <c r="Z137" i="19"/>
  <c r="AA137" i="19"/>
  <c r="AC137" i="19"/>
  <c r="AE137" i="19"/>
  <c r="AF137" i="19"/>
  <c r="AG137" i="19"/>
  <c r="AH137" i="19"/>
  <c r="AI137" i="19"/>
  <c r="AJ137" i="19"/>
  <c r="AK137" i="19"/>
  <c r="AL137" i="19"/>
  <c r="AM137" i="19"/>
  <c r="AN137" i="19"/>
  <c r="AO137" i="19"/>
  <c r="AP137" i="19"/>
  <c r="AQ137" i="19"/>
  <c r="AR137" i="19"/>
  <c r="C138" i="19"/>
  <c r="D138" i="19"/>
  <c r="E138" i="19"/>
  <c r="F138" i="19"/>
  <c r="H138" i="19"/>
  <c r="I138" i="19"/>
  <c r="J138" i="19"/>
  <c r="K138" i="19"/>
  <c r="L138" i="19"/>
  <c r="M138" i="19"/>
  <c r="N138" i="19"/>
  <c r="P138" i="19"/>
  <c r="Q138" i="19"/>
  <c r="S138" i="19"/>
  <c r="V138" i="19"/>
  <c r="W138" i="19"/>
  <c r="X138" i="19"/>
  <c r="Z138" i="19"/>
  <c r="AA138" i="19"/>
  <c r="AC138" i="19"/>
  <c r="AE138" i="19"/>
  <c r="AF138" i="19"/>
  <c r="AG138" i="19"/>
  <c r="AH138" i="19"/>
  <c r="AI138" i="19"/>
  <c r="AJ138" i="19"/>
  <c r="AK138" i="19"/>
  <c r="AL138" i="19"/>
  <c r="AM138" i="19"/>
  <c r="AN138" i="19"/>
  <c r="AO138" i="19"/>
  <c r="AP138" i="19"/>
  <c r="AQ138" i="19"/>
  <c r="AR138" i="19"/>
  <c r="C139" i="19"/>
  <c r="D139" i="19"/>
  <c r="E139" i="19"/>
  <c r="F139" i="19"/>
  <c r="H139" i="19"/>
  <c r="I139" i="19"/>
  <c r="J139" i="19"/>
  <c r="K139" i="19"/>
  <c r="L139" i="19"/>
  <c r="M139" i="19"/>
  <c r="N139" i="19"/>
  <c r="P139" i="19"/>
  <c r="Q139" i="19"/>
  <c r="S139" i="19"/>
  <c r="V139" i="19"/>
  <c r="W139" i="19"/>
  <c r="X139" i="19"/>
  <c r="Z139" i="19"/>
  <c r="AA139" i="19"/>
  <c r="AC139" i="19"/>
  <c r="AE139" i="19"/>
  <c r="AF139" i="19"/>
  <c r="AG139" i="19"/>
  <c r="AH139" i="19"/>
  <c r="AI139" i="19"/>
  <c r="AJ139" i="19"/>
  <c r="AK139" i="19"/>
  <c r="AL139" i="19"/>
  <c r="AM139" i="19"/>
  <c r="AN139" i="19"/>
  <c r="AO139" i="19"/>
  <c r="AP139" i="19"/>
  <c r="AQ139" i="19"/>
  <c r="AR139" i="19"/>
  <c r="C140" i="19"/>
  <c r="D140" i="19"/>
  <c r="E140" i="19"/>
  <c r="F140" i="19"/>
  <c r="H140" i="19"/>
  <c r="I140" i="19"/>
  <c r="J140" i="19"/>
  <c r="K140" i="19"/>
  <c r="L140" i="19"/>
  <c r="M140" i="19"/>
  <c r="N140" i="19"/>
  <c r="P140" i="19"/>
  <c r="Q140" i="19"/>
  <c r="S140" i="19"/>
  <c r="V140" i="19"/>
  <c r="W140" i="19"/>
  <c r="X140" i="19"/>
  <c r="Z140" i="19"/>
  <c r="AA140" i="19"/>
  <c r="AC140" i="19"/>
  <c r="AE140" i="19"/>
  <c r="AF140" i="19"/>
  <c r="AG140" i="19"/>
  <c r="AH140" i="19"/>
  <c r="AI140" i="19"/>
  <c r="AJ140" i="19"/>
  <c r="AK140" i="19"/>
  <c r="AL140" i="19"/>
  <c r="AM140" i="19"/>
  <c r="AN140" i="19"/>
  <c r="AO140" i="19"/>
  <c r="AP140" i="19"/>
  <c r="AQ140" i="19"/>
  <c r="AR140" i="19"/>
  <c r="C141" i="19"/>
  <c r="D141" i="19"/>
  <c r="E141" i="19"/>
  <c r="F141" i="19"/>
  <c r="H141" i="19"/>
  <c r="I141" i="19"/>
  <c r="J141" i="19"/>
  <c r="K141" i="19"/>
  <c r="L141" i="19"/>
  <c r="M141" i="19"/>
  <c r="N141" i="19"/>
  <c r="P141" i="19"/>
  <c r="Q141" i="19"/>
  <c r="S141" i="19"/>
  <c r="V141" i="19"/>
  <c r="W141" i="19"/>
  <c r="X141" i="19"/>
  <c r="Z141" i="19"/>
  <c r="AA141" i="19"/>
  <c r="AC141" i="19"/>
  <c r="AE141" i="19"/>
  <c r="AF141" i="19"/>
  <c r="AG141" i="19"/>
  <c r="AH141" i="19"/>
  <c r="AI141" i="19"/>
  <c r="AJ141" i="19"/>
  <c r="AK141" i="19"/>
  <c r="AL141" i="19"/>
  <c r="AM141" i="19"/>
  <c r="AN141" i="19"/>
  <c r="AO141" i="19"/>
  <c r="AP141" i="19"/>
  <c r="AQ141" i="19"/>
  <c r="AR141" i="19"/>
  <c r="C142" i="19"/>
  <c r="D142" i="19"/>
  <c r="E142" i="19"/>
  <c r="F142" i="19"/>
  <c r="H142" i="19"/>
  <c r="I142" i="19"/>
  <c r="J142" i="19"/>
  <c r="K142" i="19"/>
  <c r="L142" i="19"/>
  <c r="M142" i="19"/>
  <c r="N142" i="19"/>
  <c r="P142" i="19"/>
  <c r="Q142" i="19"/>
  <c r="S142" i="19"/>
  <c r="V142" i="19"/>
  <c r="W142" i="19"/>
  <c r="X142" i="19"/>
  <c r="Z142" i="19"/>
  <c r="AA142" i="19"/>
  <c r="AC142" i="19"/>
  <c r="AE142" i="19"/>
  <c r="AF142" i="19"/>
  <c r="AG142" i="19"/>
  <c r="AH142" i="19"/>
  <c r="AI142" i="19"/>
  <c r="AJ142" i="19"/>
  <c r="AK142" i="19"/>
  <c r="AL142" i="19"/>
  <c r="AM142" i="19"/>
  <c r="AN142" i="19"/>
  <c r="AO142" i="19"/>
  <c r="AP142" i="19"/>
  <c r="AQ142" i="19"/>
  <c r="AR142" i="19"/>
  <c r="C143" i="19"/>
  <c r="D143" i="19"/>
  <c r="E143" i="19"/>
  <c r="F143" i="19"/>
  <c r="H143" i="19"/>
  <c r="I143" i="19"/>
  <c r="J143" i="19"/>
  <c r="K143" i="19"/>
  <c r="L143" i="19"/>
  <c r="M143" i="19"/>
  <c r="N143" i="19"/>
  <c r="P143" i="19"/>
  <c r="Q143" i="19"/>
  <c r="S143" i="19"/>
  <c r="V143" i="19"/>
  <c r="W143" i="19"/>
  <c r="X143" i="19"/>
  <c r="Z143" i="19"/>
  <c r="AA143" i="19"/>
  <c r="AC143" i="19"/>
  <c r="AE143" i="19"/>
  <c r="AF143" i="19"/>
  <c r="AG143" i="19"/>
  <c r="AH143" i="19"/>
  <c r="AI143" i="19"/>
  <c r="AJ143" i="19"/>
  <c r="AK143" i="19"/>
  <c r="AL143" i="19"/>
  <c r="AM143" i="19"/>
  <c r="AN143" i="19"/>
  <c r="AO143" i="19"/>
  <c r="AP143" i="19"/>
  <c r="AQ143" i="19"/>
  <c r="AR143" i="19"/>
  <c r="C144" i="19"/>
  <c r="D144" i="19"/>
  <c r="E144" i="19"/>
  <c r="F144" i="19"/>
  <c r="H144" i="19"/>
  <c r="I144" i="19"/>
  <c r="J144" i="19"/>
  <c r="K144" i="19"/>
  <c r="L144" i="19"/>
  <c r="M144" i="19"/>
  <c r="N144" i="19"/>
  <c r="P144" i="19"/>
  <c r="Q144" i="19"/>
  <c r="S144" i="19"/>
  <c r="V144" i="19"/>
  <c r="W144" i="19"/>
  <c r="X144" i="19"/>
  <c r="Z144" i="19"/>
  <c r="AA144" i="19"/>
  <c r="AC144" i="19"/>
  <c r="AE144" i="19"/>
  <c r="AF144" i="19"/>
  <c r="AG144" i="19"/>
  <c r="AH144" i="19"/>
  <c r="AI144" i="19"/>
  <c r="AJ144" i="19"/>
  <c r="AK144" i="19"/>
  <c r="AL144" i="19"/>
  <c r="AM144" i="19"/>
  <c r="AN144" i="19"/>
  <c r="AO144" i="19"/>
  <c r="AP144" i="19"/>
  <c r="AQ144" i="19"/>
  <c r="AR144" i="19"/>
  <c r="C145" i="19"/>
  <c r="D145" i="19"/>
  <c r="E145" i="19"/>
  <c r="F145" i="19"/>
  <c r="H145" i="19"/>
  <c r="I145" i="19"/>
  <c r="J145" i="19"/>
  <c r="K145" i="19"/>
  <c r="L145" i="19"/>
  <c r="M145" i="19"/>
  <c r="N145" i="19"/>
  <c r="P145" i="19"/>
  <c r="Q145" i="19"/>
  <c r="S145" i="19"/>
  <c r="V145" i="19"/>
  <c r="W145" i="19"/>
  <c r="X145" i="19"/>
  <c r="Z145" i="19"/>
  <c r="AA145" i="19"/>
  <c r="AC145" i="19"/>
  <c r="AE145" i="19"/>
  <c r="AF145" i="19"/>
  <c r="AG145" i="19"/>
  <c r="AH145" i="19"/>
  <c r="AI145" i="19"/>
  <c r="AJ145" i="19"/>
  <c r="AK145" i="19"/>
  <c r="AL145" i="19"/>
  <c r="AM145" i="19"/>
  <c r="AN145" i="19"/>
  <c r="AO145" i="19"/>
  <c r="AP145" i="19"/>
  <c r="AQ145" i="19"/>
  <c r="AR145" i="19"/>
  <c r="C146" i="19"/>
  <c r="D146" i="19"/>
  <c r="E146" i="19"/>
  <c r="F146" i="19"/>
  <c r="H146" i="19"/>
  <c r="I146" i="19"/>
  <c r="J146" i="19"/>
  <c r="K146" i="19"/>
  <c r="L146" i="19"/>
  <c r="M146" i="19"/>
  <c r="N146" i="19"/>
  <c r="P146" i="19"/>
  <c r="Q146" i="19"/>
  <c r="S146" i="19"/>
  <c r="V146" i="19"/>
  <c r="W146" i="19"/>
  <c r="X146" i="19"/>
  <c r="Z146" i="19"/>
  <c r="AA146" i="19"/>
  <c r="AC146" i="19"/>
  <c r="AE146" i="19"/>
  <c r="AF146" i="19"/>
  <c r="AG146" i="19"/>
  <c r="AH146" i="19"/>
  <c r="AI146" i="19"/>
  <c r="AJ146" i="19"/>
  <c r="AK146" i="19"/>
  <c r="AL146" i="19"/>
  <c r="AM146" i="19"/>
  <c r="AN146" i="19"/>
  <c r="AO146" i="19"/>
  <c r="AP146" i="19"/>
  <c r="AQ146" i="19"/>
  <c r="AR146" i="19"/>
  <c r="C147" i="19"/>
  <c r="D147" i="19"/>
  <c r="E147" i="19"/>
  <c r="F147" i="19"/>
  <c r="H147" i="19"/>
  <c r="I147" i="19"/>
  <c r="J147" i="19"/>
  <c r="K147" i="19"/>
  <c r="L147" i="19"/>
  <c r="M147" i="19"/>
  <c r="N147" i="19"/>
  <c r="P147" i="19"/>
  <c r="Q147" i="19"/>
  <c r="S147" i="19"/>
  <c r="V147" i="19"/>
  <c r="W147" i="19"/>
  <c r="X147" i="19"/>
  <c r="Z147" i="19"/>
  <c r="AA147" i="19"/>
  <c r="AC147" i="19"/>
  <c r="AE147" i="19"/>
  <c r="AF147" i="19"/>
  <c r="AG147" i="19"/>
  <c r="AH147" i="19"/>
  <c r="AI147" i="19"/>
  <c r="AJ147" i="19"/>
  <c r="AK147" i="19"/>
  <c r="AL147" i="19"/>
  <c r="AM147" i="19"/>
  <c r="AN147" i="19"/>
  <c r="AO147" i="19"/>
  <c r="AP147" i="19"/>
  <c r="AQ147" i="19"/>
  <c r="AR147" i="19"/>
  <c r="C148" i="19"/>
  <c r="D148" i="19"/>
  <c r="E148" i="19"/>
  <c r="F148" i="19"/>
  <c r="H148" i="19"/>
  <c r="I148" i="19"/>
  <c r="J148" i="19"/>
  <c r="K148" i="19"/>
  <c r="L148" i="19"/>
  <c r="M148" i="19"/>
  <c r="N148" i="19"/>
  <c r="P148" i="19"/>
  <c r="Q148" i="19"/>
  <c r="S148" i="19"/>
  <c r="V148" i="19"/>
  <c r="W148" i="19"/>
  <c r="X148" i="19"/>
  <c r="Z148" i="19"/>
  <c r="AA148" i="19"/>
  <c r="AC148" i="19"/>
  <c r="AE148" i="19"/>
  <c r="AF148" i="19"/>
  <c r="AG148" i="19"/>
  <c r="AH148" i="19"/>
  <c r="AI148" i="19"/>
  <c r="AJ148" i="19"/>
  <c r="AK148" i="19"/>
  <c r="AL148" i="19"/>
  <c r="AM148" i="19"/>
  <c r="AN148" i="19"/>
  <c r="AO148" i="19"/>
  <c r="AP148" i="19"/>
  <c r="AQ148" i="19"/>
  <c r="AR148" i="19"/>
  <c r="C149" i="19"/>
  <c r="D149" i="19"/>
  <c r="E149" i="19"/>
  <c r="F149" i="19"/>
  <c r="H149" i="19"/>
  <c r="I149" i="19"/>
  <c r="J149" i="19"/>
  <c r="K149" i="19"/>
  <c r="L149" i="19"/>
  <c r="M149" i="19"/>
  <c r="N149" i="19"/>
  <c r="P149" i="19"/>
  <c r="Q149" i="19"/>
  <c r="S149" i="19"/>
  <c r="V149" i="19"/>
  <c r="W149" i="19"/>
  <c r="X149" i="19"/>
  <c r="Z149" i="19"/>
  <c r="AA149" i="19"/>
  <c r="AC149" i="19"/>
  <c r="AE149" i="19"/>
  <c r="AF149" i="19"/>
  <c r="AG149" i="19"/>
  <c r="AH149" i="19"/>
  <c r="AI149" i="19"/>
  <c r="AJ149" i="19"/>
  <c r="AK149" i="19"/>
  <c r="AL149" i="19"/>
  <c r="AM149" i="19"/>
  <c r="AN149" i="19"/>
  <c r="AO149" i="19"/>
  <c r="AP149" i="19"/>
  <c r="AQ149" i="19"/>
  <c r="AR149" i="19"/>
  <c r="C150" i="19"/>
  <c r="D150" i="19"/>
  <c r="E150" i="19"/>
  <c r="F150" i="19"/>
  <c r="H150" i="19"/>
  <c r="I150" i="19"/>
  <c r="J150" i="19"/>
  <c r="K150" i="19"/>
  <c r="L150" i="19"/>
  <c r="M150" i="19"/>
  <c r="N150" i="19"/>
  <c r="P150" i="19"/>
  <c r="Q150" i="19"/>
  <c r="S150" i="19"/>
  <c r="V150" i="19"/>
  <c r="W150" i="19"/>
  <c r="X150" i="19"/>
  <c r="Z150" i="19"/>
  <c r="D148" i="32" s="1"/>
  <c r="AA150" i="19"/>
  <c r="AC150" i="19"/>
  <c r="AE150" i="19"/>
  <c r="AF150" i="19"/>
  <c r="AG150" i="19"/>
  <c r="AH150" i="19"/>
  <c r="AI150" i="19"/>
  <c r="AJ150" i="19"/>
  <c r="AK150" i="19"/>
  <c r="AL150" i="19"/>
  <c r="AM150" i="19"/>
  <c r="AN150" i="19"/>
  <c r="AO150" i="19"/>
  <c r="AP150" i="19"/>
  <c r="AQ150" i="19"/>
  <c r="AR150" i="19"/>
  <c r="C151" i="19"/>
  <c r="D151" i="19"/>
  <c r="E151" i="19"/>
  <c r="F151" i="19"/>
  <c r="H151" i="19"/>
  <c r="I151" i="19"/>
  <c r="J151" i="19"/>
  <c r="K151" i="19"/>
  <c r="L151" i="19"/>
  <c r="M151" i="19"/>
  <c r="N151" i="19"/>
  <c r="P151" i="19"/>
  <c r="Q151" i="19"/>
  <c r="S151" i="19"/>
  <c r="V151" i="19"/>
  <c r="W151" i="19"/>
  <c r="X151" i="19"/>
  <c r="Z151" i="19"/>
  <c r="AA151" i="19"/>
  <c r="AC151" i="19"/>
  <c r="AE151" i="19"/>
  <c r="AF151" i="19"/>
  <c r="AG151" i="19"/>
  <c r="AH151" i="19"/>
  <c r="AI151" i="19"/>
  <c r="AJ151" i="19"/>
  <c r="AK151" i="19"/>
  <c r="AL151" i="19"/>
  <c r="AM151" i="19"/>
  <c r="AN151" i="19"/>
  <c r="AO151" i="19"/>
  <c r="AP151" i="19"/>
  <c r="AQ151" i="19"/>
  <c r="AR151" i="19"/>
  <c r="C152" i="19"/>
  <c r="D152" i="19"/>
  <c r="E152" i="19"/>
  <c r="F152" i="19"/>
  <c r="H152" i="19"/>
  <c r="I152" i="19"/>
  <c r="J152" i="19"/>
  <c r="K152" i="19"/>
  <c r="L152" i="19"/>
  <c r="M152" i="19"/>
  <c r="N152" i="19"/>
  <c r="P152" i="19"/>
  <c r="Q152" i="19"/>
  <c r="S152" i="19"/>
  <c r="V152" i="19"/>
  <c r="W152" i="19"/>
  <c r="X152" i="19"/>
  <c r="Z152" i="19"/>
  <c r="AA152" i="19"/>
  <c r="AC152" i="19"/>
  <c r="AE152" i="19"/>
  <c r="AF152" i="19"/>
  <c r="AG152" i="19"/>
  <c r="AH152" i="19"/>
  <c r="AI152" i="19"/>
  <c r="AJ152" i="19"/>
  <c r="AK152" i="19"/>
  <c r="AL152" i="19"/>
  <c r="AM152" i="19"/>
  <c r="AN152" i="19"/>
  <c r="AO152" i="19"/>
  <c r="AP152" i="19"/>
  <c r="AQ152" i="19"/>
  <c r="AR152" i="19"/>
  <c r="C153" i="19"/>
  <c r="D153" i="19"/>
  <c r="E153" i="19"/>
  <c r="F153" i="19"/>
  <c r="H153" i="19"/>
  <c r="I153" i="19"/>
  <c r="J153" i="19"/>
  <c r="K153" i="19"/>
  <c r="L153" i="19"/>
  <c r="M153" i="19"/>
  <c r="N153" i="19"/>
  <c r="P153" i="19"/>
  <c r="Q153" i="19"/>
  <c r="S153" i="19"/>
  <c r="V153" i="19"/>
  <c r="W153" i="19"/>
  <c r="X153" i="19"/>
  <c r="Z153" i="19"/>
  <c r="AA153" i="19"/>
  <c r="AC153" i="19"/>
  <c r="AE153" i="19"/>
  <c r="AF153" i="19"/>
  <c r="AG153" i="19"/>
  <c r="AH153" i="19"/>
  <c r="AI153" i="19"/>
  <c r="AJ153" i="19"/>
  <c r="AK153" i="19"/>
  <c r="AL153" i="19"/>
  <c r="AM153" i="19"/>
  <c r="AN153" i="19"/>
  <c r="AO153" i="19"/>
  <c r="AP153" i="19"/>
  <c r="AQ153" i="19"/>
  <c r="AR153" i="19"/>
  <c r="C154" i="19"/>
  <c r="D154" i="19"/>
  <c r="E154" i="19"/>
  <c r="F154" i="19"/>
  <c r="H154" i="19"/>
  <c r="I154" i="19"/>
  <c r="J154" i="19"/>
  <c r="K154" i="19"/>
  <c r="L154" i="19"/>
  <c r="M154" i="19"/>
  <c r="N154" i="19"/>
  <c r="P154" i="19"/>
  <c r="Q154" i="19"/>
  <c r="S154" i="19"/>
  <c r="V154" i="19"/>
  <c r="W154" i="19"/>
  <c r="X154" i="19"/>
  <c r="Z154" i="19"/>
  <c r="AA154" i="19"/>
  <c r="AC154" i="19"/>
  <c r="AE154" i="19"/>
  <c r="AF154" i="19"/>
  <c r="AG154" i="19"/>
  <c r="AH154" i="19"/>
  <c r="AI154" i="19"/>
  <c r="AJ154" i="19"/>
  <c r="AK154" i="19"/>
  <c r="AL154" i="19"/>
  <c r="AM154" i="19"/>
  <c r="AN154" i="19"/>
  <c r="AO154" i="19"/>
  <c r="AP154" i="19"/>
  <c r="AQ154" i="19"/>
  <c r="AR154" i="19"/>
  <c r="C155" i="19"/>
  <c r="D155" i="19"/>
  <c r="E155" i="19"/>
  <c r="F155" i="19"/>
  <c r="H155" i="19"/>
  <c r="I155" i="19"/>
  <c r="J155" i="19"/>
  <c r="K155" i="19"/>
  <c r="L155" i="19"/>
  <c r="M155" i="19"/>
  <c r="N155" i="19"/>
  <c r="P155" i="19"/>
  <c r="Q155" i="19"/>
  <c r="S155" i="19"/>
  <c r="V155" i="19"/>
  <c r="W155" i="19"/>
  <c r="X155" i="19"/>
  <c r="Z155" i="19"/>
  <c r="AA155" i="19"/>
  <c r="AC155" i="19"/>
  <c r="AE155" i="19"/>
  <c r="AF155" i="19"/>
  <c r="AG155" i="19"/>
  <c r="AH155" i="19"/>
  <c r="AI155" i="19"/>
  <c r="AJ155" i="19"/>
  <c r="AK155" i="19"/>
  <c r="AL155" i="19"/>
  <c r="AM155" i="19"/>
  <c r="AN155" i="19"/>
  <c r="AO155" i="19"/>
  <c r="AP155" i="19"/>
  <c r="AQ155" i="19"/>
  <c r="AR155" i="19"/>
  <c r="C156" i="19"/>
  <c r="D156" i="19"/>
  <c r="E156" i="19"/>
  <c r="F156" i="19"/>
  <c r="H156" i="19"/>
  <c r="I156" i="19"/>
  <c r="J156" i="19"/>
  <c r="K156" i="19"/>
  <c r="L156" i="19"/>
  <c r="M156" i="19"/>
  <c r="N156" i="19"/>
  <c r="P156" i="19"/>
  <c r="Q156" i="19"/>
  <c r="S156" i="19"/>
  <c r="V156" i="19"/>
  <c r="W156" i="19"/>
  <c r="X156" i="19"/>
  <c r="Z156" i="19"/>
  <c r="AA156" i="19"/>
  <c r="AC156" i="19"/>
  <c r="AE156" i="19"/>
  <c r="AF156" i="19"/>
  <c r="AG156" i="19"/>
  <c r="AH156" i="19"/>
  <c r="AI156" i="19"/>
  <c r="AJ156" i="19"/>
  <c r="AK156" i="19"/>
  <c r="AL156" i="19"/>
  <c r="AM156" i="19"/>
  <c r="AN156" i="19"/>
  <c r="AO156" i="19"/>
  <c r="AP156" i="19"/>
  <c r="AQ156" i="19"/>
  <c r="AR156" i="19"/>
  <c r="C157" i="19"/>
  <c r="D157" i="19"/>
  <c r="E157" i="19"/>
  <c r="F157" i="19"/>
  <c r="H157" i="19"/>
  <c r="I157" i="19"/>
  <c r="J157" i="19"/>
  <c r="K157" i="19"/>
  <c r="L157" i="19"/>
  <c r="M157" i="19"/>
  <c r="N157" i="19"/>
  <c r="P157" i="19"/>
  <c r="Q157" i="19"/>
  <c r="S157" i="19"/>
  <c r="V157" i="19"/>
  <c r="W157" i="19"/>
  <c r="X157" i="19"/>
  <c r="Z157" i="19"/>
  <c r="AA157" i="19"/>
  <c r="AC157" i="19"/>
  <c r="AE157" i="19"/>
  <c r="AF157" i="19"/>
  <c r="AG157" i="19"/>
  <c r="AH157" i="19"/>
  <c r="AI157" i="19"/>
  <c r="AJ157" i="19"/>
  <c r="AK157" i="19"/>
  <c r="AL157" i="19"/>
  <c r="AM157" i="19"/>
  <c r="AN157" i="19"/>
  <c r="AO157" i="19"/>
  <c r="AP157" i="19"/>
  <c r="AQ157" i="19"/>
  <c r="AR157" i="19"/>
  <c r="C158" i="19"/>
  <c r="D158" i="19"/>
  <c r="E158" i="19"/>
  <c r="F158" i="19"/>
  <c r="H158" i="19"/>
  <c r="I158" i="19"/>
  <c r="J158" i="19"/>
  <c r="K158" i="19"/>
  <c r="L158" i="19"/>
  <c r="M158" i="19"/>
  <c r="N158" i="19"/>
  <c r="P158" i="19"/>
  <c r="Q158" i="19"/>
  <c r="S158" i="19"/>
  <c r="V158" i="19"/>
  <c r="W158" i="19"/>
  <c r="X158" i="19"/>
  <c r="Z158" i="19"/>
  <c r="AA158" i="19"/>
  <c r="AC158" i="19"/>
  <c r="AE158" i="19"/>
  <c r="AF158" i="19"/>
  <c r="AG158" i="19"/>
  <c r="AH158" i="19"/>
  <c r="AI158" i="19"/>
  <c r="AJ158" i="19"/>
  <c r="AK158" i="19"/>
  <c r="AL158" i="19"/>
  <c r="AM158" i="19"/>
  <c r="AN158" i="19"/>
  <c r="AO158" i="19"/>
  <c r="AP158" i="19"/>
  <c r="AQ158" i="19"/>
  <c r="AR158" i="19"/>
  <c r="C159" i="19"/>
  <c r="D159" i="19"/>
  <c r="E159" i="19"/>
  <c r="F159" i="19"/>
  <c r="H159" i="19"/>
  <c r="I159" i="19"/>
  <c r="J159" i="19"/>
  <c r="K159" i="19"/>
  <c r="L159" i="19"/>
  <c r="M159" i="19"/>
  <c r="N159" i="19"/>
  <c r="P159" i="19"/>
  <c r="Q159" i="19"/>
  <c r="S159" i="19"/>
  <c r="V159" i="19"/>
  <c r="W159" i="19"/>
  <c r="X159" i="19"/>
  <c r="Z159" i="19"/>
  <c r="AA159" i="19"/>
  <c r="AC159" i="19"/>
  <c r="AE159" i="19"/>
  <c r="AF159" i="19"/>
  <c r="AG159" i="19"/>
  <c r="AH159" i="19"/>
  <c r="AI159" i="19"/>
  <c r="AJ159" i="19"/>
  <c r="AK159" i="19"/>
  <c r="AL159" i="19"/>
  <c r="AM159" i="19"/>
  <c r="AN159" i="19"/>
  <c r="AO159" i="19"/>
  <c r="AP159" i="19"/>
  <c r="AQ159" i="19"/>
  <c r="AR159" i="19"/>
  <c r="C160" i="19"/>
  <c r="D160" i="19"/>
  <c r="E160" i="19"/>
  <c r="F160" i="19"/>
  <c r="H160" i="19"/>
  <c r="I160" i="19"/>
  <c r="J160" i="19"/>
  <c r="K160" i="19"/>
  <c r="L160" i="19"/>
  <c r="M160" i="19"/>
  <c r="N160" i="19"/>
  <c r="P160" i="19"/>
  <c r="Q160" i="19"/>
  <c r="S160" i="19"/>
  <c r="V160" i="19"/>
  <c r="W160" i="19"/>
  <c r="X160" i="19"/>
  <c r="Z160" i="19"/>
  <c r="AA160" i="19"/>
  <c r="AC160" i="19"/>
  <c r="AE160" i="19"/>
  <c r="AF160" i="19"/>
  <c r="AG160" i="19"/>
  <c r="AH160" i="19"/>
  <c r="AI160" i="19"/>
  <c r="AJ160" i="19"/>
  <c r="AK160" i="19"/>
  <c r="AL160" i="19"/>
  <c r="AM160" i="19"/>
  <c r="AN160" i="19"/>
  <c r="AO160" i="19"/>
  <c r="AP160" i="19"/>
  <c r="AQ160" i="19"/>
  <c r="AR160" i="19"/>
  <c r="C161" i="19"/>
  <c r="D161" i="19"/>
  <c r="E161" i="19"/>
  <c r="F161" i="19"/>
  <c r="H161" i="19"/>
  <c r="I161" i="19"/>
  <c r="J161" i="19"/>
  <c r="K161" i="19"/>
  <c r="L161" i="19"/>
  <c r="M161" i="19"/>
  <c r="N161" i="19"/>
  <c r="P161" i="19"/>
  <c r="Q161" i="19"/>
  <c r="S161" i="19"/>
  <c r="V161" i="19"/>
  <c r="W161" i="19"/>
  <c r="X161" i="19"/>
  <c r="Z161" i="19"/>
  <c r="AA161" i="19"/>
  <c r="AC161" i="19"/>
  <c r="AE161" i="19"/>
  <c r="AF161" i="19"/>
  <c r="AG161" i="19"/>
  <c r="AH161" i="19"/>
  <c r="AI161" i="19"/>
  <c r="AJ161" i="19"/>
  <c r="AK161" i="19"/>
  <c r="AL161" i="19"/>
  <c r="AM161" i="19"/>
  <c r="AN161" i="19"/>
  <c r="AO161" i="19"/>
  <c r="AP161" i="19"/>
  <c r="AQ161" i="19"/>
  <c r="AR161" i="19"/>
  <c r="C162" i="19"/>
  <c r="D162" i="19"/>
  <c r="E162" i="19"/>
  <c r="F162" i="19"/>
  <c r="H162" i="19"/>
  <c r="I162" i="19"/>
  <c r="J162" i="19"/>
  <c r="K162" i="19"/>
  <c r="L162" i="19"/>
  <c r="M162" i="19"/>
  <c r="N162" i="19"/>
  <c r="P162" i="19"/>
  <c r="Q162" i="19"/>
  <c r="S162" i="19"/>
  <c r="V162" i="19"/>
  <c r="W162" i="19"/>
  <c r="X162" i="19"/>
  <c r="Z162" i="19"/>
  <c r="AA162" i="19"/>
  <c r="AC162" i="19"/>
  <c r="AE162" i="19"/>
  <c r="AF162" i="19"/>
  <c r="AG162" i="19"/>
  <c r="AH162" i="19"/>
  <c r="AI162" i="19"/>
  <c r="AJ162" i="19"/>
  <c r="AK162" i="19"/>
  <c r="AL162" i="19"/>
  <c r="AM162" i="19"/>
  <c r="AN162" i="19"/>
  <c r="AO162" i="19"/>
  <c r="AP162" i="19"/>
  <c r="AQ162" i="19"/>
  <c r="AR162" i="19"/>
  <c r="C163" i="19"/>
  <c r="D163" i="19"/>
  <c r="E163" i="19"/>
  <c r="F163" i="19"/>
  <c r="H163" i="19"/>
  <c r="I163" i="19"/>
  <c r="J163" i="19"/>
  <c r="K163" i="19"/>
  <c r="L163" i="19"/>
  <c r="M163" i="19"/>
  <c r="N163" i="19"/>
  <c r="P163" i="19"/>
  <c r="Q163" i="19"/>
  <c r="S163" i="19"/>
  <c r="V163" i="19"/>
  <c r="W163" i="19"/>
  <c r="X163" i="19"/>
  <c r="Z163" i="19"/>
  <c r="D161" i="32" s="1"/>
  <c r="AA163" i="19"/>
  <c r="AC163" i="19"/>
  <c r="AE163" i="19"/>
  <c r="AF163" i="19"/>
  <c r="AG163" i="19"/>
  <c r="AH163" i="19"/>
  <c r="AI163" i="19"/>
  <c r="AJ163" i="19"/>
  <c r="AK163" i="19"/>
  <c r="AL163" i="19"/>
  <c r="AM163" i="19"/>
  <c r="AN163" i="19"/>
  <c r="AO163" i="19"/>
  <c r="AP163" i="19"/>
  <c r="AQ163" i="19"/>
  <c r="AR163" i="19"/>
  <c r="C164" i="19"/>
  <c r="D164" i="19"/>
  <c r="E164" i="19"/>
  <c r="F164" i="19"/>
  <c r="H164" i="19"/>
  <c r="I164" i="19"/>
  <c r="J164" i="19"/>
  <c r="K164" i="19"/>
  <c r="L164" i="19"/>
  <c r="M164" i="19"/>
  <c r="N164" i="19"/>
  <c r="P164" i="19"/>
  <c r="Q164" i="19"/>
  <c r="S164" i="19"/>
  <c r="V164" i="19"/>
  <c r="W164" i="19"/>
  <c r="X164" i="19"/>
  <c r="Z164" i="19"/>
  <c r="D162" i="32" s="1"/>
  <c r="AA164" i="19"/>
  <c r="AC164" i="19"/>
  <c r="AE164" i="19"/>
  <c r="AF164" i="19"/>
  <c r="AG164" i="19"/>
  <c r="AH164" i="19"/>
  <c r="AI164" i="19"/>
  <c r="AJ164" i="19"/>
  <c r="AK164" i="19"/>
  <c r="AL164" i="19"/>
  <c r="AM164" i="19"/>
  <c r="AN164" i="19"/>
  <c r="AO164" i="19"/>
  <c r="AP164" i="19"/>
  <c r="AQ164" i="19"/>
  <c r="AR164" i="19"/>
  <c r="C165" i="19"/>
  <c r="D165" i="19"/>
  <c r="E165" i="19"/>
  <c r="F165" i="19"/>
  <c r="H165" i="19"/>
  <c r="I165" i="19"/>
  <c r="J165" i="19"/>
  <c r="K165" i="19"/>
  <c r="L165" i="19"/>
  <c r="M165" i="19"/>
  <c r="N165" i="19"/>
  <c r="P165" i="19"/>
  <c r="Q165" i="19"/>
  <c r="S165" i="19"/>
  <c r="V165" i="19"/>
  <c r="W165" i="19"/>
  <c r="X165" i="19"/>
  <c r="Z165" i="19"/>
  <c r="AA165" i="19"/>
  <c r="AC165" i="19"/>
  <c r="AE165" i="19"/>
  <c r="AF165" i="19"/>
  <c r="AG165" i="19"/>
  <c r="AH165" i="19"/>
  <c r="AI165" i="19"/>
  <c r="AJ165" i="19"/>
  <c r="AK165" i="19"/>
  <c r="AL165" i="19"/>
  <c r="AM165" i="19"/>
  <c r="AN165" i="19"/>
  <c r="AO165" i="19"/>
  <c r="AP165" i="19"/>
  <c r="AQ165" i="19"/>
  <c r="AR165" i="19"/>
  <c r="C166" i="19"/>
  <c r="D166" i="19"/>
  <c r="E166" i="19"/>
  <c r="F166" i="19"/>
  <c r="H166" i="19"/>
  <c r="I166" i="19"/>
  <c r="J166" i="19"/>
  <c r="K166" i="19"/>
  <c r="L166" i="19"/>
  <c r="M166" i="19"/>
  <c r="N166" i="19"/>
  <c r="P166" i="19"/>
  <c r="Q166" i="19"/>
  <c r="S166" i="19"/>
  <c r="V166" i="19"/>
  <c r="W166" i="19"/>
  <c r="X166" i="19"/>
  <c r="Z166" i="19"/>
  <c r="D164" i="32" s="1"/>
  <c r="AA166" i="19"/>
  <c r="AC166" i="19"/>
  <c r="AE166" i="19"/>
  <c r="AF166" i="19"/>
  <c r="AG166" i="19"/>
  <c r="AH166" i="19"/>
  <c r="AI166" i="19"/>
  <c r="AJ166" i="19"/>
  <c r="AK166" i="19"/>
  <c r="AL166" i="19"/>
  <c r="AM166" i="19"/>
  <c r="AN166" i="19"/>
  <c r="AO166" i="19"/>
  <c r="AP166" i="19"/>
  <c r="AQ166" i="19"/>
  <c r="AR166" i="19"/>
  <c r="C167" i="19"/>
  <c r="D167" i="19"/>
  <c r="E167" i="19"/>
  <c r="F167" i="19"/>
  <c r="H167" i="19"/>
  <c r="I167" i="19"/>
  <c r="J167" i="19"/>
  <c r="K167" i="19"/>
  <c r="L167" i="19"/>
  <c r="M167" i="19"/>
  <c r="N167" i="19"/>
  <c r="P167" i="19"/>
  <c r="Q167" i="19"/>
  <c r="S167" i="19"/>
  <c r="V167" i="19"/>
  <c r="W167" i="19"/>
  <c r="X167" i="19"/>
  <c r="Z167" i="19"/>
  <c r="AA167" i="19"/>
  <c r="AC167" i="19"/>
  <c r="AE167" i="19"/>
  <c r="AF167" i="19"/>
  <c r="AG167" i="19"/>
  <c r="AH167" i="19"/>
  <c r="AI167" i="19"/>
  <c r="AJ167" i="19"/>
  <c r="AK167" i="19"/>
  <c r="AL167" i="19"/>
  <c r="AM167" i="19"/>
  <c r="AN167" i="19"/>
  <c r="AO167" i="19"/>
  <c r="AP167" i="19"/>
  <c r="AQ167" i="19"/>
  <c r="AR167" i="19"/>
  <c r="C168" i="19"/>
  <c r="D168" i="19"/>
  <c r="E168" i="19"/>
  <c r="F168" i="19"/>
  <c r="H168" i="19"/>
  <c r="I168" i="19"/>
  <c r="J168" i="19"/>
  <c r="K168" i="19"/>
  <c r="L168" i="19"/>
  <c r="M168" i="19"/>
  <c r="N168" i="19"/>
  <c r="P168" i="19"/>
  <c r="Q168" i="19"/>
  <c r="S168" i="19"/>
  <c r="V168" i="19"/>
  <c r="W168" i="19"/>
  <c r="X168" i="19"/>
  <c r="Z168" i="19"/>
  <c r="AA168" i="19"/>
  <c r="AC168" i="19"/>
  <c r="AE168" i="19"/>
  <c r="AF168" i="19"/>
  <c r="AG168" i="19"/>
  <c r="AH168" i="19"/>
  <c r="AI168" i="19"/>
  <c r="AJ168" i="19"/>
  <c r="AK168" i="19"/>
  <c r="AL168" i="19"/>
  <c r="AM168" i="19"/>
  <c r="AN168" i="19"/>
  <c r="AO168" i="19"/>
  <c r="AP168" i="19"/>
  <c r="AQ168" i="19"/>
  <c r="AR168" i="19"/>
  <c r="C169" i="19"/>
  <c r="D169" i="19"/>
  <c r="E169" i="19"/>
  <c r="F169" i="19"/>
  <c r="H169" i="19"/>
  <c r="I169" i="19"/>
  <c r="J169" i="19"/>
  <c r="K169" i="19"/>
  <c r="L169" i="19"/>
  <c r="M169" i="19"/>
  <c r="N169" i="19"/>
  <c r="P169" i="19"/>
  <c r="Q169" i="19"/>
  <c r="S169" i="19"/>
  <c r="V169" i="19"/>
  <c r="W169" i="19"/>
  <c r="X169" i="19"/>
  <c r="Z169" i="19"/>
  <c r="D167" i="32" s="1"/>
  <c r="AA169" i="19"/>
  <c r="AC169" i="19"/>
  <c r="AE169" i="19"/>
  <c r="AF169" i="19"/>
  <c r="AG169" i="19"/>
  <c r="AH169" i="19"/>
  <c r="AI169" i="19"/>
  <c r="AJ169" i="19"/>
  <c r="AK169" i="19"/>
  <c r="AL169" i="19"/>
  <c r="AM169" i="19"/>
  <c r="AN169" i="19"/>
  <c r="AO169" i="19"/>
  <c r="AP169" i="19"/>
  <c r="AQ169" i="19"/>
  <c r="AR169" i="19"/>
  <c r="C170" i="19"/>
  <c r="D170" i="19"/>
  <c r="E170" i="19"/>
  <c r="F170" i="19"/>
  <c r="H170" i="19"/>
  <c r="I170" i="19"/>
  <c r="J170" i="19"/>
  <c r="K170" i="19"/>
  <c r="L170" i="19"/>
  <c r="M170" i="19"/>
  <c r="N170" i="19"/>
  <c r="P170" i="19"/>
  <c r="Q170" i="19"/>
  <c r="S170" i="19"/>
  <c r="V170" i="19"/>
  <c r="W170" i="19"/>
  <c r="X170" i="19"/>
  <c r="Z170" i="19"/>
  <c r="AA170" i="19"/>
  <c r="AC170" i="19"/>
  <c r="AE170" i="19"/>
  <c r="AF170" i="19"/>
  <c r="AG170" i="19"/>
  <c r="AH170" i="19"/>
  <c r="AI170" i="19"/>
  <c r="AJ170" i="19"/>
  <c r="AK170" i="19"/>
  <c r="AL170" i="19"/>
  <c r="AM170" i="19"/>
  <c r="AN170" i="19"/>
  <c r="AO170" i="19"/>
  <c r="AP170" i="19"/>
  <c r="AQ170" i="19"/>
  <c r="AR170" i="19"/>
  <c r="C171" i="19"/>
  <c r="D171" i="19"/>
  <c r="E171" i="19"/>
  <c r="F171" i="19"/>
  <c r="H171" i="19"/>
  <c r="I171" i="19"/>
  <c r="J171" i="19"/>
  <c r="K171" i="19"/>
  <c r="L171" i="19"/>
  <c r="M171" i="19"/>
  <c r="N171" i="19"/>
  <c r="P171" i="19"/>
  <c r="Q171" i="19"/>
  <c r="S171" i="19"/>
  <c r="V171" i="19"/>
  <c r="W171" i="19"/>
  <c r="X171" i="19"/>
  <c r="Z171" i="19"/>
  <c r="D169" i="32" s="1"/>
  <c r="AA171" i="19"/>
  <c r="AC171" i="19"/>
  <c r="AE171" i="19"/>
  <c r="AF171" i="19"/>
  <c r="AG171" i="19"/>
  <c r="AH171" i="19"/>
  <c r="AI171" i="19"/>
  <c r="AJ171" i="19"/>
  <c r="AK171" i="19"/>
  <c r="AL171" i="19"/>
  <c r="AM171" i="19"/>
  <c r="AN171" i="19"/>
  <c r="AO171" i="19"/>
  <c r="AP171" i="19"/>
  <c r="AQ171" i="19"/>
  <c r="AR171" i="19"/>
  <c r="C172" i="19"/>
  <c r="D172" i="19"/>
  <c r="E172" i="19"/>
  <c r="F172" i="19"/>
  <c r="H172" i="19"/>
  <c r="I172" i="19"/>
  <c r="J172" i="19"/>
  <c r="K172" i="19"/>
  <c r="L172" i="19"/>
  <c r="M172" i="19"/>
  <c r="N172" i="19"/>
  <c r="P172" i="19"/>
  <c r="Q172" i="19"/>
  <c r="S172" i="19"/>
  <c r="V172" i="19"/>
  <c r="W172" i="19"/>
  <c r="X172" i="19"/>
  <c r="Z172" i="19"/>
  <c r="D170" i="32" s="1"/>
  <c r="AA172" i="19"/>
  <c r="AC172" i="19"/>
  <c r="AE172" i="19"/>
  <c r="AF172" i="19"/>
  <c r="AG172" i="19"/>
  <c r="AH172" i="19"/>
  <c r="AI172" i="19"/>
  <c r="AJ172" i="19"/>
  <c r="AK172" i="19"/>
  <c r="AL172" i="19"/>
  <c r="AM172" i="19"/>
  <c r="AN172" i="19"/>
  <c r="AO172" i="19"/>
  <c r="AP172" i="19"/>
  <c r="AQ172" i="19"/>
  <c r="AR172" i="19"/>
  <c r="C173" i="19"/>
  <c r="D173" i="19"/>
  <c r="E173" i="19"/>
  <c r="F173" i="19"/>
  <c r="H173" i="19"/>
  <c r="I173" i="19"/>
  <c r="J173" i="19"/>
  <c r="K173" i="19"/>
  <c r="L173" i="19"/>
  <c r="M173" i="19"/>
  <c r="N173" i="19"/>
  <c r="P173" i="19"/>
  <c r="Q173" i="19"/>
  <c r="S173" i="19"/>
  <c r="V173" i="19"/>
  <c r="W173" i="19"/>
  <c r="X173" i="19"/>
  <c r="Z173" i="19"/>
  <c r="AA173" i="19"/>
  <c r="AC173" i="19"/>
  <c r="AE173" i="19"/>
  <c r="AF173" i="19"/>
  <c r="AG173" i="19"/>
  <c r="AH173" i="19"/>
  <c r="AI173" i="19"/>
  <c r="AJ173" i="19"/>
  <c r="AK173" i="19"/>
  <c r="AL173" i="19"/>
  <c r="AM173" i="19"/>
  <c r="AN173" i="19"/>
  <c r="AO173" i="19"/>
  <c r="AP173" i="19"/>
  <c r="AQ173" i="19"/>
  <c r="AR173" i="19"/>
  <c r="C174" i="19"/>
  <c r="D174" i="19"/>
  <c r="E174" i="19"/>
  <c r="F174" i="19"/>
  <c r="H174" i="19"/>
  <c r="I174" i="19"/>
  <c r="J174" i="19"/>
  <c r="K174" i="19"/>
  <c r="L174" i="19"/>
  <c r="M174" i="19"/>
  <c r="N174" i="19"/>
  <c r="P174" i="19"/>
  <c r="Q174" i="19"/>
  <c r="S174" i="19"/>
  <c r="V174" i="19"/>
  <c r="W174" i="19"/>
  <c r="X174" i="19"/>
  <c r="Z174" i="19"/>
  <c r="AA174" i="19"/>
  <c r="AC174" i="19"/>
  <c r="AE174" i="19"/>
  <c r="AF174" i="19"/>
  <c r="AG174" i="19"/>
  <c r="AH174" i="19"/>
  <c r="AI174" i="19"/>
  <c r="AJ174" i="19"/>
  <c r="AK174" i="19"/>
  <c r="AL174" i="19"/>
  <c r="AM174" i="19"/>
  <c r="AN174" i="19"/>
  <c r="AO174" i="19"/>
  <c r="AP174" i="19"/>
  <c r="AQ174" i="19"/>
  <c r="AR174" i="19"/>
  <c r="C175" i="19"/>
  <c r="D175" i="19"/>
  <c r="E175" i="19"/>
  <c r="F175" i="19"/>
  <c r="H175" i="19"/>
  <c r="I175" i="19"/>
  <c r="J175" i="19"/>
  <c r="K175" i="19"/>
  <c r="L175" i="19"/>
  <c r="M175" i="19"/>
  <c r="N175" i="19"/>
  <c r="P175" i="19"/>
  <c r="Q175" i="19"/>
  <c r="S175" i="19"/>
  <c r="V175" i="19"/>
  <c r="W175" i="19"/>
  <c r="X175" i="19"/>
  <c r="Z175" i="19"/>
  <c r="AA175" i="19"/>
  <c r="AC175" i="19"/>
  <c r="AE175" i="19"/>
  <c r="AF175" i="19"/>
  <c r="AG175" i="19"/>
  <c r="AH175" i="19"/>
  <c r="AI175" i="19"/>
  <c r="AJ175" i="19"/>
  <c r="AK175" i="19"/>
  <c r="AL175" i="19"/>
  <c r="AM175" i="19"/>
  <c r="AN175" i="19"/>
  <c r="AO175" i="19"/>
  <c r="AP175" i="19"/>
  <c r="AQ175" i="19"/>
  <c r="AR175" i="19"/>
  <c r="C176" i="19"/>
  <c r="D176" i="19"/>
  <c r="E176" i="19"/>
  <c r="F176" i="19"/>
  <c r="H176" i="19"/>
  <c r="I176" i="19"/>
  <c r="J176" i="19"/>
  <c r="K176" i="19"/>
  <c r="L176" i="19"/>
  <c r="M176" i="19"/>
  <c r="N176" i="19"/>
  <c r="P176" i="19"/>
  <c r="Q176" i="19"/>
  <c r="S176" i="19"/>
  <c r="V176" i="19"/>
  <c r="W176" i="19"/>
  <c r="X176" i="19"/>
  <c r="Z176" i="19"/>
  <c r="D174" i="32" s="1"/>
  <c r="AA176" i="19"/>
  <c r="AC176" i="19"/>
  <c r="AE176" i="19"/>
  <c r="AF176" i="19"/>
  <c r="AG176" i="19"/>
  <c r="AH176" i="19"/>
  <c r="AI176" i="19"/>
  <c r="AJ176" i="19"/>
  <c r="AK176" i="19"/>
  <c r="AL176" i="19"/>
  <c r="AM176" i="19"/>
  <c r="AN176" i="19"/>
  <c r="AO176" i="19"/>
  <c r="AP176" i="19"/>
  <c r="AQ176" i="19"/>
  <c r="AR176" i="19"/>
  <c r="C177" i="19"/>
  <c r="D177" i="19"/>
  <c r="E177" i="19"/>
  <c r="F177" i="19"/>
  <c r="H177" i="19"/>
  <c r="I177" i="19"/>
  <c r="J177" i="19"/>
  <c r="K177" i="19"/>
  <c r="L177" i="19"/>
  <c r="M177" i="19"/>
  <c r="N177" i="19"/>
  <c r="P177" i="19"/>
  <c r="Q177" i="19"/>
  <c r="S177" i="19"/>
  <c r="V177" i="19"/>
  <c r="W177" i="19"/>
  <c r="X177" i="19"/>
  <c r="Z177" i="19"/>
  <c r="D175" i="32" s="1"/>
  <c r="AA177" i="19"/>
  <c r="AC177" i="19"/>
  <c r="AE177" i="19"/>
  <c r="AF177" i="19"/>
  <c r="AG177" i="19"/>
  <c r="AH177" i="19"/>
  <c r="AI177" i="19"/>
  <c r="AJ177" i="19"/>
  <c r="AK177" i="19"/>
  <c r="AL177" i="19"/>
  <c r="AM177" i="19"/>
  <c r="AN177" i="19"/>
  <c r="AO177" i="19"/>
  <c r="AP177" i="19"/>
  <c r="AQ177" i="19"/>
  <c r="AR177" i="19"/>
  <c r="C178" i="19"/>
  <c r="D178" i="19"/>
  <c r="E178" i="19"/>
  <c r="F178" i="19"/>
  <c r="H178" i="19"/>
  <c r="I178" i="19"/>
  <c r="J178" i="19"/>
  <c r="K178" i="19"/>
  <c r="L178" i="19"/>
  <c r="M178" i="19"/>
  <c r="N178" i="19"/>
  <c r="P178" i="19"/>
  <c r="Q178" i="19"/>
  <c r="S178" i="19"/>
  <c r="V178" i="19"/>
  <c r="W178" i="19"/>
  <c r="X178" i="19"/>
  <c r="Z178" i="19"/>
  <c r="D176" i="32" s="1"/>
  <c r="AA178" i="19"/>
  <c r="AC178" i="19"/>
  <c r="AE178" i="19"/>
  <c r="AF178" i="19"/>
  <c r="AG178" i="19"/>
  <c r="AH178" i="19"/>
  <c r="AI178" i="19"/>
  <c r="AJ178" i="19"/>
  <c r="AK178" i="19"/>
  <c r="AL178" i="19"/>
  <c r="AM178" i="19"/>
  <c r="AN178" i="19"/>
  <c r="AO178" i="19"/>
  <c r="AP178" i="19"/>
  <c r="AQ178" i="19"/>
  <c r="AR178" i="19"/>
  <c r="C179" i="19"/>
  <c r="D179" i="19"/>
  <c r="E179" i="19"/>
  <c r="F179" i="19"/>
  <c r="H179" i="19"/>
  <c r="I179" i="19"/>
  <c r="J179" i="19"/>
  <c r="K179" i="19"/>
  <c r="L179" i="19"/>
  <c r="M179" i="19"/>
  <c r="N179" i="19"/>
  <c r="P179" i="19"/>
  <c r="Q179" i="19"/>
  <c r="S179" i="19"/>
  <c r="V179" i="19"/>
  <c r="W179" i="19"/>
  <c r="X179" i="19"/>
  <c r="Z179" i="19"/>
  <c r="AA179" i="19"/>
  <c r="AC179" i="19"/>
  <c r="AE179" i="19"/>
  <c r="AF179" i="19"/>
  <c r="AG179" i="19"/>
  <c r="AH179" i="19"/>
  <c r="AI179" i="19"/>
  <c r="AJ179" i="19"/>
  <c r="AK179" i="19"/>
  <c r="AL179" i="19"/>
  <c r="AM179" i="19"/>
  <c r="AN179" i="19"/>
  <c r="AO179" i="19"/>
  <c r="AP179" i="19"/>
  <c r="AQ179" i="19"/>
  <c r="AR179" i="19"/>
  <c r="C180" i="19"/>
  <c r="D180" i="19"/>
  <c r="E180" i="19"/>
  <c r="F180" i="19"/>
  <c r="H180" i="19"/>
  <c r="I180" i="19"/>
  <c r="J180" i="19"/>
  <c r="K180" i="19"/>
  <c r="L180" i="19"/>
  <c r="M180" i="19"/>
  <c r="N180" i="19"/>
  <c r="P180" i="19"/>
  <c r="Q180" i="19"/>
  <c r="S180" i="19"/>
  <c r="V180" i="19"/>
  <c r="W180" i="19"/>
  <c r="X180" i="19"/>
  <c r="Z180" i="19"/>
  <c r="AA180" i="19"/>
  <c r="AC180" i="19"/>
  <c r="AE180" i="19"/>
  <c r="AF180" i="19"/>
  <c r="AG180" i="19"/>
  <c r="AH180" i="19"/>
  <c r="AI180" i="19"/>
  <c r="AJ180" i="19"/>
  <c r="AK180" i="19"/>
  <c r="AL180" i="19"/>
  <c r="AM180" i="19"/>
  <c r="AN180" i="19"/>
  <c r="AO180" i="19"/>
  <c r="AP180" i="19"/>
  <c r="AQ180" i="19"/>
  <c r="AR180" i="19"/>
  <c r="C181" i="19"/>
  <c r="D181" i="19"/>
  <c r="E181" i="19"/>
  <c r="F181" i="19"/>
  <c r="H181" i="19"/>
  <c r="I181" i="19"/>
  <c r="J181" i="19"/>
  <c r="K181" i="19"/>
  <c r="L181" i="19"/>
  <c r="M181" i="19"/>
  <c r="N181" i="19"/>
  <c r="P181" i="19"/>
  <c r="Q181" i="19"/>
  <c r="S181" i="19"/>
  <c r="V181" i="19"/>
  <c r="W181" i="19"/>
  <c r="X181" i="19"/>
  <c r="Z181" i="19"/>
  <c r="D179" i="32" s="1"/>
  <c r="AA181" i="19"/>
  <c r="AC181" i="19"/>
  <c r="AE181" i="19"/>
  <c r="AF181" i="19"/>
  <c r="AG181" i="19"/>
  <c r="AH181" i="19"/>
  <c r="AI181" i="19"/>
  <c r="AJ181" i="19"/>
  <c r="AK181" i="19"/>
  <c r="AL181" i="19"/>
  <c r="AM181" i="19"/>
  <c r="AN181" i="19"/>
  <c r="AO181" i="19"/>
  <c r="AP181" i="19"/>
  <c r="AQ181" i="19"/>
  <c r="AR181" i="19"/>
  <c r="C182" i="19"/>
  <c r="D182" i="19"/>
  <c r="E182" i="19"/>
  <c r="F182" i="19"/>
  <c r="H182" i="19"/>
  <c r="I182" i="19"/>
  <c r="J182" i="19"/>
  <c r="K182" i="19"/>
  <c r="L182" i="19"/>
  <c r="M182" i="19"/>
  <c r="N182" i="19"/>
  <c r="P182" i="19"/>
  <c r="Q182" i="19"/>
  <c r="S182" i="19"/>
  <c r="V182" i="19"/>
  <c r="W182" i="19"/>
  <c r="X182" i="19"/>
  <c r="Z182" i="19"/>
  <c r="AA182" i="19"/>
  <c r="AC182" i="19"/>
  <c r="AE182" i="19"/>
  <c r="AF182" i="19"/>
  <c r="AG182" i="19"/>
  <c r="AH182" i="19"/>
  <c r="AI182" i="19"/>
  <c r="AJ182" i="19"/>
  <c r="AK182" i="19"/>
  <c r="AL182" i="19"/>
  <c r="AM182" i="19"/>
  <c r="AN182" i="19"/>
  <c r="AO182" i="19"/>
  <c r="AP182" i="19"/>
  <c r="AQ182" i="19"/>
  <c r="AR182" i="19"/>
  <c r="C183" i="19"/>
  <c r="D183" i="19"/>
  <c r="E183" i="19"/>
  <c r="F183" i="19"/>
  <c r="H183" i="19"/>
  <c r="I183" i="19"/>
  <c r="J183" i="19"/>
  <c r="K183" i="19"/>
  <c r="L183" i="19"/>
  <c r="M183" i="19"/>
  <c r="N183" i="19"/>
  <c r="P183" i="19"/>
  <c r="Q183" i="19"/>
  <c r="S183" i="19"/>
  <c r="V183" i="19"/>
  <c r="W183" i="19"/>
  <c r="X183" i="19"/>
  <c r="Z183" i="19"/>
  <c r="D181" i="32" s="1"/>
  <c r="AA183" i="19"/>
  <c r="AC183" i="19"/>
  <c r="AE183" i="19"/>
  <c r="AF183" i="19"/>
  <c r="AG183" i="19"/>
  <c r="AH183" i="19"/>
  <c r="AI183" i="19"/>
  <c r="AJ183" i="19"/>
  <c r="AK183" i="19"/>
  <c r="AL183" i="19"/>
  <c r="AM183" i="19"/>
  <c r="AN183" i="19"/>
  <c r="AO183" i="19"/>
  <c r="AP183" i="19"/>
  <c r="AQ183" i="19"/>
  <c r="AR183" i="19"/>
  <c r="C184" i="19"/>
  <c r="D184" i="19"/>
  <c r="E184" i="19"/>
  <c r="F184" i="19"/>
  <c r="H184" i="19"/>
  <c r="I184" i="19"/>
  <c r="J184" i="19"/>
  <c r="K184" i="19"/>
  <c r="L184" i="19"/>
  <c r="M184" i="19"/>
  <c r="N184" i="19"/>
  <c r="P184" i="19"/>
  <c r="Q184" i="19"/>
  <c r="S184" i="19"/>
  <c r="V184" i="19"/>
  <c r="W184" i="19"/>
  <c r="X184" i="19"/>
  <c r="Z184" i="19"/>
  <c r="D182" i="32" s="1"/>
  <c r="AA184" i="19"/>
  <c r="AC184" i="19"/>
  <c r="AE184" i="19"/>
  <c r="AF184" i="19"/>
  <c r="AG184" i="19"/>
  <c r="AH184" i="19"/>
  <c r="AI184" i="19"/>
  <c r="AJ184" i="19"/>
  <c r="AK184" i="19"/>
  <c r="AL184" i="19"/>
  <c r="AM184" i="19"/>
  <c r="AN184" i="19"/>
  <c r="AO184" i="19"/>
  <c r="AP184" i="19"/>
  <c r="AQ184" i="19"/>
  <c r="AR184" i="19"/>
  <c r="C185" i="19"/>
  <c r="D185" i="19"/>
  <c r="E185" i="19"/>
  <c r="F185" i="19"/>
  <c r="H185" i="19"/>
  <c r="I185" i="19"/>
  <c r="J185" i="19"/>
  <c r="K185" i="19"/>
  <c r="L185" i="19"/>
  <c r="M185" i="19"/>
  <c r="N185" i="19"/>
  <c r="P185" i="19"/>
  <c r="Q185" i="19"/>
  <c r="S185" i="19"/>
  <c r="V185" i="19"/>
  <c r="W185" i="19"/>
  <c r="X185" i="19"/>
  <c r="Z185" i="19"/>
  <c r="AA185" i="19"/>
  <c r="AC185" i="19"/>
  <c r="AE185" i="19"/>
  <c r="AF185" i="19"/>
  <c r="AG185" i="19"/>
  <c r="AH185" i="19"/>
  <c r="AI185" i="19"/>
  <c r="AJ185" i="19"/>
  <c r="AK185" i="19"/>
  <c r="AL185" i="19"/>
  <c r="AM185" i="19"/>
  <c r="AN185" i="19"/>
  <c r="AO185" i="19"/>
  <c r="AP185" i="19"/>
  <c r="AQ185" i="19"/>
  <c r="AR185" i="19"/>
  <c r="C186" i="19"/>
  <c r="D186" i="19"/>
  <c r="E186" i="19"/>
  <c r="F186" i="19"/>
  <c r="H186" i="19"/>
  <c r="I186" i="19"/>
  <c r="J186" i="19"/>
  <c r="K186" i="19"/>
  <c r="L186" i="19"/>
  <c r="M186" i="19"/>
  <c r="N186" i="19"/>
  <c r="P186" i="19"/>
  <c r="Q186" i="19"/>
  <c r="S186" i="19"/>
  <c r="V186" i="19"/>
  <c r="W186" i="19"/>
  <c r="X186" i="19"/>
  <c r="Z186" i="19"/>
  <c r="D184" i="32" s="1"/>
  <c r="AA186" i="19"/>
  <c r="AC186" i="19"/>
  <c r="AE186" i="19"/>
  <c r="AF186" i="19"/>
  <c r="AG186" i="19"/>
  <c r="AH186" i="19"/>
  <c r="AI186" i="19"/>
  <c r="AJ186" i="19"/>
  <c r="AK186" i="19"/>
  <c r="AL186" i="19"/>
  <c r="AM186" i="19"/>
  <c r="AN186" i="19"/>
  <c r="AO186" i="19"/>
  <c r="AP186" i="19"/>
  <c r="AQ186" i="19"/>
  <c r="AR186" i="19"/>
  <c r="C187" i="19"/>
  <c r="D187" i="19"/>
  <c r="E187" i="19"/>
  <c r="F187" i="19"/>
  <c r="H187" i="19"/>
  <c r="I187" i="19"/>
  <c r="J187" i="19"/>
  <c r="K187" i="19"/>
  <c r="L187" i="19"/>
  <c r="M187" i="19"/>
  <c r="N187" i="19"/>
  <c r="P187" i="19"/>
  <c r="Q187" i="19"/>
  <c r="S187" i="19"/>
  <c r="V187" i="19"/>
  <c r="W187" i="19"/>
  <c r="X187" i="19"/>
  <c r="Z187" i="19"/>
  <c r="D185" i="32" s="1"/>
  <c r="AA187" i="19"/>
  <c r="AC187" i="19"/>
  <c r="AE187" i="19"/>
  <c r="AF187" i="19"/>
  <c r="AG187" i="19"/>
  <c r="AH187" i="19"/>
  <c r="AI187" i="19"/>
  <c r="AJ187" i="19"/>
  <c r="AK187" i="19"/>
  <c r="AL187" i="19"/>
  <c r="AM187" i="19"/>
  <c r="AN187" i="19"/>
  <c r="AO187" i="19"/>
  <c r="AP187" i="19"/>
  <c r="AQ187" i="19"/>
  <c r="AR187" i="19"/>
  <c r="C188" i="19"/>
  <c r="D188" i="19"/>
  <c r="E188" i="19"/>
  <c r="F188" i="19"/>
  <c r="H188" i="19"/>
  <c r="I188" i="19"/>
  <c r="J188" i="19"/>
  <c r="K188" i="19"/>
  <c r="L188" i="19"/>
  <c r="M188" i="19"/>
  <c r="N188" i="19"/>
  <c r="P188" i="19"/>
  <c r="Q188" i="19"/>
  <c r="S188" i="19"/>
  <c r="V188" i="19"/>
  <c r="W188" i="19"/>
  <c r="X188" i="19"/>
  <c r="Z188" i="19"/>
  <c r="AA188" i="19"/>
  <c r="AC188" i="19"/>
  <c r="AE188" i="19"/>
  <c r="AF188" i="19"/>
  <c r="AG188" i="19"/>
  <c r="AH188" i="19"/>
  <c r="AI188" i="19"/>
  <c r="AJ188" i="19"/>
  <c r="AK188" i="19"/>
  <c r="AL188" i="19"/>
  <c r="AM188" i="19"/>
  <c r="AN188" i="19"/>
  <c r="AO188" i="19"/>
  <c r="AP188" i="19"/>
  <c r="AQ188" i="19"/>
  <c r="AR188" i="19"/>
  <c r="C189" i="19"/>
  <c r="D189" i="19"/>
  <c r="E189" i="19"/>
  <c r="F189" i="19"/>
  <c r="H189" i="19"/>
  <c r="I189" i="19"/>
  <c r="J189" i="19"/>
  <c r="K189" i="19"/>
  <c r="L189" i="19"/>
  <c r="M189" i="19"/>
  <c r="N189" i="19"/>
  <c r="P189" i="19"/>
  <c r="Q189" i="19"/>
  <c r="S189" i="19"/>
  <c r="V189" i="19"/>
  <c r="W189" i="19"/>
  <c r="X189" i="19"/>
  <c r="Z189" i="19"/>
  <c r="D187" i="32" s="1"/>
  <c r="AA189" i="19"/>
  <c r="AC189" i="19"/>
  <c r="AE189" i="19"/>
  <c r="AF189" i="19"/>
  <c r="AG189" i="19"/>
  <c r="AH189" i="19"/>
  <c r="AI189" i="19"/>
  <c r="AJ189" i="19"/>
  <c r="AK189" i="19"/>
  <c r="AL189" i="19"/>
  <c r="AM189" i="19"/>
  <c r="AN189" i="19"/>
  <c r="AO189" i="19"/>
  <c r="AP189" i="19"/>
  <c r="AQ189" i="19"/>
  <c r="AR189" i="19"/>
  <c r="C190" i="19"/>
  <c r="D190" i="19"/>
  <c r="E190" i="19"/>
  <c r="F190" i="19"/>
  <c r="H190" i="19"/>
  <c r="I190" i="19"/>
  <c r="J190" i="19"/>
  <c r="K190" i="19"/>
  <c r="L190" i="19"/>
  <c r="M190" i="19"/>
  <c r="N190" i="19"/>
  <c r="P190" i="19"/>
  <c r="Q190" i="19"/>
  <c r="S190" i="19"/>
  <c r="V190" i="19"/>
  <c r="W190" i="19"/>
  <c r="X190" i="19"/>
  <c r="Z190" i="19"/>
  <c r="AA190" i="19"/>
  <c r="AC190" i="19"/>
  <c r="AE190" i="19"/>
  <c r="AF190" i="19"/>
  <c r="AG190" i="19"/>
  <c r="AH190" i="19"/>
  <c r="AI190" i="19"/>
  <c r="AJ190" i="19"/>
  <c r="AK190" i="19"/>
  <c r="AL190" i="19"/>
  <c r="AM190" i="19"/>
  <c r="AN190" i="19"/>
  <c r="AO190" i="19"/>
  <c r="AP190" i="19"/>
  <c r="AQ190" i="19"/>
  <c r="AR190" i="19"/>
  <c r="C191" i="19"/>
  <c r="D191" i="19"/>
  <c r="E191" i="19"/>
  <c r="F191" i="19"/>
  <c r="H191" i="19"/>
  <c r="I191" i="19"/>
  <c r="J191" i="19"/>
  <c r="K191" i="19"/>
  <c r="L191" i="19"/>
  <c r="M191" i="19"/>
  <c r="N191" i="19"/>
  <c r="P191" i="19"/>
  <c r="Q191" i="19"/>
  <c r="S191" i="19"/>
  <c r="V191" i="19"/>
  <c r="W191" i="19"/>
  <c r="X191" i="19"/>
  <c r="Z191" i="19"/>
  <c r="D189" i="32" s="1"/>
  <c r="AA191" i="19"/>
  <c r="AC191" i="19"/>
  <c r="AE191" i="19"/>
  <c r="AF191" i="19"/>
  <c r="AG191" i="19"/>
  <c r="AH191" i="19"/>
  <c r="AI191" i="19"/>
  <c r="AJ191" i="19"/>
  <c r="AK191" i="19"/>
  <c r="AL191" i="19"/>
  <c r="AM191" i="19"/>
  <c r="AN191" i="19"/>
  <c r="AO191" i="19"/>
  <c r="AP191" i="19"/>
  <c r="AQ191" i="19"/>
  <c r="AR191" i="19"/>
  <c r="C192" i="19"/>
  <c r="D192" i="19"/>
  <c r="E192" i="19"/>
  <c r="F192" i="19"/>
  <c r="H192" i="19"/>
  <c r="I192" i="19"/>
  <c r="J192" i="19"/>
  <c r="K192" i="19"/>
  <c r="L192" i="19"/>
  <c r="M192" i="19"/>
  <c r="N192" i="19"/>
  <c r="P192" i="19"/>
  <c r="Q192" i="19"/>
  <c r="S192" i="19"/>
  <c r="V192" i="19"/>
  <c r="W192" i="19"/>
  <c r="X192" i="19"/>
  <c r="Z192" i="19"/>
  <c r="D190" i="32" s="1"/>
  <c r="AA192" i="19"/>
  <c r="AC192" i="19"/>
  <c r="AE192" i="19"/>
  <c r="AF192" i="19"/>
  <c r="AG192" i="19"/>
  <c r="AH192" i="19"/>
  <c r="AI192" i="19"/>
  <c r="AJ192" i="19"/>
  <c r="AK192" i="19"/>
  <c r="AL192" i="19"/>
  <c r="AM192" i="19"/>
  <c r="AN192" i="19"/>
  <c r="AO192" i="19"/>
  <c r="AP192" i="19"/>
  <c r="AQ192" i="19"/>
  <c r="AR192" i="19"/>
  <c r="C193" i="19"/>
  <c r="D193" i="19"/>
  <c r="E193" i="19"/>
  <c r="F193" i="19"/>
  <c r="H193" i="19"/>
  <c r="I193" i="19"/>
  <c r="J193" i="19"/>
  <c r="K193" i="19"/>
  <c r="L193" i="19"/>
  <c r="M193" i="19"/>
  <c r="N193" i="19"/>
  <c r="P193" i="19"/>
  <c r="Q193" i="19"/>
  <c r="S193" i="19"/>
  <c r="V193" i="19"/>
  <c r="W193" i="19"/>
  <c r="X193" i="19"/>
  <c r="Z193" i="19"/>
  <c r="AA193" i="19"/>
  <c r="AC193" i="19"/>
  <c r="AE193" i="19"/>
  <c r="AF193" i="19"/>
  <c r="AG193" i="19"/>
  <c r="AH193" i="19"/>
  <c r="AI193" i="19"/>
  <c r="AJ193" i="19"/>
  <c r="AK193" i="19"/>
  <c r="AL193" i="19"/>
  <c r="AM193" i="19"/>
  <c r="AN193" i="19"/>
  <c r="AO193" i="19"/>
  <c r="AP193" i="19"/>
  <c r="AQ193" i="19"/>
  <c r="AR193" i="19"/>
  <c r="C194" i="19"/>
  <c r="D194" i="19"/>
  <c r="E194" i="19"/>
  <c r="F194" i="19"/>
  <c r="H194" i="19"/>
  <c r="I194" i="19"/>
  <c r="J194" i="19"/>
  <c r="K194" i="19"/>
  <c r="L194" i="19"/>
  <c r="M194" i="19"/>
  <c r="N194" i="19"/>
  <c r="P194" i="19"/>
  <c r="Q194" i="19"/>
  <c r="S194" i="19"/>
  <c r="V194" i="19"/>
  <c r="W194" i="19"/>
  <c r="X194" i="19"/>
  <c r="Z194" i="19"/>
  <c r="AA194" i="19"/>
  <c r="AC194" i="19"/>
  <c r="AE194" i="19"/>
  <c r="AF194" i="19"/>
  <c r="AG194" i="19"/>
  <c r="AH194" i="19"/>
  <c r="AI194" i="19"/>
  <c r="AJ194" i="19"/>
  <c r="AK194" i="19"/>
  <c r="AL194" i="19"/>
  <c r="AM194" i="19"/>
  <c r="AN194" i="19"/>
  <c r="AO194" i="19"/>
  <c r="AP194" i="19"/>
  <c r="AQ194" i="19"/>
  <c r="AR194" i="19"/>
  <c r="C195" i="19"/>
  <c r="D195" i="19"/>
  <c r="E195" i="19"/>
  <c r="F195" i="19"/>
  <c r="H195" i="19"/>
  <c r="I195" i="19"/>
  <c r="J195" i="19"/>
  <c r="K195" i="19"/>
  <c r="L195" i="19"/>
  <c r="M195" i="19"/>
  <c r="N195" i="19"/>
  <c r="P195" i="19"/>
  <c r="Q195" i="19"/>
  <c r="S195" i="19"/>
  <c r="V195" i="19"/>
  <c r="W195" i="19"/>
  <c r="X195" i="19"/>
  <c r="Z195" i="19"/>
  <c r="AA195" i="19"/>
  <c r="AC195" i="19"/>
  <c r="AE195" i="19"/>
  <c r="AF195" i="19"/>
  <c r="AG195" i="19"/>
  <c r="AH195" i="19"/>
  <c r="AI195" i="19"/>
  <c r="AJ195" i="19"/>
  <c r="AK195" i="19"/>
  <c r="AL195" i="19"/>
  <c r="AM195" i="19"/>
  <c r="AN195" i="19"/>
  <c r="AO195" i="19"/>
  <c r="AP195" i="19"/>
  <c r="AQ195" i="19"/>
  <c r="AR195" i="19"/>
  <c r="C196" i="19"/>
  <c r="D196" i="19"/>
  <c r="E196" i="19"/>
  <c r="F196" i="19"/>
  <c r="H196" i="19"/>
  <c r="I196" i="19"/>
  <c r="J196" i="19"/>
  <c r="K196" i="19"/>
  <c r="L196" i="19"/>
  <c r="M196" i="19"/>
  <c r="N196" i="19"/>
  <c r="P196" i="19"/>
  <c r="Q196" i="19"/>
  <c r="S196" i="19"/>
  <c r="V196" i="19"/>
  <c r="W196" i="19"/>
  <c r="X196" i="19"/>
  <c r="Z196" i="19"/>
  <c r="D194" i="32" s="1"/>
  <c r="AA196" i="19"/>
  <c r="AC196" i="19"/>
  <c r="AE196" i="19"/>
  <c r="AF196" i="19"/>
  <c r="AG196" i="19"/>
  <c r="AH196" i="19"/>
  <c r="AI196" i="19"/>
  <c r="AJ196" i="19"/>
  <c r="AK196" i="19"/>
  <c r="AL196" i="19"/>
  <c r="AM196" i="19"/>
  <c r="AN196" i="19"/>
  <c r="AO196" i="19"/>
  <c r="AP196" i="19"/>
  <c r="AQ196" i="19"/>
  <c r="AR196" i="19"/>
  <c r="C197" i="19"/>
  <c r="D197" i="19"/>
  <c r="E197" i="19"/>
  <c r="F197" i="19"/>
  <c r="H197" i="19"/>
  <c r="I197" i="19"/>
  <c r="J197" i="19"/>
  <c r="K197" i="19"/>
  <c r="L197" i="19"/>
  <c r="M197" i="19"/>
  <c r="N197" i="19"/>
  <c r="P197" i="19"/>
  <c r="Q197" i="19"/>
  <c r="S197" i="19"/>
  <c r="V197" i="19"/>
  <c r="W197" i="19"/>
  <c r="X197" i="19"/>
  <c r="Z197" i="19"/>
  <c r="AA197" i="19"/>
  <c r="AC197" i="19"/>
  <c r="AE197" i="19"/>
  <c r="AF197" i="19"/>
  <c r="AG197" i="19"/>
  <c r="AH197" i="19"/>
  <c r="AI197" i="19"/>
  <c r="AJ197" i="19"/>
  <c r="AK197" i="19"/>
  <c r="AL197" i="19"/>
  <c r="AM197" i="19"/>
  <c r="AN197" i="19"/>
  <c r="AO197" i="19"/>
  <c r="AP197" i="19"/>
  <c r="AQ197" i="19"/>
  <c r="AR197" i="19"/>
  <c r="C198" i="19"/>
  <c r="D198" i="19"/>
  <c r="E198" i="19"/>
  <c r="F198" i="19"/>
  <c r="H198" i="19"/>
  <c r="I198" i="19"/>
  <c r="J198" i="19"/>
  <c r="K198" i="19"/>
  <c r="L198" i="19"/>
  <c r="M198" i="19"/>
  <c r="N198" i="19"/>
  <c r="P198" i="19"/>
  <c r="Q198" i="19"/>
  <c r="S198" i="19"/>
  <c r="V198" i="19"/>
  <c r="W198" i="19"/>
  <c r="X198" i="19"/>
  <c r="Z198" i="19"/>
  <c r="D196" i="32" s="1"/>
  <c r="AA198" i="19"/>
  <c r="AC198" i="19"/>
  <c r="AE198" i="19"/>
  <c r="AF198" i="19"/>
  <c r="AG198" i="19"/>
  <c r="AH198" i="19"/>
  <c r="AI198" i="19"/>
  <c r="AJ198" i="19"/>
  <c r="AK198" i="19"/>
  <c r="AL198" i="19"/>
  <c r="AM198" i="19"/>
  <c r="AN198" i="19"/>
  <c r="AO198" i="19"/>
  <c r="AP198" i="19"/>
  <c r="AQ198" i="19"/>
  <c r="AR198" i="19"/>
  <c r="C199" i="19"/>
  <c r="D199" i="19"/>
  <c r="E199" i="19"/>
  <c r="F199" i="19"/>
  <c r="H199" i="19"/>
  <c r="I199" i="19"/>
  <c r="J199" i="19"/>
  <c r="K199" i="19"/>
  <c r="L199" i="19"/>
  <c r="M199" i="19"/>
  <c r="N199" i="19"/>
  <c r="P199" i="19"/>
  <c r="Q199" i="19"/>
  <c r="S199" i="19"/>
  <c r="V199" i="19"/>
  <c r="W199" i="19"/>
  <c r="X199" i="19"/>
  <c r="Z199" i="19"/>
  <c r="D197" i="32" s="1"/>
  <c r="AA199" i="19"/>
  <c r="AC199" i="19"/>
  <c r="AE199" i="19"/>
  <c r="AF199" i="19"/>
  <c r="AG199" i="19"/>
  <c r="AH199" i="19"/>
  <c r="AI199" i="19"/>
  <c r="AJ199" i="19"/>
  <c r="AK199" i="19"/>
  <c r="AL199" i="19"/>
  <c r="AM199" i="19"/>
  <c r="AN199" i="19"/>
  <c r="AO199" i="19"/>
  <c r="AP199" i="19"/>
  <c r="AQ199" i="19"/>
  <c r="AR199" i="19"/>
  <c r="C200" i="19"/>
  <c r="D200" i="19"/>
  <c r="E200" i="19"/>
  <c r="F200" i="19"/>
  <c r="H200" i="19"/>
  <c r="I200" i="19"/>
  <c r="J200" i="19"/>
  <c r="K200" i="19"/>
  <c r="L200" i="19"/>
  <c r="M200" i="19"/>
  <c r="N200" i="19"/>
  <c r="P200" i="19"/>
  <c r="Q200" i="19"/>
  <c r="S200" i="19"/>
  <c r="V200" i="19"/>
  <c r="W200" i="19"/>
  <c r="X200" i="19"/>
  <c r="Z200" i="19"/>
  <c r="D198" i="32" s="1"/>
  <c r="AA200" i="19"/>
  <c r="AC200" i="19"/>
  <c r="AE200" i="19"/>
  <c r="AF200" i="19"/>
  <c r="AG200" i="19"/>
  <c r="AH200" i="19"/>
  <c r="AI200" i="19"/>
  <c r="AJ200" i="19"/>
  <c r="AK200" i="19"/>
  <c r="AL200" i="19"/>
  <c r="AM200" i="19"/>
  <c r="AN200" i="19"/>
  <c r="AO200" i="19"/>
  <c r="AP200" i="19"/>
  <c r="AQ200" i="19"/>
  <c r="AR200" i="19"/>
  <c r="C201" i="19"/>
  <c r="D201" i="19"/>
  <c r="E201" i="19"/>
  <c r="F201" i="19"/>
  <c r="H201" i="19"/>
  <c r="I201" i="19"/>
  <c r="J201" i="19"/>
  <c r="K201" i="19"/>
  <c r="L201" i="19"/>
  <c r="M201" i="19"/>
  <c r="N201" i="19"/>
  <c r="P201" i="19"/>
  <c r="Q201" i="19"/>
  <c r="S201" i="19"/>
  <c r="V201" i="19"/>
  <c r="W201" i="19"/>
  <c r="X201" i="19"/>
  <c r="Z201" i="19"/>
  <c r="D199" i="32" s="1"/>
  <c r="AA201" i="19"/>
  <c r="AC201" i="19"/>
  <c r="AE201" i="19"/>
  <c r="AF201" i="19"/>
  <c r="AG201" i="19"/>
  <c r="AH201" i="19"/>
  <c r="AI201" i="19"/>
  <c r="AJ201" i="19"/>
  <c r="AK201" i="19"/>
  <c r="AL201" i="19"/>
  <c r="AM201" i="19"/>
  <c r="AN201" i="19"/>
  <c r="AO201" i="19"/>
  <c r="AP201" i="19"/>
  <c r="AQ201" i="19"/>
  <c r="AR201" i="19"/>
  <c r="C202" i="19"/>
  <c r="D202" i="19"/>
  <c r="E202" i="19"/>
  <c r="F202" i="19"/>
  <c r="H202" i="19"/>
  <c r="I202" i="19"/>
  <c r="J202" i="19"/>
  <c r="K202" i="19"/>
  <c r="L202" i="19"/>
  <c r="M202" i="19"/>
  <c r="N202" i="19"/>
  <c r="P202" i="19"/>
  <c r="Q202" i="19"/>
  <c r="S202" i="19"/>
  <c r="V202" i="19"/>
  <c r="W202" i="19"/>
  <c r="X202" i="19"/>
  <c r="Z202" i="19"/>
  <c r="AA202" i="19"/>
  <c r="AC202" i="19"/>
  <c r="AE202" i="19"/>
  <c r="AF202" i="19"/>
  <c r="AG202" i="19"/>
  <c r="AH202" i="19"/>
  <c r="AI202" i="19"/>
  <c r="AJ202" i="19"/>
  <c r="AK202" i="19"/>
  <c r="AL202" i="19"/>
  <c r="AM202" i="19"/>
  <c r="AN202" i="19"/>
  <c r="AO202" i="19"/>
  <c r="AP202" i="19"/>
  <c r="AQ202" i="19"/>
  <c r="AR202" i="19"/>
  <c r="C203" i="19"/>
  <c r="D203" i="19"/>
  <c r="E203" i="19"/>
  <c r="F203" i="19"/>
  <c r="H203" i="19"/>
  <c r="I203" i="19"/>
  <c r="J203" i="19"/>
  <c r="K203" i="19"/>
  <c r="L203" i="19"/>
  <c r="M203" i="19"/>
  <c r="N203" i="19"/>
  <c r="P203" i="19"/>
  <c r="Q203" i="19"/>
  <c r="S203" i="19"/>
  <c r="V203" i="19"/>
  <c r="W203" i="19"/>
  <c r="X203" i="19"/>
  <c r="Z203" i="19"/>
  <c r="AA203" i="19"/>
  <c r="AC203" i="19"/>
  <c r="AE203" i="19"/>
  <c r="AF203" i="19"/>
  <c r="AG203" i="19"/>
  <c r="AH203" i="19"/>
  <c r="AI203" i="19"/>
  <c r="AJ203" i="19"/>
  <c r="AK203" i="19"/>
  <c r="AL203" i="19"/>
  <c r="AM203" i="19"/>
  <c r="AN203" i="19"/>
  <c r="AO203" i="19"/>
  <c r="AP203" i="19"/>
  <c r="AQ203" i="19"/>
  <c r="AR203" i="19"/>
  <c r="C204" i="19"/>
  <c r="D204" i="19"/>
  <c r="E204" i="19"/>
  <c r="F204" i="19"/>
  <c r="H204" i="19"/>
  <c r="I204" i="19"/>
  <c r="J204" i="19"/>
  <c r="K204" i="19"/>
  <c r="L204" i="19"/>
  <c r="M204" i="19"/>
  <c r="N204" i="19"/>
  <c r="P204" i="19"/>
  <c r="Q204" i="19"/>
  <c r="S204" i="19"/>
  <c r="V204" i="19"/>
  <c r="W204" i="19"/>
  <c r="X204" i="19"/>
  <c r="Z204" i="19"/>
  <c r="AA204" i="19"/>
  <c r="AC204" i="19"/>
  <c r="AE204" i="19"/>
  <c r="AF204" i="19"/>
  <c r="AG204" i="19"/>
  <c r="AH204" i="19"/>
  <c r="AI204" i="19"/>
  <c r="AJ204" i="19"/>
  <c r="AK204" i="19"/>
  <c r="AL204" i="19"/>
  <c r="AM204" i="19"/>
  <c r="AN204" i="19"/>
  <c r="AO204" i="19"/>
  <c r="AP204" i="19"/>
  <c r="AQ204" i="19"/>
  <c r="AR204" i="19"/>
  <c r="C205" i="19"/>
  <c r="D205" i="19"/>
  <c r="E205" i="19"/>
  <c r="F205" i="19"/>
  <c r="H205" i="19"/>
  <c r="I205" i="19"/>
  <c r="J205" i="19"/>
  <c r="K205" i="19"/>
  <c r="L205" i="19"/>
  <c r="M205" i="19"/>
  <c r="N205" i="19"/>
  <c r="P205" i="19"/>
  <c r="Q205" i="19"/>
  <c r="S205" i="19"/>
  <c r="V205" i="19"/>
  <c r="W205" i="19"/>
  <c r="X205" i="19"/>
  <c r="Z205" i="19"/>
  <c r="AA205" i="19"/>
  <c r="AC205" i="19"/>
  <c r="AE205" i="19"/>
  <c r="AF205" i="19"/>
  <c r="AG205" i="19"/>
  <c r="AH205" i="19"/>
  <c r="AI205" i="19"/>
  <c r="AJ205" i="19"/>
  <c r="AK205" i="19"/>
  <c r="AL205" i="19"/>
  <c r="AM205" i="19"/>
  <c r="AN205" i="19"/>
  <c r="AO205" i="19"/>
  <c r="AP205" i="19"/>
  <c r="AQ205" i="19"/>
  <c r="AR205" i="19"/>
  <c r="C206" i="19"/>
  <c r="D206" i="19"/>
  <c r="E206" i="19"/>
  <c r="F206" i="19"/>
  <c r="H206" i="19"/>
  <c r="I206" i="19"/>
  <c r="J206" i="19"/>
  <c r="K206" i="19"/>
  <c r="L206" i="19"/>
  <c r="M206" i="19"/>
  <c r="N206" i="19"/>
  <c r="P206" i="19"/>
  <c r="Q206" i="19"/>
  <c r="S206" i="19"/>
  <c r="V206" i="19"/>
  <c r="W206" i="19"/>
  <c r="X206" i="19"/>
  <c r="Z206" i="19"/>
  <c r="D204" i="32" s="1"/>
  <c r="AA206" i="19"/>
  <c r="AC206" i="19"/>
  <c r="AE206" i="19"/>
  <c r="AF206" i="19"/>
  <c r="AG206" i="19"/>
  <c r="AH206" i="19"/>
  <c r="AI206" i="19"/>
  <c r="AJ206" i="19"/>
  <c r="AK206" i="19"/>
  <c r="AL206" i="19"/>
  <c r="AM206" i="19"/>
  <c r="AN206" i="19"/>
  <c r="AO206" i="19"/>
  <c r="AP206" i="19"/>
  <c r="AQ206" i="19"/>
  <c r="AR206" i="19"/>
  <c r="C207" i="19"/>
  <c r="D207" i="19"/>
  <c r="E207" i="19"/>
  <c r="F207" i="19"/>
  <c r="H207" i="19"/>
  <c r="I207" i="19"/>
  <c r="J207" i="19"/>
  <c r="K207" i="19"/>
  <c r="L207" i="19"/>
  <c r="M207" i="19"/>
  <c r="N207" i="19"/>
  <c r="P207" i="19"/>
  <c r="Q207" i="19"/>
  <c r="S207" i="19"/>
  <c r="V207" i="19"/>
  <c r="W207" i="19"/>
  <c r="X207" i="19"/>
  <c r="Z207" i="19"/>
  <c r="D205" i="32" s="1"/>
  <c r="AA207" i="19"/>
  <c r="AC207" i="19"/>
  <c r="AE207" i="19"/>
  <c r="AF207" i="19"/>
  <c r="AG207" i="19"/>
  <c r="AH207" i="19"/>
  <c r="AI207" i="19"/>
  <c r="AJ207" i="19"/>
  <c r="AK207" i="19"/>
  <c r="AL207" i="19"/>
  <c r="AM207" i="19"/>
  <c r="AN207" i="19"/>
  <c r="AO207" i="19"/>
  <c r="AP207" i="19"/>
  <c r="AQ207" i="19"/>
  <c r="AR207" i="19"/>
  <c r="C208" i="19"/>
  <c r="D208" i="19"/>
  <c r="E208" i="19"/>
  <c r="F208" i="19"/>
  <c r="H208" i="19"/>
  <c r="I208" i="19"/>
  <c r="J208" i="19"/>
  <c r="K208" i="19"/>
  <c r="L208" i="19"/>
  <c r="M208" i="19"/>
  <c r="N208" i="19"/>
  <c r="P208" i="19"/>
  <c r="Q208" i="19"/>
  <c r="S208" i="19"/>
  <c r="V208" i="19"/>
  <c r="W208" i="19"/>
  <c r="X208" i="19"/>
  <c r="Z208" i="19"/>
  <c r="AA208" i="19"/>
  <c r="AC208" i="19"/>
  <c r="AE208" i="19"/>
  <c r="AF208" i="19"/>
  <c r="AG208" i="19"/>
  <c r="AH208" i="19"/>
  <c r="AI208" i="19"/>
  <c r="AJ208" i="19"/>
  <c r="AK208" i="19"/>
  <c r="AL208" i="19"/>
  <c r="AM208" i="19"/>
  <c r="AN208" i="19"/>
  <c r="AO208" i="19"/>
  <c r="AP208" i="19"/>
  <c r="AQ208" i="19"/>
  <c r="AR208" i="19"/>
  <c r="C209" i="19"/>
  <c r="D209" i="19"/>
  <c r="E209" i="19"/>
  <c r="F209" i="19"/>
  <c r="H209" i="19"/>
  <c r="I209" i="19"/>
  <c r="J209" i="19"/>
  <c r="K209" i="19"/>
  <c r="L209" i="19"/>
  <c r="M209" i="19"/>
  <c r="N209" i="19"/>
  <c r="P209" i="19"/>
  <c r="Q209" i="19"/>
  <c r="S209" i="19"/>
  <c r="V209" i="19"/>
  <c r="W209" i="19"/>
  <c r="X209" i="19"/>
  <c r="Z209" i="19"/>
  <c r="D207" i="32" s="1"/>
  <c r="AA209" i="19"/>
  <c r="AC209" i="19"/>
  <c r="AE209" i="19"/>
  <c r="AF209" i="19"/>
  <c r="AG209" i="19"/>
  <c r="AH209" i="19"/>
  <c r="AI209" i="19"/>
  <c r="AJ209" i="19"/>
  <c r="AK209" i="19"/>
  <c r="AL209" i="19"/>
  <c r="AM209" i="19"/>
  <c r="AN209" i="19"/>
  <c r="AO209" i="19"/>
  <c r="AP209" i="19"/>
  <c r="AQ209" i="19"/>
  <c r="AR209" i="19"/>
  <c r="C210" i="19"/>
  <c r="D210" i="19"/>
  <c r="E210" i="19"/>
  <c r="F210" i="19"/>
  <c r="H210" i="19"/>
  <c r="I210" i="19"/>
  <c r="J210" i="19"/>
  <c r="K210" i="19"/>
  <c r="L210" i="19"/>
  <c r="M210" i="19"/>
  <c r="N210" i="19"/>
  <c r="P210" i="19"/>
  <c r="Q210" i="19"/>
  <c r="S210" i="19"/>
  <c r="V210" i="19"/>
  <c r="W210" i="19"/>
  <c r="X210" i="19"/>
  <c r="Z210" i="19"/>
  <c r="AA210" i="19"/>
  <c r="AC210" i="19"/>
  <c r="AE210" i="19"/>
  <c r="AF210" i="19"/>
  <c r="AG210" i="19"/>
  <c r="AH210" i="19"/>
  <c r="AI210" i="19"/>
  <c r="AJ210" i="19"/>
  <c r="AK210" i="19"/>
  <c r="AL210" i="19"/>
  <c r="AM210" i="19"/>
  <c r="AN210" i="19"/>
  <c r="AO210" i="19"/>
  <c r="AP210" i="19"/>
  <c r="AQ210" i="19"/>
  <c r="AR210" i="19"/>
  <c r="C211" i="19"/>
  <c r="D211" i="19"/>
  <c r="E211" i="19"/>
  <c r="F211" i="19"/>
  <c r="H211" i="19"/>
  <c r="I211" i="19"/>
  <c r="J211" i="19"/>
  <c r="K211" i="19"/>
  <c r="L211" i="19"/>
  <c r="M211" i="19"/>
  <c r="N211" i="19"/>
  <c r="P211" i="19"/>
  <c r="Q211" i="19"/>
  <c r="S211" i="19"/>
  <c r="V211" i="19"/>
  <c r="W211" i="19"/>
  <c r="X211" i="19"/>
  <c r="Z211" i="19"/>
  <c r="D209" i="32" s="1"/>
  <c r="AA211" i="19"/>
  <c r="AC211" i="19"/>
  <c r="AE211" i="19"/>
  <c r="AF211" i="19"/>
  <c r="AG211" i="19"/>
  <c r="AH211" i="19"/>
  <c r="AI211" i="19"/>
  <c r="AJ211" i="19"/>
  <c r="AK211" i="19"/>
  <c r="AL211" i="19"/>
  <c r="AM211" i="19"/>
  <c r="AN211" i="19"/>
  <c r="AO211" i="19"/>
  <c r="AP211" i="19"/>
  <c r="AQ211" i="19"/>
  <c r="AR211" i="19"/>
  <c r="C212" i="19"/>
  <c r="D212" i="19"/>
  <c r="E212" i="19"/>
  <c r="F212" i="19"/>
  <c r="H212" i="19"/>
  <c r="I212" i="19"/>
  <c r="J212" i="19"/>
  <c r="K212" i="19"/>
  <c r="L212" i="19"/>
  <c r="M212" i="19"/>
  <c r="N212" i="19"/>
  <c r="P212" i="19"/>
  <c r="Q212" i="19"/>
  <c r="S212" i="19"/>
  <c r="V212" i="19"/>
  <c r="W212" i="19"/>
  <c r="X212" i="19"/>
  <c r="Z212" i="19"/>
  <c r="D210" i="32" s="1"/>
  <c r="AA212" i="19"/>
  <c r="AC212" i="19"/>
  <c r="AE212" i="19"/>
  <c r="AF212" i="19"/>
  <c r="AG212" i="19"/>
  <c r="AH212" i="19"/>
  <c r="AI212" i="19"/>
  <c r="AJ212" i="19"/>
  <c r="AK212" i="19"/>
  <c r="AL212" i="19"/>
  <c r="AM212" i="19"/>
  <c r="AN212" i="19"/>
  <c r="AO212" i="19"/>
  <c r="AP212" i="19"/>
  <c r="AQ212" i="19"/>
  <c r="AR212" i="19"/>
  <c r="C213" i="19"/>
  <c r="D213" i="19"/>
  <c r="E213" i="19"/>
  <c r="F213" i="19"/>
  <c r="H213" i="19"/>
  <c r="I213" i="19"/>
  <c r="J213" i="19"/>
  <c r="K213" i="19"/>
  <c r="L213" i="19"/>
  <c r="M213" i="19"/>
  <c r="N213" i="19"/>
  <c r="P213" i="19"/>
  <c r="Q213" i="19"/>
  <c r="S213" i="19"/>
  <c r="V213" i="19"/>
  <c r="W213" i="19"/>
  <c r="X213" i="19"/>
  <c r="Z213" i="19"/>
  <c r="D211" i="32" s="1"/>
  <c r="AA213" i="19"/>
  <c r="AC213" i="19"/>
  <c r="AE213" i="19"/>
  <c r="AF213" i="19"/>
  <c r="AG213" i="19"/>
  <c r="AH213" i="19"/>
  <c r="AI213" i="19"/>
  <c r="AJ213" i="19"/>
  <c r="AK213" i="19"/>
  <c r="AL213" i="19"/>
  <c r="AM213" i="19"/>
  <c r="AN213" i="19"/>
  <c r="AO213" i="19"/>
  <c r="AP213" i="19"/>
  <c r="AQ213" i="19"/>
  <c r="AR213" i="19"/>
  <c r="C214" i="19"/>
  <c r="D214" i="19"/>
  <c r="E214" i="19"/>
  <c r="F214" i="19"/>
  <c r="H214" i="19"/>
  <c r="I214" i="19"/>
  <c r="J214" i="19"/>
  <c r="K214" i="19"/>
  <c r="L214" i="19"/>
  <c r="M214" i="19"/>
  <c r="N214" i="19"/>
  <c r="P214" i="19"/>
  <c r="Q214" i="19"/>
  <c r="S214" i="19"/>
  <c r="V214" i="19"/>
  <c r="W214" i="19"/>
  <c r="X214" i="19"/>
  <c r="Z214" i="19"/>
  <c r="AA214" i="19"/>
  <c r="AC214" i="19"/>
  <c r="AE214" i="19"/>
  <c r="AF214" i="19"/>
  <c r="AG214" i="19"/>
  <c r="AH214" i="19"/>
  <c r="AI214" i="19"/>
  <c r="AJ214" i="19"/>
  <c r="AK214" i="19"/>
  <c r="AL214" i="19"/>
  <c r="AM214" i="19"/>
  <c r="AN214" i="19"/>
  <c r="AO214" i="19"/>
  <c r="AP214" i="19"/>
  <c r="AQ214" i="19"/>
  <c r="AR214" i="19"/>
  <c r="C215" i="19"/>
  <c r="D215" i="19"/>
  <c r="E215" i="19"/>
  <c r="F215" i="19"/>
  <c r="H215" i="19"/>
  <c r="I215" i="19"/>
  <c r="J215" i="19"/>
  <c r="K215" i="19"/>
  <c r="L215" i="19"/>
  <c r="M215" i="19"/>
  <c r="N215" i="19"/>
  <c r="P215" i="19"/>
  <c r="Q215" i="19"/>
  <c r="S215" i="19"/>
  <c r="V215" i="19"/>
  <c r="W215" i="19"/>
  <c r="X215" i="19"/>
  <c r="Z215" i="19"/>
  <c r="AA215" i="19"/>
  <c r="AC215" i="19"/>
  <c r="AE215" i="19"/>
  <c r="AF215" i="19"/>
  <c r="AG215" i="19"/>
  <c r="AH215" i="19"/>
  <c r="AI215" i="19"/>
  <c r="AJ215" i="19"/>
  <c r="AK215" i="19"/>
  <c r="AL215" i="19"/>
  <c r="AM215" i="19"/>
  <c r="AN215" i="19"/>
  <c r="AO215" i="19"/>
  <c r="AP215" i="19"/>
  <c r="AQ215" i="19"/>
  <c r="AR215" i="19"/>
  <c r="C216" i="19"/>
  <c r="D216" i="19"/>
  <c r="E216" i="19"/>
  <c r="F216" i="19"/>
  <c r="H216" i="19"/>
  <c r="I216" i="19"/>
  <c r="J216" i="19"/>
  <c r="K216" i="19"/>
  <c r="L216" i="19"/>
  <c r="M216" i="19"/>
  <c r="N216" i="19"/>
  <c r="P216" i="19"/>
  <c r="Q216" i="19"/>
  <c r="S216" i="19"/>
  <c r="V216" i="19"/>
  <c r="W216" i="19"/>
  <c r="X216" i="19"/>
  <c r="Z216" i="19"/>
  <c r="AA216" i="19"/>
  <c r="AC216" i="19"/>
  <c r="AE216" i="19"/>
  <c r="AF216" i="19"/>
  <c r="AG216" i="19"/>
  <c r="AH216" i="19"/>
  <c r="AI216" i="19"/>
  <c r="AJ216" i="19"/>
  <c r="AK216" i="19"/>
  <c r="AL216" i="19"/>
  <c r="AM216" i="19"/>
  <c r="AN216" i="19"/>
  <c r="AO216" i="19"/>
  <c r="AP216" i="19"/>
  <c r="AQ216" i="19"/>
  <c r="AR216" i="19"/>
  <c r="C217" i="19"/>
  <c r="D217" i="19"/>
  <c r="E217" i="19"/>
  <c r="F217" i="19"/>
  <c r="H217" i="19"/>
  <c r="I217" i="19"/>
  <c r="J217" i="19"/>
  <c r="K217" i="19"/>
  <c r="L217" i="19"/>
  <c r="M217" i="19"/>
  <c r="N217" i="19"/>
  <c r="P217" i="19"/>
  <c r="Q217" i="19"/>
  <c r="S217" i="19"/>
  <c r="V217" i="19"/>
  <c r="W217" i="19"/>
  <c r="X217" i="19"/>
  <c r="Z217" i="19"/>
  <c r="AA217" i="19"/>
  <c r="AC217" i="19"/>
  <c r="AE217" i="19"/>
  <c r="AG217" i="19"/>
  <c r="AH217" i="19"/>
  <c r="AI217" i="19"/>
  <c r="AJ217" i="19"/>
  <c r="AL217" i="19"/>
  <c r="AM217" i="19"/>
  <c r="AN217" i="19"/>
  <c r="AO217" i="19"/>
  <c r="AP217" i="19"/>
  <c r="AQ217" i="19"/>
  <c r="AR217" i="19"/>
  <c r="C218" i="19"/>
  <c r="D218" i="19"/>
  <c r="E218" i="19"/>
  <c r="F218" i="19"/>
  <c r="H218" i="19"/>
  <c r="I218" i="19"/>
  <c r="J218" i="19"/>
  <c r="K218" i="19"/>
  <c r="L218" i="19"/>
  <c r="M218" i="19"/>
  <c r="N218" i="19"/>
  <c r="P218" i="19"/>
  <c r="Q218" i="19"/>
  <c r="S218" i="19"/>
  <c r="V218" i="19"/>
  <c r="W218" i="19"/>
  <c r="X218" i="19"/>
  <c r="Z218" i="19"/>
  <c r="D216" i="32" s="1"/>
  <c r="AA218" i="19"/>
  <c r="AC218" i="19"/>
  <c r="AE218" i="19"/>
  <c r="AF218" i="19"/>
  <c r="AG218" i="19"/>
  <c r="AH218" i="19"/>
  <c r="AI218" i="19"/>
  <c r="AJ218" i="19"/>
  <c r="AK218" i="19"/>
  <c r="AL218" i="19"/>
  <c r="AM218" i="19"/>
  <c r="AN218" i="19"/>
  <c r="AO218" i="19"/>
  <c r="AP218" i="19"/>
  <c r="AQ218" i="19"/>
  <c r="AR218" i="19"/>
  <c r="C219" i="19"/>
  <c r="D219" i="19"/>
  <c r="E219" i="19"/>
  <c r="F219" i="19"/>
  <c r="H219" i="19"/>
  <c r="I219" i="19"/>
  <c r="J219" i="19"/>
  <c r="K219" i="19"/>
  <c r="L219" i="19"/>
  <c r="M219" i="19"/>
  <c r="N219" i="19"/>
  <c r="P219" i="19"/>
  <c r="Q219" i="19"/>
  <c r="S219" i="19"/>
  <c r="V219" i="19"/>
  <c r="W219" i="19"/>
  <c r="X219" i="19"/>
  <c r="Z219" i="19"/>
  <c r="D217" i="32" s="1"/>
  <c r="AA219" i="19"/>
  <c r="AC219" i="19"/>
  <c r="AE219" i="19"/>
  <c r="AF219" i="19"/>
  <c r="AG219" i="19"/>
  <c r="AH219" i="19"/>
  <c r="AI219" i="19"/>
  <c r="AJ219" i="19"/>
  <c r="AK219" i="19"/>
  <c r="AL219" i="19"/>
  <c r="AM219" i="19"/>
  <c r="AN219" i="19"/>
  <c r="AO219" i="19"/>
  <c r="AP219" i="19"/>
  <c r="AQ219" i="19"/>
  <c r="AR219" i="19"/>
  <c r="C220" i="19"/>
  <c r="D220" i="19"/>
  <c r="E220" i="19"/>
  <c r="F220" i="19"/>
  <c r="H220" i="19"/>
  <c r="I220" i="19"/>
  <c r="J220" i="19"/>
  <c r="K220" i="19"/>
  <c r="L220" i="19"/>
  <c r="M220" i="19"/>
  <c r="N220" i="19"/>
  <c r="P220" i="19"/>
  <c r="Q220" i="19"/>
  <c r="S220" i="19"/>
  <c r="V220" i="19"/>
  <c r="W220" i="19"/>
  <c r="X220" i="19"/>
  <c r="Z220" i="19"/>
  <c r="D218" i="32" s="1"/>
  <c r="AA220" i="19"/>
  <c r="AC220" i="19"/>
  <c r="AE220" i="19"/>
  <c r="AF220" i="19"/>
  <c r="AG220" i="19"/>
  <c r="AH220" i="19"/>
  <c r="AI220" i="19"/>
  <c r="AJ220" i="19"/>
  <c r="AK220" i="19"/>
  <c r="AL220" i="19"/>
  <c r="AM220" i="19"/>
  <c r="AN220" i="19"/>
  <c r="AO220" i="19"/>
  <c r="AP220" i="19"/>
  <c r="AQ220" i="19"/>
  <c r="AR220" i="19"/>
  <c r="C221" i="19"/>
  <c r="D221" i="19"/>
  <c r="E221" i="19"/>
  <c r="F221" i="19"/>
  <c r="H221" i="19"/>
  <c r="I221" i="19"/>
  <c r="J221" i="19"/>
  <c r="K221" i="19"/>
  <c r="L221" i="19"/>
  <c r="M221" i="19"/>
  <c r="N221" i="19"/>
  <c r="P221" i="19"/>
  <c r="Q221" i="19"/>
  <c r="S221" i="19"/>
  <c r="V221" i="19"/>
  <c r="W221" i="19"/>
  <c r="X221" i="19"/>
  <c r="Z221" i="19"/>
  <c r="D219" i="32" s="1"/>
  <c r="AA221" i="19"/>
  <c r="AC221" i="19"/>
  <c r="AE221" i="19"/>
  <c r="AF221" i="19"/>
  <c r="AG221" i="19"/>
  <c r="AH221" i="19"/>
  <c r="AI221" i="19"/>
  <c r="AJ221" i="19"/>
  <c r="AK221" i="19"/>
  <c r="AL221" i="19"/>
  <c r="AM221" i="19"/>
  <c r="AN221" i="19"/>
  <c r="AO221" i="19"/>
  <c r="AP221" i="19"/>
  <c r="AQ221" i="19"/>
  <c r="AR221" i="19"/>
  <c r="C222" i="19"/>
  <c r="D222" i="19"/>
  <c r="E222" i="19"/>
  <c r="F222" i="19"/>
  <c r="H222" i="19"/>
  <c r="I222" i="19"/>
  <c r="J222" i="19"/>
  <c r="K222" i="19"/>
  <c r="L222" i="19"/>
  <c r="M222" i="19"/>
  <c r="N222" i="19"/>
  <c r="P222" i="19"/>
  <c r="Q222" i="19"/>
  <c r="S222" i="19"/>
  <c r="V222" i="19"/>
  <c r="W222" i="19"/>
  <c r="X222" i="19"/>
  <c r="Z222" i="19"/>
  <c r="D220" i="32" s="1"/>
  <c r="AA222" i="19"/>
  <c r="AC222" i="19"/>
  <c r="AE222" i="19"/>
  <c r="AF222" i="19"/>
  <c r="AG222" i="19"/>
  <c r="AH222" i="19"/>
  <c r="AI222" i="19"/>
  <c r="AJ222" i="19"/>
  <c r="AK222" i="19"/>
  <c r="AL222" i="19"/>
  <c r="AM222" i="19"/>
  <c r="AN222" i="19"/>
  <c r="AO222" i="19"/>
  <c r="AP222" i="19"/>
  <c r="AQ222" i="19"/>
  <c r="AR222" i="19"/>
  <c r="C223" i="19"/>
  <c r="D223" i="19"/>
  <c r="E223" i="19"/>
  <c r="F223" i="19"/>
  <c r="H223" i="19"/>
  <c r="I223" i="19"/>
  <c r="J223" i="19"/>
  <c r="K223" i="19"/>
  <c r="L223" i="19"/>
  <c r="M223" i="19"/>
  <c r="N223" i="19"/>
  <c r="P223" i="19"/>
  <c r="Q223" i="19"/>
  <c r="S223" i="19"/>
  <c r="V223" i="19"/>
  <c r="W223" i="19"/>
  <c r="X223" i="19"/>
  <c r="Z223" i="19"/>
  <c r="D221" i="32" s="1"/>
  <c r="AA223" i="19"/>
  <c r="AC223" i="19"/>
  <c r="AE223" i="19"/>
  <c r="AF223" i="19"/>
  <c r="AG223" i="19"/>
  <c r="AH223" i="19"/>
  <c r="AI223" i="19"/>
  <c r="AJ223" i="19"/>
  <c r="AK223" i="19"/>
  <c r="AL223" i="19"/>
  <c r="AM223" i="19"/>
  <c r="AN223" i="19"/>
  <c r="AO223" i="19"/>
  <c r="AP223" i="19"/>
  <c r="AQ223" i="19"/>
  <c r="AR223" i="19"/>
  <c r="C224" i="19"/>
  <c r="D224" i="19"/>
  <c r="E224" i="19"/>
  <c r="F224" i="19"/>
  <c r="H224" i="19"/>
  <c r="I224" i="19"/>
  <c r="J224" i="19"/>
  <c r="K224" i="19"/>
  <c r="L224" i="19"/>
  <c r="M224" i="19"/>
  <c r="N224" i="19"/>
  <c r="P224" i="19"/>
  <c r="Q224" i="19"/>
  <c r="S224" i="19"/>
  <c r="V224" i="19"/>
  <c r="W224" i="19"/>
  <c r="X224" i="19"/>
  <c r="Z224" i="19"/>
  <c r="D222" i="32" s="1"/>
  <c r="AA224" i="19"/>
  <c r="AC224" i="19"/>
  <c r="AE224" i="19"/>
  <c r="AF224" i="19"/>
  <c r="AG224" i="19"/>
  <c r="AH224" i="19"/>
  <c r="AI224" i="19"/>
  <c r="AJ224" i="19"/>
  <c r="AK224" i="19"/>
  <c r="AL224" i="19"/>
  <c r="AM224" i="19"/>
  <c r="AN224" i="19"/>
  <c r="AO224" i="19"/>
  <c r="AP224" i="19"/>
  <c r="AQ224" i="19"/>
  <c r="AR224" i="19"/>
  <c r="C225" i="19"/>
  <c r="D225" i="19"/>
  <c r="E225" i="19"/>
  <c r="F225" i="19"/>
  <c r="H225" i="19"/>
  <c r="I225" i="19"/>
  <c r="J225" i="19"/>
  <c r="K225" i="19"/>
  <c r="L225" i="19"/>
  <c r="M225" i="19"/>
  <c r="N225" i="19"/>
  <c r="P225" i="19"/>
  <c r="Q225" i="19"/>
  <c r="S225" i="19"/>
  <c r="V225" i="19"/>
  <c r="W225" i="19"/>
  <c r="X225" i="19"/>
  <c r="Z225" i="19"/>
  <c r="D223" i="32" s="1"/>
  <c r="AA225" i="19"/>
  <c r="AC225" i="19"/>
  <c r="AE225" i="19"/>
  <c r="AF225" i="19"/>
  <c r="AG225" i="19"/>
  <c r="AH225" i="19"/>
  <c r="AI225" i="19"/>
  <c r="AJ225" i="19"/>
  <c r="AK225" i="19"/>
  <c r="AL225" i="19"/>
  <c r="AM225" i="19"/>
  <c r="AN225" i="19"/>
  <c r="AO225" i="19"/>
  <c r="AP225" i="19"/>
  <c r="AQ225" i="19"/>
  <c r="AR225" i="19"/>
  <c r="C226" i="19"/>
  <c r="D226" i="19"/>
  <c r="E226" i="19"/>
  <c r="F226" i="19"/>
  <c r="H226" i="19"/>
  <c r="I226" i="19"/>
  <c r="J226" i="19"/>
  <c r="K226" i="19"/>
  <c r="L226" i="19"/>
  <c r="M226" i="19"/>
  <c r="N226" i="19"/>
  <c r="P226" i="19"/>
  <c r="Q226" i="19"/>
  <c r="S226" i="19"/>
  <c r="V226" i="19"/>
  <c r="W226" i="19"/>
  <c r="X226" i="19"/>
  <c r="Z226" i="19"/>
  <c r="D224" i="32" s="1"/>
  <c r="AA226" i="19"/>
  <c r="AC226" i="19"/>
  <c r="AE226" i="19"/>
  <c r="AF226" i="19"/>
  <c r="AG226" i="19"/>
  <c r="AH226" i="19"/>
  <c r="AI226" i="19"/>
  <c r="AJ226" i="19"/>
  <c r="AK226" i="19"/>
  <c r="AL226" i="19"/>
  <c r="AM226" i="19"/>
  <c r="AN226" i="19"/>
  <c r="AO226" i="19"/>
  <c r="AP226" i="19"/>
  <c r="AQ226" i="19"/>
  <c r="AR226" i="19"/>
  <c r="C227" i="19"/>
  <c r="D227" i="19"/>
  <c r="E227" i="19"/>
  <c r="F227" i="19"/>
  <c r="H227" i="19"/>
  <c r="I227" i="19"/>
  <c r="J227" i="19"/>
  <c r="K227" i="19"/>
  <c r="L227" i="19"/>
  <c r="M227" i="19"/>
  <c r="N227" i="19"/>
  <c r="P227" i="19"/>
  <c r="Q227" i="19"/>
  <c r="S227" i="19"/>
  <c r="V227" i="19"/>
  <c r="W227" i="19"/>
  <c r="X227" i="19"/>
  <c r="Z227" i="19"/>
  <c r="D225" i="32" s="1"/>
  <c r="AA227" i="19"/>
  <c r="AC227" i="19"/>
  <c r="AE227" i="19"/>
  <c r="AF227" i="19"/>
  <c r="AG227" i="19"/>
  <c r="AH227" i="19"/>
  <c r="AI227" i="19"/>
  <c r="AJ227" i="19"/>
  <c r="AK227" i="19"/>
  <c r="AL227" i="19"/>
  <c r="AM227" i="19"/>
  <c r="AN227" i="19"/>
  <c r="AO227" i="19"/>
  <c r="AP227" i="19"/>
  <c r="AQ227" i="19"/>
  <c r="AR227" i="19"/>
  <c r="C228" i="19"/>
  <c r="D228" i="19"/>
  <c r="E228" i="19"/>
  <c r="F228" i="19"/>
  <c r="H228" i="19"/>
  <c r="I228" i="19"/>
  <c r="J228" i="19"/>
  <c r="K228" i="19"/>
  <c r="L228" i="19"/>
  <c r="M228" i="19"/>
  <c r="N228" i="19"/>
  <c r="P228" i="19"/>
  <c r="Q228" i="19"/>
  <c r="S228" i="19"/>
  <c r="V228" i="19"/>
  <c r="W228" i="19"/>
  <c r="X228" i="19"/>
  <c r="Z228" i="19"/>
  <c r="D226" i="32" s="1"/>
  <c r="AA228" i="19"/>
  <c r="AC228" i="19"/>
  <c r="AE228" i="19"/>
  <c r="AF228" i="19"/>
  <c r="AG228" i="19"/>
  <c r="AH228" i="19"/>
  <c r="AI228" i="19"/>
  <c r="AJ228" i="19"/>
  <c r="AK228" i="19"/>
  <c r="AL228" i="19"/>
  <c r="AM228" i="19"/>
  <c r="AN228" i="19"/>
  <c r="AO228" i="19"/>
  <c r="AP228" i="19"/>
  <c r="AQ228" i="19"/>
  <c r="AR228" i="19"/>
  <c r="C229" i="19"/>
  <c r="D229" i="19"/>
  <c r="E229" i="19"/>
  <c r="F229" i="19"/>
  <c r="H229" i="19"/>
  <c r="I229" i="19"/>
  <c r="J229" i="19"/>
  <c r="K229" i="19"/>
  <c r="L229" i="19"/>
  <c r="M229" i="19"/>
  <c r="N229" i="19"/>
  <c r="P229" i="19"/>
  <c r="Q229" i="19"/>
  <c r="S229" i="19"/>
  <c r="V229" i="19"/>
  <c r="W229" i="19"/>
  <c r="X229" i="19"/>
  <c r="Z229" i="19"/>
  <c r="D227" i="32" s="1"/>
  <c r="AA229" i="19"/>
  <c r="AC229" i="19"/>
  <c r="AE229" i="19"/>
  <c r="AF229" i="19"/>
  <c r="AG229" i="19"/>
  <c r="AH229" i="19"/>
  <c r="AI229" i="19"/>
  <c r="AJ229" i="19"/>
  <c r="AK229" i="19"/>
  <c r="AL229" i="19"/>
  <c r="AM229" i="19"/>
  <c r="AN229" i="19"/>
  <c r="AO229" i="19"/>
  <c r="AP229" i="19"/>
  <c r="AQ229" i="19"/>
  <c r="AR229" i="19"/>
  <c r="C230" i="19"/>
  <c r="D230" i="19"/>
  <c r="E230" i="19"/>
  <c r="F230" i="19"/>
  <c r="H230" i="19"/>
  <c r="I230" i="19"/>
  <c r="J230" i="19"/>
  <c r="K230" i="19"/>
  <c r="L230" i="19"/>
  <c r="M230" i="19"/>
  <c r="N230" i="19"/>
  <c r="P230" i="19"/>
  <c r="Q230" i="19"/>
  <c r="S230" i="19"/>
  <c r="V230" i="19"/>
  <c r="W230" i="19"/>
  <c r="X230" i="19"/>
  <c r="Z230" i="19"/>
  <c r="D228" i="32" s="1"/>
  <c r="AA230" i="19"/>
  <c r="AC230" i="19"/>
  <c r="AE230" i="19"/>
  <c r="AF230" i="19"/>
  <c r="AG230" i="19"/>
  <c r="AH230" i="19"/>
  <c r="AI230" i="19"/>
  <c r="AJ230" i="19"/>
  <c r="AK230" i="19"/>
  <c r="AL230" i="19"/>
  <c r="AM230" i="19"/>
  <c r="AN230" i="19"/>
  <c r="AO230" i="19"/>
  <c r="AP230" i="19"/>
  <c r="AQ230" i="19"/>
  <c r="AR230" i="19"/>
  <c r="C231" i="19"/>
  <c r="D231" i="19"/>
  <c r="E231" i="19"/>
  <c r="F231" i="19"/>
  <c r="H231" i="19"/>
  <c r="I231" i="19"/>
  <c r="J231" i="19"/>
  <c r="K231" i="19"/>
  <c r="L231" i="19"/>
  <c r="M231" i="19"/>
  <c r="N231" i="19"/>
  <c r="P231" i="19"/>
  <c r="Q231" i="19"/>
  <c r="S231" i="19"/>
  <c r="V231" i="19"/>
  <c r="W231" i="19"/>
  <c r="X231" i="19"/>
  <c r="Z231" i="19"/>
  <c r="D229" i="32" s="1"/>
  <c r="AA231" i="19"/>
  <c r="AC231" i="19"/>
  <c r="AE231" i="19"/>
  <c r="AF231" i="19"/>
  <c r="AG231" i="19"/>
  <c r="AH231" i="19"/>
  <c r="AI231" i="19"/>
  <c r="AJ231" i="19"/>
  <c r="AK231" i="19"/>
  <c r="AL231" i="19"/>
  <c r="AM231" i="19"/>
  <c r="AN231" i="19"/>
  <c r="AO231" i="19"/>
  <c r="AP231" i="19"/>
  <c r="AQ231" i="19"/>
  <c r="AR231" i="19"/>
  <c r="C232" i="19"/>
  <c r="D232" i="19"/>
  <c r="E232" i="19"/>
  <c r="F232" i="19"/>
  <c r="H232" i="19"/>
  <c r="I232" i="19"/>
  <c r="J232" i="19"/>
  <c r="K232" i="19"/>
  <c r="L232" i="19"/>
  <c r="M232" i="19"/>
  <c r="N232" i="19"/>
  <c r="P232" i="19"/>
  <c r="Q232" i="19"/>
  <c r="S232" i="19"/>
  <c r="V232" i="19"/>
  <c r="W232" i="19"/>
  <c r="X232" i="19"/>
  <c r="Z232" i="19"/>
  <c r="D230" i="32" s="1"/>
  <c r="AA232" i="19"/>
  <c r="AC232" i="19"/>
  <c r="AE232" i="19"/>
  <c r="AF232" i="19"/>
  <c r="AG232" i="19"/>
  <c r="AH232" i="19"/>
  <c r="AI232" i="19"/>
  <c r="AJ232" i="19"/>
  <c r="AK232" i="19"/>
  <c r="AL232" i="19"/>
  <c r="AM232" i="19"/>
  <c r="AN232" i="19"/>
  <c r="AO232" i="19"/>
  <c r="AP232" i="19"/>
  <c r="AQ232" i="19"/>
  <c r="AR232" i="19"/>
  <c r="C233" i="19"/>
  <c r="D233" i="19"/>
  <c r="E233" i="19"/>
  <c r="F233" i="19"/>
  <c r="H233" i="19"/>
  <c r="I233" i="19"/>
  <c r="J233" i="19"/>
  <c r="K233" i="19"/>
  <c r="L233" i="19"/>
  <c r="M233" i="19"/>
  <c r="N233" i="19"/>
  <c r="P233" i="19"/>
  <c r="Q233" i="19"/>
  <c r="S233" i="19"/>
  <c r="V233" i="19"/>
  <c r="W233" i="19"/>
  <c r="X233" i="19"/>
  <c r="Z233" i="19"/>
  <c r="D231" i="32" s="1"/>
  <c r="AA233" i="19"/>
  <c r="AC233" i="19"/>
  <c r="AE233" i="19"/>
  <c r="AF233" i="19"/>
  <c r="AG233" i="19"/>
  <c r="AH233" i="19"/>
  <c r="AI233" i="19"/>
  <c r="AJ233" i="19"/>
  <c r="AK233" i="19"/>
  <c r="AL233" i="19"/>
  <c r="AM233" i="19"/>
  <c r="AN233" i="19"/>
  <c r="AO233" i="19"/>
  <c r="AP233" i="19"/>
  <c r="AQ233" i="19"/>
  <c r="AR233" i="19"/>
  <c r="C234" i="19"/>
  <c r="D234" i="19"/>
  <c r="E234" i="19"/>
  <c r="F234" i="19"/>
  <c r="H234" i="19"/>
  <c r="I234" i="19"/>
  <c r="J234" i="19"/>
  <c r="K234" i="19"/>
  <c r="L234" i="19"/>
  <c r="M234" i="19"/>
  <c r="N234" i="19"/>
  <c r="P234" i="19"/>
  <c r="Q234" i="19"/>
  <c r="S234" i="19"/>
  <c r="V234" i="19"/>
  <c r="W234" i="19"/>
  <c r="X234" i="19"/>
  <c r="Z234" i="19"/>
  <c r="D232" i="32" s="1"/>
  <c r="AA234" i="19"/>
  <c r="AC234" i="19"/>
  <c r="AE234" i="19"/>
  <c r="AF234" i="19"/>
  <c r="AG234" i="19"/>
  <c r="AH234" i="19"/>
  <c r="AI234" i="19"/>
  <c r="AJ234" i="19"/>
  <c r="AK234" i="19"/>
  <c r="AL234" i="19"/>
  <c r="AM234" i="19"/>
  <c r="AN234" i="19"/>
  <c r="AO234" i="19"/>
  <c r="AP234" i="19"/>
  <c r="AQ234" i="19"/>
  <c r="AR234" i="19"/>
  <c r="C235" i="19"/>
  <c r="D235" i="19"/>
  <c r="E235" i="19"/>
  <c r="F235" i="19"/>
  <c r="H235" i="19"/>
  <c r="I235" i="19"/>
  <c r="J235" i="19"/>
  <c r="K235" i="19"/>
  <c r="L235" i="19"/>
  <c r="M235" i="19"/>
  <c r="N235" i="19"/>
  <c r="P235" i="19"/>
  <c r="Q235" i="19"/>
  <c r="S235" i="19"/>
  <c r="V235" i="19"/>
  <c r="W235" i="19"/>
  <c r="X235" i="19"/>
  <c r="Z235" i="19"/>
  <c r="D233" i="32" s="1"/>
  <c r="AA235" i="19"/>
  <c r="AC235" i="19"/>
  <c r="AE235" i="19"/>
  <c r="AF235" i="19"/>
  <c r="AG235" i="19"/>
  <c r="AH235" i="19"/>
  <c r="AI235" i="19"/>
  <c r="AJ235" i="19"/>
  <c r="AK235" i="19"/>
  <c r="AL235" i="19"/>
  <c r="AM235" i="19"/>
  <c r="AN235" i="19"/>
  <c r="AO235" i="19"/>
  <c r="AP235" i="19"/>
  <c r="AQ235" i="19"/>
  <c r="AR235" i="19"/>
  <c r="C236" i="19"/>
  <c r="D236" i="19"/>
  <c r="E236" i="19"/>
  <c r="F236" i="19"/>
  <c r="H236" i="19"/>
  <c r="I236" i="19"/>
  <c r="J236" i="19"/>
  <c r="K236" i="19"/>
  <c r="L236" i="19"/>
  <c r="M236" i="19"/>
  <c r="N236" i="19"/>
  <c r="P236" i="19"/>
  <c r="Q236" i="19"/>
  <c r="S236" i="19"/>
  <c r="V236" i="19"/>
  <c r="W236" i="19"/>
  <c r="X236" i="19"/>
  <c r="Z236" i="19"/>
  <c r="D234" i="32" s="1"/>
  <c r="AA236" i="19"/>
  <c r="AC236" i="19"/>
  <c r="AE236" i="19"/>
  <c r="AF236" i="19"/>
  <c r="AG236" i="19"/>
  <c r="AH236" i="19"/>
  <c r="AI236" i="19"/>
  <c r="AJ236" i="19"/>
  <c r="AK236" i="19"/>
  <c r="AL236" i="19"/>
  <c r="AM236" i="19"/>
  <c r="AN236" i="19"/>
  <c r="AO236" i="19"/>
  <c r="AP236" i="19"/>
  <c r="AQ236" i="19"/>
  <c r="AR236" i="19"/>
  <c r="C237" i="19"/>
  <c r="D237" i="19"/>
  <c r="E237" i="19"/>
  <c r="F237" i="19"/>
  <c r="H237" i="19"/>
  <c r="I237" i="19"/>
  <c r="J237" i="19"/>
  <c r="K237" i="19"/>
  <c r="L237" i="19"/>
  <c r="M237" i="19"/>
  <c r="N237" i="19"/>
  <c r="P237" i="19"/>
  <c r="Q237" i="19"/>
  <c r="S237" i="19"/>
  <c r="V237" i="19"/>
  <c r="W237" i="19"/>
  <c r="X237" i="19"/>
  <c r="Z237" i="19"/>
  <c r="D235" i="32" s="1"/>
  <c r="AA237" i="19"/>
  <c r="AC237" i="19"/>
  <c r="AE237" i="19"/>
  <c r="AF237" i="19"/>
  <c r="AG237" i="19"/>
  <c r="AH237" i="19"/>
  <c r="AI237" i="19"/>
  <c r="AJ237" i="19"/>
  <c r="AK237" i="19"/>
  <c r="AL237" i="19"/>
  <c r="AM237" i="19"/>
  <c r="AN237" i="19"/>
  <c r="AO237" i="19"/>
  <c r="AP237" i="19"/>
  <c r="AQ237" i="19"/>
  <c r="AR237" i="19"/>
  <c r="C238" i="19"/>
  <c r="D238" i="19"/>
  <c r="E238" i="19"/>
  <c r="F238" i="19"/>
  <c r="H238" i="19"/>
  <c r="I238" i="19"/>
  <c r="J238" i="19"/>
  <c r="K238" i="19"/>
  <c r="L238" i="19"/>
  <c r="M238" i="19"/>
  <c r="N238" i="19"/>
  <c r="P238" i="19"/>
  <c r="Q238" i="19"/>
  <c r="S238" i="19"/>
  <c r="V238" i="19"/>
  <c r="W238" i="19"/>
  <c r="X238" i="19"/>
  <c r="Z238" i="19"/>
  <c r="D236" i="32" s="1"/>
  <c r="AA238" i="19"/>
  <c r="AC238" i="19"/>
  <c r="AE238" i="19"/>
  <c r="AF238" i="19"/>
  <c r="AG238" i="19"/>
  <c r="AH238" i="19"/>
  <c r="AI238" i="19"/>
  <c r="AJ238" i="19"/>
  <c r="AK238" i="19"/>
  <c r="AL238" i="19"/>
  <c r="AM238" i="19"/>
  <c r="AN238" i="19"/>
  <c r="AO238" i="19"/>
  <c r="AP238" i="19"/>
  <c r="AQ238" i="19"/>
  <c r="AR238" i="19"/>
  <c r="C239" i="19"/>
  <c r="D239" i="19"/>
  <c r="E239" i="19"/>
  <c r="F239" i="19"/>
  <c r="H239" i="19"/>
  <c r="I239" i="19"/>
  <c r="J239" i="19"/>
  <c r="K239" i="19"/>
  <c r="L239" i="19"/>
  <c r="M239" i="19"/>
  <c r="N239" i="19"/>
  <c r="P239" i="19"/>
  <c r="Q239" i="19"/>
  <c r="S239" i="19"/>
  <c r="V239" i="19"/>
  <c r="W239" i="19"/>
  <c r="X239" i="19"/>
  <c r="Z239" i="19"/>
  <c r="D237" i="32" s="1"/>
  <c r="AA239" i="19"/>
  <c r="AC239" i="19"/>
  <c r="AE239" i="19"/>
  <c r="AF239" i="19"/>
  <c r="AG239" i="19"/>
  <c r="AH239" i="19"/>
  <c r="AI239" i="19"/>
  <c r="AJ239" i="19"/>
  <c r="AK239" i="19"/>
  <c r="AL239" i="19"/>
  <c r="AM239" i="19"/>
  <c r="AN239" i="19"/>
  <c r="AO239" i="19"/>
  <c r="AP239" i="19"/>
  <c r="AQ239" i="19"/>
  <c r="AR239" i="19"/>
  <c r="C240" i="19"/>
  <c r="D240" i="19"/>
  <c r="E240" i="19"/>
  <c r="F240" i="19"/>
  <c r="H240" i="19"/>
  <c r="I240" i="19"/>
  <c r="J240" i="19"/>
  <c r="K240" i="19"/>
  <c r="L240" i="19"/>
  <c r="M240" i="19"/>
  <c r="N240" i="19"/>
  <c r="P240" i="19"/>
  <c r="Q240" i="19"/>
  <c r="S240" i="19"/>
  <c r="V240" i="19"/>
  <c r="W240" i="19"/>
  <c r="X240" i="19"/>
  <c r="Z240" i="19"/>
  <c r="D238" i="32" s="1"/>
  <c r="AA240" i="19"/>
  <c r="AC240" i="19"/>
  <c r="AE240" i="19"/>
  <c r="AF240" i="19"/>
  <c r="AG240" i="19"/>
  <c r="AH240" i="19"/>
  <c r="AI240" i="19"/>
  <c r="AJ240" i="19"/>
  <c r="AK240" i="19"/>
  <c r="AL240" i="19"/>
  <c r="AM240" i="19"/>
  <c r="AN240" i="19"/>
  <c r="AO240" i="19"/>
  <c r="AP240" i="19"/>
  <c r="AQ240" i="19"/>
  <c r="AR240" i="19"/>
  <c r="C241" i="19"/>
  <c r="D241" i="19"/>
  <c r="E241" i="19"/>
  <c r="F241" i="19"/>
  <c r="H241" i="19"/>
  <c r="I241" i="19"/>
  <c r="J241" i="19"/>
  <c r="K241" i="19"/>
  <c r="L241" i="19"/>
  <c r="M241" i="19"/>
  <c r="N241" i="19"/>
  <c r="P241" i="19"/>
  <c r="Q241" i="19"/>
  <c r="S241" i="19"/>
  <c r="V241" i="19"/>
  <c r="W241" i="19"/>
  <c r="X241" i="19"/>
  <c r="Z241" i="19"/>
  <c r="D239" i="32" s="1"/>
  <c r="AA241" i="19"/>
  <c r="AC241" i="19"/>
  <c r="AE241" i="19"/>
  <c r="AF241" i="19"/>
  <c r="AG241" i="19"/>
  <c r="AH241" i="19"/>
  <c r="AI241" i="19"/>
  <c r="AJ241" i="19"/>
  <c r="AK241" i="19"/>
  <c r="AL241" i="19"/>
  <c r="AM241" i="19"/>
  <c r="AN241" i="19"/>
  <c r="AO241" i="19"/>
  <c r="AP241" i="19"/>
  <c r="AQ241" i="19"/>
  <c r="AR241" i="19"/>
  <c r="C242" i="19"/>
  <c r="D242" i="19"/>
  <c r="E242" i="19"/>
  <c r="F242" i="19"/>
  <c r="H242" i="19"/>
  <c r="I242" i="19"/>
  <c r="J242" i="19"/>
  <c r="K242" i="19"/>
  <c r="L242" i="19"/>
  <c r="M242" i="19"/>
  <c r="N242" i="19"/>
  <c r="P242" i="19"/>
  <c r="Q242" i="19"/>
  <c r="S242" i="19"/>
  <c r="V242" i="19"/>
  <c r="W242" i="19"/>
  <c r="X242" i="19"/>
  <c r="Z242" i="19"/>
  <c r="D240" i="32" s="1"/>
  <c r="AA242" i="19"/>
  <c r="AC242" i="19"/>
  <c r="AE242" i="19"/>
  <c r="AF242" i="19"/>
  <c r="AG242" i="19"/>
  <c r="AH242" i="19"/>
  <c r="AI242" i="19"/>
  <c r="AJ242" i="19"/>
  <c r="AK242" i="19"/>
  <c r="AL242" i="19"/>
  <c r="AM242" i="19"/>
  <c r="AN242" i="19"/>
  <c r="AO242" i="19"/>
  <c r="AP242" i="19"/>
  <c r="AQ242" i="19"/>
  <c r="AR242" i="19"/>
  <c r="C243" i="19"/>
  <c r="D243" i="19"/>
  <c r="E243" i="19"/>
  <c r="F243" i="19"/>
  <c r="H243" i="19"/>
  <c r="I243" i="19"/>
  <c r="J243" i="19"/>
  <c r="K243" i="19"/>
  <c r="L243" i="19"/>
  <c r="M243" i="19"/>
  <c r="N243" i="19"/>
  <c r="P243" i="19"/>
  <c r="Q243" i="19"/>
  <c r="S243" i="19"/>
  <c r="V243" i="19"/>
  <c r="W243" i="19"/>
  <c r="X243" i="19"/>
  <c r="Z243" i="19"/>
  <c r="D241" i="32" s="1"/>
  <c r="AA243" i="19"/>
  <c r="AC243" i="19"/>
  <c r="AE243" i="19"/>
  <c r="AF243" i="19"/>
  <c r="AG243" i="19"/>
  <c r="AH243" i="19"/>
  <c r="AI243" i="19"/>
  <c r="AJ243" i="19"/>
  <c r="AK243" i="19"/>
  <c r="AL243" i="19"/>
  <c r="AM243" i="19"/>
  <c r="AN243" i="19"/>
  <c r="AO243" i="19"/>
  <c r="AP243" i="19"/>
  <c r="AQ243" i="19"/>
  <c r="AR243" i="19"/>
  <c r="C244" i="19"/>
  <c r="D244" i="19"/>
  <c r="E244" i="19"/>
  <c r="F244" i="19"/>
  <c r="H244" i="19"/>
  <c r="I244" i="19"/>
  <c r="J244" i="19"/>
  <c r="K244" i="19"/>
  <c r="L244" i="19"/>
  <c r="M244" i="19"/>
  <c r="N244" i="19"/>
  <c r="P244" i="19"/>
  <c r="Q244" i="19"/>
  <c r="S244" i="19"/>
  <c r="V244" i="19"/>
  <c r="W244" i="19"/>
  <c r="X244" i="19"/>
  <c r="Z244" i="19"/>
  <c r="AA244" i="19"/>
  <c r="AC244" i="19"/>
  <c r="AE244" i="19"/>
  <c r="AF244" i="19"/>
  <c r="AG244" i="19"/>
  <c r="AH244" i="19"/>
  <c r="AI244" i="19"/>
  <c r="AJ244" i="19"/>
  <c r="AK244" i="19"/>
  <c r="AL244" i="19"/>
  <c r="AM244" i="19"/>
  <c r="AN244" i="19"/>
  <c r="AO244" i="19"/>
  <c r="AP244" i="19"/>
  <c r="AQ244" i="19"/>
  <c r="AR244" i="19"/>
  <c r="C245" i="19"/>
  <c r="D245" i="19"/>
  <c r="E245" i="19"/>
  <c r="F245" i="19"/>
  <c r="H245" i="19"/>
  <c r="I245" i="19"/>
  <c r="J245" i="19"/>
  <c r="K245" i="19"/>
  <c r="L245" i="19"/>
  <c r="M245" i="19"/>
  <c r="N245" i="19"/>
  <c r="P245" i="19"/>
  <c r="Q245" i="19"/>
  <c r="S245" i="19"/>
  <c r="V245" i="19"/>
  <c r="W245" i="19"/>
  <c r="X245" i="19"/>
  <c r="Z245" i="19"/>
  <c r="D243" i="32" s="1"/>
  <c r="AA245" i="19"/>
  <c r="AC245" i="19"/>
  <c r="AE245" i="19"/>
  <c r="AF245" i="19"/>
  <c r="AG245" i="19"/>
  <c r="AH245" i="19"/>
  <c r="AI245" i="19"/>
  <c r="AJ245" i="19"/>
  <c r="AK245" i="19"/>
  <c r="AL245" i="19"/>
  <c r="AM245" i="19"/>
  <c r="AN245" i="19"/>
  <c r="AO245" i="19"/>
  <c r="AP245" i="19"/>
  <c r="AQ245" i="19"/>
  <c r="AR245" i="19"/>
  <c r="C246" i="19"/>
  <c r="D246" i="19"/>
  <c r="E246" i="19"/>
  <c r="F246" i="19"/>
  <c r="H246" i="19"/>
  <c r="I246" i="19"/>
  <c r="J246" i="19"/>
  <c r="K246" i="19"/>
  <c r="L246" i="19"/>
  <c r="M246" i="19"/>
  <c r="N246" i="19"/>
  <c r="P246" i="19"/>
  <c r="Q246" i="19"/>
  <c r="S246" i="19"/>
  <c r="V246" i="19"/>
  <c r="W246" i="19"/>
  <c r="X246" i="19"/>
  <c r="Z246" i="19"/>
  <c r="AA246" i="19"/>
  <c r="AC246" i="19"/>
  <c r="AE246" i="19"/>
  <c r="AF246" i="19"/>
  <c r="AG246" i="19"/>
  <c r="AH246" i="19"/>
  <c r="AI246" i="19"/>
  <c r="AJ246" i="19"/>
  <c r="AK246" i="19"/>
  <c r="AL246" i="19"/>
  <c r="AM246" i="19"/>
  <c r="AN246" i="19"/>
  <c r="AO246" i="19"/>
  <c r="AP246" i="19"/>
  <c r="AQ246" i="19"/>
  <c r="AR246" i="19"/>
  <c r="C247" i="19"/>
  <c r="D247" i="19"/>
  <c r="E247" i="19"/>
  <c r="F247" i="19"/>
  <c r="H247" i="19"/>
  <c r="I247" i="19"/>
  <c r="J247" i="19"/>
  <c r="K247" i="19"/>
  <c r="L247" i="19"/>
  <c r="M247" i="19"/>
  <c r="N247" i="19"/>
  <c r="P247" i="19"/>
  <c r="Q247" i="19"/>
  <c r="S247" i="19"/>
  <c r="V247" i="19"/>
  <c r="W247" i="19"/>
  <c r="X247" i="19"/>
  <c r="Z247" i="19"/>
  <c r="D245" i="32" s="1"/>
  <c r="AA247" i="19"/>
  <c r="AC247" i="19"/>
  <c r="AE247" i="19"/>
  <c r="AF247" i="19"/>
  <c r="AG247" i="19"/>
  <c r="AH247" i="19"/>
  <c r="AI247" i="19"/>
  <c r="AJ247" i="19"/>
  <c r="AK247" i="19"/>
  <c r="AL247" i="19"/>
  <c r="AM247" i="19"/>
  <c r="AN247" i="19"/>
  <c r="AO247" i="19"/>
  <c r="AP247" i="19"/>
  <c r="AQ247" i="19"/>
  <c r="AR247" i="19"/>
  <c r="C248" i="19"/>
  <c r="D248" i="19"/>
  <c r="E248" i="19"/>
  <c r="F248" i="19"/>
  <c r="H248" i="19"/>
  <c r="I248" i="19"/>
  <c r="J248" i="19"/>
  <c r="K248" i="19"/>
  <c r="L248" i="19"/>
  <c r="M248" i="19"/>
  <c r="N248" i="19"/>
  <c r="P248" i="19"/>
  <c r="Q248" i="19"/>
  <c r="S248" i="19"/>
  <c r="V248" i="19"/>
  <c r="W248" i="19"/>
  <c r="X248" i="19"/>
  <c r="Z248" i="19"/>
  <c r="D246" i="32" s="1"/>
  <c r="AA248" i="19"/>
  <c r="AC248" i="19"/>
  <c r="AE248" i="19"/>
  <c r="AF248" i="19"/>
  <c r="AG248" i="19"/>
  <c r="AH248" i="19"/>
  <c r="AI248" i="19"/>
  <c r="AJ248" i="19"/>
  <c r="AK248" i="19"/>
  <c r="AL248" i="19"/>
  <c r="AM248" i="19"/>
  <c r="AN248" i="19"/>
  <c r="AO248" i="19"/>
  <c r="AP248" i="19"/>
  <c r="AQ248" i="19"/>
  <c r="AR248" i="19"/>
  <c r="C249" i="19"/>
  <c r="D249" i="19"/>
  <c r="E249" i="19"/>
  <c r="F249" i="19"/>
  <c r="H249" i="19"/>
  <c r="I249" i="19"/>
  <c r="J249" i="19"/>
  <c r="K249" i="19"/>
  <c r="L249" i="19"/>
  <c r="M249" i="19"/>
  <c r="N249" i="19"/>
  <c r="P249" i="19"/>
  <c r="Q249" i="19"/>
  <c r="S249" i="19"/>
  <c r="V249" i="19"/>
  <c r="W249" i="19"/>
  <c r="X249" i="19"/>
  <c r="Z249" i="19"/>
  <c r="D247" i="32" s="1"/>
  <c r="AA249" i="19"/>
  <c r="AC249" i="19"/>
  <c r="AE249" i="19"/>
  <c r="AF249" i="19"/>
  <c r="AG249" i="19"/>
  <c r="AH249" i="19"/>
  <c r="AI249" i="19"/>
  <c r="AJ249" i="19"/>
  <c r="AK249" i="19"/>
  <c r="AL249" i="19"/>
  <c r="AM249" i="19"/>
  <c r="AN249" i="19"/>
  <c r="AO249" i="19"/>
  <c r="AP249" i="19"/>
  <c r="AQ249" i="19"/>
  <c r="AR249" i="19"/>
  <c r="C250" i="19"/>
  <c r="D250" i="19"/>
  <c r="E250" i="19"/>
  <c r="F250" i="19"/>
  <c r="H250" i="19"/>
  <c r="I250" i="19"/>
  <c r="J250" i="19"/>
  <c r="K250" i="19"/>
  <c r="L250" i="19"/>
  <c r="M250" i="19"/>
  <c r="N250" i="19"/>
  <c r="P250" i="19"/>
  <c r="Q250" i="19"/>
  <c r="S250" i="19"/>
  <c r="V250" i="19"/>
  <c r="W250" i="19"/>
  <c r="X250" i="19"/>
  <c r="Z250" i="19"/>
  <c r="D248" i="32" s="1"/>
  <c r="AA250" i="19"/>
  <c r="AC250" i="19"/>
  <c r="AE250" i="19"/>
  <c r="AF250" i="19"/>
  <c r="AG250" i="19"/>
  <c r="AH250" i="19"/>
  <c r="AI250" i="19"/>
  <c r="AJ250" i="19"/>
  <c r="AK250" i="19"/>
  <c r="AL250" i="19"/>
  <c r="AM250" i="19"/>
  <c r="AN250" i="19"/>
  <c r="AO250" i="19"/>
  <c r="AP250" i="19"/>
  <c r="AQ250" i="19"/>
  <c r="AR250" i="19"/>
  <c r="C251" i="19"/>
  <c r="D251" i="19"/>
  <c r="E251" i="19"/>
  <c r="F251" i="19"/>
  <c r="H251" i="19"/>
  <c r="I251" i="19"/>
  <c r="J251" i="19"/>
  <c r="K251" i="19"/>
  <c r="L251" i="19"/>
  <c r="M251" i="19"/>
  <c r="N251" i="19"/>
  <c r="P251" i="19"/>
  <c r="Q251" i="19"/>
  <c r="S251" i="19"/>
  <c r="V251" i="19"/>
  <c r="W251" i="19"/>
  <c r="X251" i="19"/>
  <c r="Z251" i="19"/>
  <c r="D249" i="32" s="1"/>
  <c r="AA251" i="19"/>
  <c r="AC251" i="19"/>
  <c r="AE251" i="19"/>
  <c r="AF251" i="19"/>
  <c r="AG251" i="19"/>
  <c r="AH251" i="19"/>
  <c r="AI251" i="19"/>
  <c r="AJ251" i="19"/>
  <c r="AK251" i="19"/>
  <c r="AL251" i="19"/>
  <c r="AM251" i="19"/>
  <c r="AN251" i="19"/>
  <c r="AO251" i="19"/>
  <c r="AP251" i="19"/>
  <c r="AQ251" i="19"/>
  <c r="AR251" i="19"/>
  <c r="C252" i="19"/>
  <c r="D252" i="19"/>
  <c r="E252" i="19"/>
  <c r="F252" i="19"/>
  <c r="H252" i="19"/>
  <c r="I252" i="19"/>
  <c r="J252" i="19"/>
  <c r="K252" i="19"/>
  <c r="L252" i="19"/>
  <c r="M252" i="19"/>
  <c r="N252" i="19"/>
  <c r="P252" i="19"/>
  <c r="Q252" i="19"/>
  <c r="S252" i="19"/>
  <c r="V252" i="19"/>
  <c r="W252" i="19"/>
  <c r="X252" i="19"/>
  <c r="Z252" i="19"/>
  <c r="D250" i="32" s="1"/>
  <c r="AA252" i="19"/>
  <c r="AC252" i="19"/>
  <c r="AE252" i="19"/>
  <c r="AF252" i="19"/>
  <c r="AG252" i="19"/>
  <c r="AH252" i="19"/>
  <c r="AI252" i="19"/>
  <c r="AJ252" i="19"/>
  <c r="AK252" i="19"/>
  <c r="AL252" i="19"/>
  <c r="AM252" i="19"/>
  <c r="AN252" i="19"/>
  <c r="AO252" i="19"/>
  <c r="AP252" i="19"/>
  <c r="AQ252" i="19"/>
  <c r="AR252" i="19"/>
  <c r="C253" i="19"/>
  <c r="D253" i="19"/>
  <c r="E253" i="19"/>
  <c r="F253" i="19"/>
  <c r="H253" i="19"/>
  <c r="I253" i="19"/>
  <c r="J253" i="19"/>
  <c r="K253" i="19"/>
  <c r="L253" i="19"/>
  <c r="M253" i="19"/>
  <c r="N253" i="19"/>
  <c r="P253" i="19"/>
  <c r="Q253" i="19"/>
  <c r="S253" i="19"/>
  <c r="V253" i="19"/>
  <c r="W253" i="19"/>
  <c r="X253" i="19"/>
  <c r="Z253" i="19"/>
  <c r="D251" i="32" s="1"/>
  <c r="AA253" i="19"/>
  <c r="AC253" i="19"/>
  <c r="AE253" i="19"/>
  <c r="AF253" i="19"/>
  <c r="AG253" i="19"/>
  <c r="AH253" i="19"/>
  <c r="AI253" i="19"/>
  <c r="AJ253" i="19"/>
  <c r="AK253" i="19"/>
  <c r="AL253" i="19"/>
  <c r="AM253" i="19"/>
  <c r="AN253" i="19"/>
  <c r="AO253" i="19"/>
  <c r="AP253" i="19"/>
  <c r="AQ253" i="19"/>
  <c r="AR253" i="19"/>
  <c r="C254" i="19"/>
  <c r="D254" i="19"/>
  <c r="E254" i="19"/>
  <c r="F254" i="19"/>
  <c r="H254" i="19"/>
  <c r="I254" i="19"/>
  <c r="J254" i="19"/>
  <c r="K254" i="19"/>
  <c r="L254" i="19"/>
  <c r="M254" i="19"/>
  <c r="N254" i="19"/>
  <c r="P254" i="19"/>
  <c r="Q254" i="19"/>
  <c r="S254" i="19"/>
  <c r="V254" i="19"/>
  <c r="W254" i="19"/>
  <c r="X254" i="19"/>
  <c r="Z254" i="19"/>
  <c r="D252" i="32" s="1"/>
  <c r="AA254" i="19"/>
  <c r="AC254" i="19"/>
  <c r="AE254" i="19"/>
  <c r="AF254" i="19"/>
  <c r="AG254" i="19"/>
  <c r="AH254" i="19"/>
  <c r="AI254" i="19"/>
  <c r="AJ254" i="19"/>
  <c r="AK254" i="19"/>
  <c r="AL254" i="19"/>
  <c r="AM254" i="19"/>
  <c r="AN254" i="19"/>
  <c r="AO254" i="19"/>
  <c r="AP254" i="19"/>
  <c r="AQ254" i="19"/>
  <c r="AR254" i="19"/>
  <c r="C255" i="19"/>
  <c r="D255" i="19"/>
  <c r="E255" i="19"/>
  <c r="F255" i="19"/>
  <c r="H255" i="19"/>
  <c r="I255" i="19"/>
  <c r="J255" i="19"/>
  <c r="K255" i="19"/>
  <c r="L255" i="19"/>
  <c r="M255" i="19"/>
  <c r="N255" i="19"/>
  <c r="P255" i="19"/>
  <c r="Q255" i="19"/>
  <c r="S255" i="19"/>
  <c r="V255" i="19"/>
  <c r="W255" i="19"/>
  <c r="X255" i="19"/>
  <c r="Z255" i="19"/>
  <c r="D253" i="32" s="1"/>
  <c r="AA255" i="19"/>
  <c r="AC255" i="19"/>
  <c r="AE255" i="19"/>
  <c r="AF255" i="19"/>
  <c r="AG255" i="19"/>
  <c r="AH255" i="19"/>
  <c r="AI255" i="19"/>
  <c r="AJ255" i="19"/>
  <c r="AK255" i="19"/>
  <c r="AL255" i="19"/>
  <c r="AM255" i="19"/>
  <c r="AN255" i="19"/>
  <c r="AO255" i="19"/>
  <c r="AP255" i="19"/>
  <c r="AQ255" i="19"/>
  <c r="AR255" i="19"/>
  <c r="C256" i="19"/>
  <c r="D256" i="19"/>
  <c r="E256" i="19"/>
  <c r="F256" i="19"/>
  <c r="H256" i="19"/>
  <c r="I256" i="19"/>
  <c r="J256" i="19"/>
  <c r="K256" i="19"/>
  <c r="L256" i="19"/>
  <c r="M256" i="19"/>
  <c r="N256" i="19"/>
  <c r="P256" i="19"/>
  <c r="Q256" i="19"/>
  <c r="S256" i="19"/>
  <c r="V256" i="19"/>
  <c r="W256" i="19"/>
  <c r="X256" i="19"/>
  <c r="Z256" i="19"/>
  <c r="D254" i="32" s="1"/>
  <c r="AA256" i="19"/>
  <c r="AC256" i="19"/>
  <c r="AE256" i="19"/>
  <c r="AF256" i="19"/>
  <c r="AG256" i="19"/>
  <c r="AH256" i="19"/>
  <c r="AI256" i="19"/>
  <c r="AJ256" i="19"/>
  <c r="AK256" i="19"/>
  <c r="AL256" i="19"/>
  <c r="AM256" i="19"/>
  <c r="AN256" i="19"/>
  <c r="AO256" i="19"/>
  <c r="AP256" i="19"/>
  <c r="AQ256" i="19"/>
  <c r="AR256" i="19"/>
  <c r="C257" i="19"/>
  <c r="D257" i="19"/>
  <c r="E257" i="19"/>
  <c r="F257" i="19"/>
  <c r="H257" i="19"/>
  <c r="I257" i="19"/>
  <c r="J257" i="19"/>
  <c r="K257" i="19"/>
  <c r="L257" i="19"/>
  <c r="M257" i="19"/>
  <c r="N257" i="19"/>
  <c r="P257" i="19"/>
  <c r="Q257" i="19"/>
  <c r="S257" i="19"/>
  <c r="V257" i="19"/>
  <c r="W257" i="19"/>
  <c r="X257" i="19"/>
  <c r="Z257" i="19"/>
  <c r="D255" i="32" s="1"/>
  <c r="AA257" i="19"/>
  <c r="AC257" i="19"/>
  <c r="AE257" i="19"/>
  <c r="AF257" i="19"/>
  <c r="AG257" i="19"/>
  <c r="AH257" i="19"/>
  <c r="AI257" i="19"/>
  <c r="AJ257" i="19"/>
  <c r="AK257" i="19"/>
  <c r="AL257" i="19"/>
  <c r="AM257" i="19"/>
  <c r="AN257" i="19"/>
  <c r="AO257" i="19"/>
  <c r="AP257" i="19"/>
  <c r="AQ257" i="19"/>
  <c r="AR257" i="19"/>
  <c r="C258" i="19"/>
  <c r="D258" i="19"/>
  <c r="E258" i="19"/>
  <c r="F258" i="19"/>
  <c r="H258" i="19"/>
  <c r="I258" i="19"/>
  <c r="J258" i="19"/>
  <c r="K258" i="19"/>
  <c r="L258" i="19"/>
  <c r="M258" i="19"/>
  <c r="N258" i="19"/>
  <c r="P258" i="19"/>
  <c r="Q258" i="19"/>
  <c r="S258" i="19"/>
  <c r="V258" i="19"/>
  <c r="W258" i="19"/>
  <c r="X258" i="19"/>
  <c r="Z258" i="19"/>
  <c r="D256" i="32" s="1"/>
  <c r="AA258" i="19"/>
  <c r="AC258" i="19"/>
  <c r="AE258" i="19"/>
  <c r="AF258" i="19"/>
  <c r="AG258" i="19"/>
  <c r="AH258" i="19"/>
  <c r="AI258" i="19"/>
  <c r="AJ258" i="19"/>
  <c r="AK258" i="19"/>
  <c r="AL258" i="19"/>
  <c r="AM258" i="19"/>
  <c r="AN258" i="19"/>
  <c r="AO258" i="19"/>
  <c r="AP258" i="19"/>
  <c r="AQ258" i="19"/>
  <c r="AR258" i="19"/>
  <c r="C259" i="19"/>
  <c r="D259" i="19"/>
  <c r="E259" i="19"/>
  <c r="F259" i="19"/>
  <c r="H259" i="19"/>
  <c r="I259" i="19"/>
  <c r="J259" i="19"/>
  <c r="K259" i="19"/>
  <c r="L259" i="19"/>
  <c r="M259" i="19"/>
  <c r="N259" i="19"/>
  <c r="P259" i="19"/>
  <c r="Q259" i="19"/>
  <c r="S259" i="19"/>
  <c r="V259" i="19"/>
  <c r="W259" i="19"/>
  <c r="X259" i="19"/>
  <c r="Z259" i="19"/>
  <c r="D257" i="32" s="1"/>
  <c r="AA259" i="19"/>
  <c r="AC259" i="19"/>
  <c r="AE259" i="19"/>
  <c r="AF259" i="19"/>
  <c r="AG259" i="19"/>
  <c r="AH259" i="19"/>
  <c r="AI259" i="19"/>
  <c r="AJ259" i="19"/>
  <c r="AK259" i="19"/>
  <c r="AL259" i="19"/>
  <c r="AM259" i="19"/>
  <c r="AN259" i="19"/>
  <c r="AO259" i="19"/>
  <c r="AP259" i="19"/>
  <c r="AQ259" i="19"/>
  <c r="AR259" i="19"/>
  <c r="C260" i="19"/>
  <c r="D260" i="19"/>
  <c r="E260" i="19"/>
  <c r="F260" i="19"/>
  <c r="H260" i="19"/>
  <c r="I260" i="19"/>
  <c r="J260" i="19"/>
  <c r="K260" i="19"/>
  <c r="L260" i="19"/>
  <c r="M260" i="19"/>
  <c r="N260" i="19"/>
  <c r="P260" i="19"/>
  <c r="Q260" i="19"/>
  <c r="S260" i="19"/>
  <c r="V260" i="19"/>
  <c r="W260" i="19"/>
  <c r="X260" i="19"/>
  <c r="Z260" i="19"/>
  <c r="D258" i="32" s="1"/>
  <c r="AA260" i="19"/>
  <c r="AC260" i="19"/>
  <c r="AE260" i="19"/>
  <c r="AF260" i="19"/>
  <c r="AG260" i="19"/>
  <c r="AH260" i="19"/>
  <c r="AI260" i="19"/>
  <c r="AJ260" i="19"/>
  <c r="AK260" i="19"/>
  <c r="AL260" i="19"/>
  <c r="AM260" i="19"/>
  <c r="AN260" i="19"/>
  <c r="AO260" i="19"/>
  <c r="AP260" i="19"/>
  <c r="AQ260" i="19"/>
  <c r="AR260" i="19"/>
  <c r="C261" i="19"/>
  <c r="D261" i="19"/>
  <c r="E261" i="19"/>
  <c r="F261" i="19"/>
  <c r="H261" i="19"/>
  <c r="I261" i="19"/>
  <c r="J261" i="19"/>
  <c r="K261" i="19"/>
  <c r="L261" i="19"/>
  <c r="M261" i="19"/>
  <c r="N261" i="19"/>
  <c r="P261" i="19"/>
  <c r="Q261" i="19"/>
  <c r="S261" i="19"/>
  <c r="V261" i="19"/>
  <c r="W261" i="19"/>
  <c r="X261" i="19"/>
  <c r="Z261" i="19"/>
  <c r="D259" i="32" s="1"/>
  <c r="AA261" i="19"/>
  <c r="AC261" i="19"/>
  <c r="AE261" i="19"/>
  <c r="AF261" i="19"/>
  <c r="AG261" i="19"/>
  <c r="AH261" i="19"/>
  <c r="AI261" i="19"/>
  <c r="AJ261" i="19"/>
  <c r="AK261" i="19"/>
  <c r="AL261" i="19"/>
  <c r="AM261" i="19"/>
  <c r="AN261" i="19"/>
  <c r="AO261" i="19"/>
  <c r="AP261" i="19"/>
  <c r="AQ261" i="19"/>
  <c r="AR261" i="19"/>
  <c r="C262" i="19"/>
  <c r="D262" i="19"/>
  <c r="E262" i="19"/>
  <c r="F262" i="19"/>
  <c r="H262" i="19"/>
  <c r="I262" i="19"/>
  <c r="J262" i="19"/>
  <c r="K262" i="19"/>
  <c r="L262" i="19"/>
  <c r="M262" i="19"/>
  <c r="N262" i="19"/>
  <c r="P262" i="19"/>
  <c r="Q262" i="19"/>
  <c r="S262" i="19"/>
  <c r="V262" i="19"/>
  <c r="W262" i="19"/>
  <c r="X262" i="19"/>
  <c r="Z262" i="19"/>
  <c r="D260" i="32" s="1"/>
  <c r="AA262" i="19"/>
  <c r="AC262" i="19"/>
  <c r="AE262" i="19"/>
  <c r="AF262" i="19"/>
  <c r="AG262" i="19"/>
  <c r="AH262" i="19"/>
  <c r="AI262" i="19"/>
  <c r="AJ262" i="19"/>
  <c r="AK262" i="19"/>
  <c r="AL262" i="19"/>
  <c r="AM262" i="19"/>
  <c r="AN262" i="19"/>
  <c r="AO262" i="19"/>
  <c r="AP262" i="19"/>
  <c r="AQ262" i="19"/>
  <c r="AR262" i="19"/>
  <c r="C263" i="19"/>
  <c r="D263" i="19"/>
  <c r="E263" i="19"/>
  <c r="F263" i="19"/>
  <c r="H263" i="19"/>
  <c r="I263" i="19"/>
  <c r="J263" i="19"/>
  <c r="K263" i="19"/>
  <c r="L263" i="19"/>
  <c r="M263" i="19"/>
  <c r="N263" i="19"/>
  <c r="P263" i="19"/>
  <c r="Q263" i="19"/>
  <c r="S263" i="19"/>
  <c r="V263" i="19"/>
  <c r="W263" i="19"/>
  <c r="X263" i="19"/>
  <c r="Z263" i="19"/>
  <c r="D261" i="32" s="1"/>
  <c r="AA263" i="19"/>
  <c r="AC263" i="19"/>
  <c r="AE263" i="19"/>
  <c r="AF263" i="19"/>
  <c r="AG263" i="19"/>
  <c r="AH263" i="19"/>
  <c r="AI263" i="19"/>
  <c r="AJ263" i="19"/>
  <c r="AK263" i="19"/>
  <c r="AL263" i="19"/>
  <c r="AM263" i="19"/>
  <c r="AN263" i="19"/>
  <c r="AO263" i="19"/>
  <c r="AP263" i="19"/>
  <c r="AQ263" i="19"/>
  <c r="AR263" i="19"/>
  <c r="C264" i="19"/>
  <c r="D264" i="19"/>
  <c r="E264" i="19"/>
  <c r="F264" i="19"/>
  <c r="H264" i="19"/>
  <c r="I264" i="19"/>
  <c r="J264" i="19"/>
  <c r="K264" i="19"/>
  <c r="L264" i="19"/>
  <c r="M264" i="19"/>
  <c r="N264" i="19"/>
  <c r="P264" i="19"/>
  <c r="Q264" i="19"/>
  <c r="S264" i="19"/>
  <c r="V264" i="19"/>
  <c r="W264" i="19"/>
  <c r="X264" i="19"/>
  <c r="Z264" i="19"/>
  <c r="D262" i="32" s="1"/>
  <c r="AA264" i="19"/>
  <c r="AC264" i="19"/>
  <c r="AE264" i="19"/>
  <c r="AF264" i="19"/>
  <c r="AG264" i="19"/>
  <c r="AH264" i="19"/>
  <c r="AI264" i="19"/>
  <c r="AJ264" i="19"/>
  <c r="AK264" i="19"/>
  <c r="AL264" i="19"/>
  <c r="AM264" i="19"/>
  <c r="AN264" i="19"/>
  <c r="AO264" i="19"/>
  <c r="AP264" i="19"/>
  <c r="AQ264" i="19"/>
  <c r="AR264" i="19"/>
  <c r="C265" i="19"/>
  <c r="D265" i="19"/>
  <c r="E265" i="19"/>
  <c r="F265" i="19"/>
  <c r="H265" i="19"/>
  <c r="I265" i="19"/>
  <c r="J265" i="19"/>
  <c r="K265" i="19"/>
  <c r="L265" i="19"/>
  <c r="M265" i="19"/>
  <c r="N265" i="19"/>
  <c r="P265" i="19"/>
  <c r="Q265" i="19"/>
  <c r="S265" i="19"/>
  <c r="V265" i="19"/>
  <c r="W265" i="19"/>
  <c r="X265" i="19"/>
  <c r="Z265" i="19"/>
  <c r="D263" i="32" s="1"/>
  <c r="AA265" i="19"/>
  <c r="AC265" i="19"/>
  <c r="AE265" i="19"/>
  <c r="AF265" i="19"/>
  <c r="AG265" i="19"/>
  <c r="AH265" i="19"/>
  <c r="AI265" i="19"/>
  <c r="AJ265" i="19"/>
  <c r="AK265" i="19"/>
  <c r="AL265" i="19"/>
  <c r="AM265" i="19"/>
  <c r="AN265" i="19"/>
  <c r="AO265" i="19"/>
  <c r="AP265" i="19"/>
  <c r="AQ265" i="19"/>
  <c r="AR265" i="19"/>
  <c r="C266" i="19"/>
  <c r="D266" i="19"/>
  <c r="E266" i="19"/>
  <c r="F266" i="19"/>
  <c r="H266" i="19"/>
  <c r="I266" i="19"/>
  <c r="J266" i="19"/>
  <c r="K266" i="19"/>
  <c r="L266" i="19"/>
  <c r="M266" i="19"/>
  <c r="N266" i="19"/>
  <c r="P266" i="19"/>
  <c r="Q266" i="19"/>
  <c r="S266" i="19"/>
  <c r="V266" i="19"/>
  <c r="W266" i="19"/>
  <c r="X266" i="19"/>
  <c r="Z266" i="19"/>
  <c r="D264" i="32" s="1"/>
  <c r="AA266" i="19"/>
  <c r="AC266" i="19"/>
  <c r="AE266" i="19"/>
  <c r="AF266" i="19"/>
  <c r="AG266" i="19"/>
  <c r="AH266" i="19"/>
  <c r="AI266" i="19"/>
  <c r="AJ266" i="19"/>
  <c r="AK266" i="19"/>
  <c r="AL266" i="19"/>
  <c r="AM266" i="19"/>
  <c r="AN266" i="19"/>
  <c r="AO266" i="19"/>
  <c r="AP266" i="19"/>
  <c r="AQ266" i="19"/>
  <c r="AR266" i="19"/>
  <c r="C267" i="19"/>
  <c r="D267" i="19"/>
  <c r="E267" i="19"/>
  <c r="F267" i="19"/>
  <c r="H267" i="19"/>
  <c r="I267" i="19"/>
  <c r="J267" i="19"/>
  <c r="K267" i="19"/>
  <c r="L267" i="19"/>
  <c r="M267" i="19"/>
  <c r="N267" i="19"/>
  <c r="P267" i="19"/>
  <c r="Q267" i="19"/>
  <c r="S267" i="19"/>
  <c r="V267" i="19"/>
  <c r="W267" i="19"/>
  <c r="X267" i="19"/>
  <c r="Z267" i="19"/>
  <c r="AA267" i="19"/>
  <c r="AC267" i="19"/>
  <c r="AE267" i="19"/>
  <c r="AF267" i="19"/>
  <c r="AG267" i="19"/>
  <c r="AH267" i="19"/>
  <c r="AI267" i="19"/>
  <c r="AJ267" i="19"/>
  <c r="AK267" i="19"/>
  <c r="AL267" i="19"/>
  <c r="AM267" i="19"/>
  <c r="AN267" i="19"/>
  <c r="AO267" i="19"/>
  <c r="AP267" i="19"/>
  <c r="AQ267" i="19"/>
  <c r="AR267" i="19"/>
  <c r="C268" i="19"/>
  <c r="D268" i="19"/>
  <c r="E268" i="19"/>
  <c r="F268" i="19"/>
  <c r="H268" i="19"/>
  <c r="I268" i="19"/>
  <c r="J268" i="19"/>
  <c r="K268" i="19"/>
  <c r="L268" i="19"/>
  <c r="M268" i="19"/>
  <c r="N268" i="19"/>
  <c r="P268" i="19"/>
  <c r="Q268" i="19"/>
  <c r="S268" i="19"/>
  <c r="V268" i="19"/>
  <c r="W268" i="19"/>
  <c r="X268" i="19"/>
  <c r="Z268" i="19"/>
  <c r="D266" i="32" s="1"/>
  <c r="AA268" i="19"/>
  <c r="AC268" i="19"/>
  <c r="AE268" i="19"/>
  <c r="AF268" i="19"/>
  <c r="AG268" i="19"/>
  <c r="AH268" i="19"/>
  <c r="AI268" i="19"/>
  <c r="AJ268" i="19"/>
  <c r="AK268" i="19"/>
  <c r="AL268" i="19"/>
  <c r="AM268" i="19"/>
  <c r="AN268" i="19"/>
  <c r="AO268" i="19"/>
  <c r="AP268" i="19"/>
  <c r="AQ268" i="19"/>
  <c r="AR268" i="19"/>
  <c r="D269" i="19"/>
  <c r="E269" i="19"/>
  <c r="F269" i="19"/>
  <c r="H269" i="19"/>
  <c r="I269" i="19"/>
  <c r="J269" i="19"/>
  <c r="K269" i="19"/>
  <c r="L269" i="19"/>
  <c r="M269" i="19"/>
  <c r="N269" i="19"/>
  <c r="P269" i="19"/>
  <c r="Q269" i="19"/>
  <c r="S269" i="19"/>
  <c r="V269" i="19"/>
  <c r="W269" i="19"/>
  <c r="X269" i="19"/>
  <c r="Z269" i="19"/>
  <c r="AA269" i="19"/>
  <c r="AC269" i="19"/>
  <c r="AE269" i="19"/>
  <c r="AF269" i="19"/>
  <c r="AG269" i="19"/>
  <c r="AH269" i="19"/>
  <c r="AI269" i="19"/>
  <c r="AJ269" i="19"/>
  <c r="AK269" i="19"/>
  <c r="AL269" i="19"/>
  <c r="AM269" i="19"/>
  <c r="AN269" i="19"/>
  <c r="AO269" i="19"/>
  <c r="AP269" i="19"/>
  <c r="AQ269" i="19"/>
  <c r="AR269" i="19"/>
  <c r="C270" i="19"/>
  <c r="D270" i="19"/>
  <c r="E270" i="19"/>
  <c r="F270" i="19"/>
  <c r="H270" i="19"/>
  <c r="I270" i="19"/>
  <c r="J270" i="19"/>
  <c r="K270" i="19"/>
  <c r="L270" i="19"/>
  <c r="M270" i="19"/>
  <c r="N270" i="19"/>
  <c r="P270" i="19"/>
  <c r="Q270" i="19"/>
  <c r="S270" i="19"/>
  <c r="V270" i="19"/>
  <c r="W270" i="19"/>
  <c r="X270" i="19"/>
  <c r="Z270" i="19"/>
  <c r="D268" i="32" s="1"/>
  <c r="AA270" i="19"/>
  <c r="AC270" i="19"/>
  <c r="AE270" i="19"/>
  <c r="AF270" i="19"/>
  <c r="AG270" i="19"/>
  <c r="AH270" i="19"/>
  <c r="AI270" i="19"/>
  <c r="AJ270" i="19"/>
  <c r="AK270" i="19"/>
  <c r="AL270" i="19"/>
  <c r="AM270" i="19"/>
  <c r="AN270" i="19"/>
  <c r="AO270" i="19"/>
  <c r="AP270" i="19"/>
  <c r="AQ270" i="19"/>
  <c r="AR270" i="19"/>
  <c r="C271" i="19"/>
  <c r="D271" i="19"/>
  <c r="E271" i="19"/>
  <c r="F271" i="19"/>
  <c r="H271" i="19"/>
  <c r="I271" i="19"/>
  <c r="J271" i="19"/>
  <c r="K271" i="19"/>
  <c r="L271" i="19"/>
  <c r="M271" i="19"/>
  <c r="N271" i="19"/>
  <c r="P271" i="19"/>
  <c r="Q271" i="19"/>
  <c r="S271" i="19"/>
  <c r="V271" i="19"/>
  <c r="W271" i="19"/>
  <c r="X271" i="19"/>
  <c r="Z271" i="19"/>
  <c r="D269" i="32" s="1"/>
  <c r="AA271" i="19"/>
  <c r="AC271" i="19"/>
  <c r="AE271" i="19"/>
  <c r="AF271" i="19"/>
  <c r="AG271" i="19"/>
  <c r="AH271" i="19"/>
  <c r="AI271" i="19"/>
  <c r="AJ271" i="19"/>
  <c r="AK271" i="19"/>
  <c r="AL271" i="19"/>
  <c r="AM271" i="19"/>
  <c r="AN271" i="19"/>
  <c r="AO271" i="19"/>
  <c r="AP271" i="19"/>
  <c r="AQ271" i="19"/>
  <c r="AR271" i="19"/>
  <c r="C272" i="19"/>
  <c r="D272" i="19"/>
  <c r="E272" i="19"/>
  <c r="F272" i="19"/>
  <c r="H272" i="19"/>
  <c r="I272" i="19"/>
  <c r="J272" i="19"/>
  <c r="K272" i="19"/>
  <c r="L272" i="19"/>
  <c r="M272" i="19"/>
  <c r="N272" i="19"/>
  <c r="P272" i="19"/>
  <c r="Q272" i="19"/>
  <c r="S272" i="19"/>
  <c r="V272" i="19"/>
  <c r="W272" i="19"/>
  <c r="X272" i="19"/>
  <c r="Z272" i="19"/>
  <c r="AA272" i="19"/>
  <c r="AC272" i="19"/>
  <c r="AE272" i="19"/>
  <c r="AF272" i="19"/>
  <c r="AG272" i="19"/>
  <c r="AH272" i="19"/>
  <c r="AI272" i="19"/>
  <c r="AJ272" i="19"/>
  <c r="AK272" i="19"/>
  <c r="AL272" i="19"/>
  <c r="AM272" i="19"/>
  <c r="AN272" i="19"/>
  <c r="AO272" i="19"/>
  <c r="AP272" i="19"/>
  <c r="AQ272" i="19"/>
  <c r="AR272" i="19"/>
  <c r="C273" i="19"/>
  <c r="D273" i="19"/>
  <c r="E273" i="19"/>
  <c r="F273" i="19"/>
  <c r="H273" i="19"/>
  <c r="I273" i="19"/>
  <c r="J273" i="19"/>
  <c r="K273" i="19"/>
  <c r="L273" i="19"/>
  <c r="M273" i="19"/>
  <c r="N273" i="19"/>
  <c r="P273" i="19"/>
  <c r="Q273" i="19"/>
  <c r="S273" i="19"/>
  <c r="V273" i="19"/>
  <c r="W273" i="19"/>
  <c r="X273" i="19"/>
  <c r="Z273" i="19"/>
  <c r="D271" i="32" s="1"/>
  <c r="AA273" i="19"/>
  <c r="AC273" i="19"/>
  <c r="AE273" i="19"/>
  <c r="AF273" i="19"/>
  <c r="AG273" i="19"/>
  <c r="AH273" i="19"/>
  <c r="AI273" i="19"/>
  <c r="AJ273" i="19"/>
  <c r="AK273" i="19"/>
  <c r="AL273" i="19"/>
  <c r="AM273" i="19"/>
  <c r="AN273" i="19"/>
  <c r="AO273" i="19"/>
  <c r="AP273" i="19"/>
  <c r="AQ273" i="19"/>
  <c r="AR273" i="19"/>
  <c r="C274" i="19"/>
  <c r="D274" i="19"/>
  <c r="E274" i="19"/>
  <c r="F274" i="19"/>
  <c r="H274" i="19"/>
  <c r="I274" i="19"/>
  <c r="J274" i="19"/>
  <c r="K274" i="19"/>
  <c r="L274" i="19"/>
  <c r="M274" i="19"/>
  <c r="N274" i="19"/>
  <c r="P274" i="19"/>
  <c r="Q274" i="19"/>
  <c r="S274" i="19"/>
  <c r="V274" i="19"/>
  <c r="W274" i="19"/>
  <c r="X274" i="19"/>
  <c r="Z274" i="19"/>
  <c r="AA274" i="19"/>
  <c r="AC274" i="19"/>
  <c r="AE274" i="19"/>
  <c r="AF274" i="19"/>
  <c r="AG274" i="19"/>
  <c r="AH274" i="19"/>
  <c r="AI274" i="19"/>
  <c r="AJ274" i="19"/>
  <c r="AK274" i="19"/>
  <c r="AL274" i="19"/>
  <c r="AM274" i="19"/>
  <c r="AN274" i="19"/>
  <c r="AO274" i="19"/>
  <c r="AP274" i="19"/>
  <c r="AQ274" i="19"/>
  <c r="AR274" i="19"/>
  <c r="C275" i="19"/>
  <c r="D275" i="19"/>
  <c r="E275" i="19"/>
  <c r="F275" i="19"/>
  <c r="H275" i="19"/>
  <c r="I275" i="19"/>
  <c r="J275" i="19"/>
  <c r="K275" i="19"/>
  <c r="L275" i="19"/>
  <c r="M275" i="19"/>
  <c r="N275" i="19"/>
  <c r="P275" i="19"/>
  <c r="Q275" i="19"/>
  <c r="S275" i="19"/>
  <c r="V275" i="19"/>
  <c r="W275" i="19"/>
  <c r="X275" i="19"/>
  <c r="Z275" i="19"/>
  <c r="D273" i="32" s="1"/>
  <c r="AA275" i="19"/>
  <c r="AC275" i="19"/>
  <c r="AE275" i="19"/>
  <c r="AF275" i="19"/>
  <c r="AG275" i="19"/>
  <c r="AH275" i="19"/>
  <c r="AI275" i="19"/>
  <c r="AJ275" i="19"/>
  <c r="AK275" i="19"/>
  <c r="AL275" i="19"/>
  <c r="AM275" i="19"/>
  <c r="AN275" i="19"/>
  <c r="AO275" i="19"/>
  <c r="AP275" i="19"/>
  <c r="AQ275" i="19"/>
  <c r="AR275" i="19"/>
  <c r="C276" i="19"/>
  <c r="D276" i="19"/>
  <c r="E276" i="19"/>
  <c r="F276" i="19"/>
  <c r="H276" i="19"/>
  <c r="I276" i="19"/>
  <c r="J276" i="19"/>
  <c r="K276" i="19"/>
  <c r="L276" i="19"/>
  <c r="M276" i="19"/>
  <c r="N276" i="19"/>
  <c r="P276" i="19"/>
  <c r="Q276" i="19"/>
  <c r="S276" i="19"/>
  <c r="V276" i="19"/>
  <c r="W276" i="19"/>
  <c r="X276" i="19"/>
  <c r="Z276" i="19"/>
  <c r="D274" i="32" s="1"/>
  <c r="AA276" i="19"/>
  <c r="AC276" i="19"/>
  <c r="AE276" i="19"/>
  <c r="AF276" i="19"/>
  <c r="AG276" i="19"/>
  <c r="AH276" i="19"/>
  <c r="AI276" i="19"/>
  <c r="AJ276" i="19"/>
  <c r="AK276" i="19"/>
  <c r="AL276" i="19"/>
  <c r="AM276" i="19"/>
  <c r="AN276" i="19"/>
  <c r="AO276" i="19"/>
  <c r="AP276" i="19"/>
  <c r="AQ276" i="19"/>
  <c r="AR276" i="19"/>
  <c r="C277" i="19"/>
  <c r="D277" i="19"/>
  <c r="E277" i="19"/>
  <c r="F277" i="19"/>
  <c r="H277" i="19"/>
  <c r="I277" i="19"/>
  <c r="J277" i="19"/>
  <c r="K277" i="19"/>
  <c r="L277" i="19"/>
  <c r="M277" i="19"/>
  <c r="N277" i="19"/>
  <c r="P277" i="19"/>
  <c r="Q277" i="19"/>
  <c r="S277" i="19"/>
  <c r="V277" i="19"/>
  <c r="W277" i="19"/>
  <c r="X277" i="19"/>
  <c r="Z277" i="19"/>
  <c r="D275" i="32" s="1"/>
  <c r="AA277" i="19"/>
  <c r="AC277" i="19"/>
  <c r="AE277" i="19"/>
  <c r="AF277" i="19"/>
  <c r="AG277" i="19"/>
  <c r="AH277" i="19"/>
  <c r="AI277" i="19"/>
  <c r="AJ277" i="19"/>
  <c r="AK277" i="19"/>
  <c r="AL277" i="19"/>
  <c r="AM277" i="19"/>
  <c r="AN277" i="19"/>
  <c r="AO277" i="19"/>
  <c r="AP277" i="19"/>
  <c r="AQ277" i="19"/>
  <c r="AR277" i="19"/>
  <c r="C278" i="19"/>
  <c r="D278" i="19"/>
  <c r="E278" i="19"/>
  <c r="F278" i="19"/>
  <c r="H278" i="19"/>
  <c r="I278" i="19"/>
  <c r="J278" i="19"/>
  <c r="K278" i="19"/>
  <c r="L278" i="19"/>
  <c r="M278" i="19"/>
  <c r="N278" i="19"/>
  <c r="P278" i="19"/>
  <c r="Q278" i="19"/>
  <c r="S278" i="19"/>
  <c r="V278" i="19"/>
  <c r="W278" i="19"/>
  <c r="X278" i="19"/>
  <c r="Z278" i="19"/>
  <c r="D276" i="32" s="1"/>
  <c r="AA278" i="19"/>
  <c r="AC278" i="19"/>
  <c r="AE278" i="19"/>
  <c r="AF278" i="19"/>
  <c r="AG278" i="19"/>
  <c r="AH278" i="19"/>
  <c r="AI278" i="19"/>
  <c r="AJ278" i="19"/>
  <c r="AK278" i="19"/>
  <c r="AL278" i="19"/>
  <c r="AM278" i="19"/>
  <c r="AN278" i="19"/>
  <c r="AO278" i="19"/>
  <c r="AP278" i="19"/>
  <c r="AQ278" i="19"/>
  <c r="AR278" i="19"/>
  <c r="C279" i="19"/>
  <c r="D279" i="19"/>
  <c r="E279" i="19"/>
  <c r="F279" i="19"/>
  <c r="H279" i="19"/>
  <c r="I279" i="19"/>
  <c r="J279" i="19"/>
  <c r="K279" i="19"/>
  <c r="L279" i="19"/>
  <c r="M279" i="19"/>
  <c r="N279" i="19"/>
  <c r="P279" i="19"/>
  <c r="Q279" i="19"/>
  <c r="S279" i="19"/>
  <c r="V279" i="19"/>
  <c r="W279" i="19"/>
  <c r="X279" i="19"/>
  <c r="Z279" i="19"/>
  <c r="AA279" i="19"/>
  <c r="AC279" i="19"/>
  <c r="AE279" i="19"/>
  <c r="AF279" i="19"/>
  <c r="AG279" i="19"/>
  <c r="AH279" i="19"/>
  <c r="AI279" i="19"/>
  <c r="AJ279" i="19"/>
  <c r="AK279" i="19"/>
  <c r="AL279" i="19"/>
  <c r="AM279" i="19"/>
  <c r="AN279" i="19"/>
  <c r="AO279" i="19"/>
  <c r="AP279" i="19"/>
  <c r="AQ279" i="19"/>
  <c r="AR279" i="19"/>
  <c r="C280" i="19"/>
  <c r="D280" i="19"/>
  <c r="E280" i="19"/>
  <c r="F280" i="19"/>
  <c r="H280" i="19"/>
  <c r="I280" i="19"/>
  <c r="J280" i="19"/>
  <c r="K280" i="19"/>
  <c r="L280" i="19"/>
  <c r="M280" i="19"/>
  <c r="N280" i="19"/>
  <c r="P280" i="19"/>
  <c r="Q280" i="19"/>
  <c r="S280" i="19"/>
  <c r="V280" i="19"/>
  <c r="W280" i="19"/>
  <c r="X280" i="19"/>
  <c r="Z280" i="19"/>
  <c r="D278" i="32" s="1"/>
  <c r="AA280" i="19"/>
  <c r="AC280" i="19"/>
  <c r="AE280" i="19"/>
  <c r="AF280" i="19"/>
  <c r="AG280" i="19"/>
  <c r="AH280" i="19"/>
  <c r="AI280" i="19"/>
  <c r="AJ280" i="19"/>
  <c r="AK280" i="19"/>
  <c r="AL280" i="19"/>
  <c r="AM280" i="19"/>
  <c r="AN280" i="19"/>
  <c r="AO280" i="19"/>
  <c r="AP280" i="19"/>
  <c r="AQ280" i="19"/>
  <c r="AR280" i="19"/>
  <c r="D281" i="19"/>
  <c r="E281" i="19"/>
  <c r="F281" i="19"/>
  <c r="H281" i="19"/>
  <c r="I281" i="19"/>
  <c r="J281" i="19"/>
  <c r="K281" i="19"/>
  <c r="L281" i="19"/>
  <c r="M281" i="19"/>
  <c r="N281" i="19"/>
  <c r="P281" i="19"/>
  <c r="Q281" i="19"/>
  <c r="V281" i="19"/>
  <c r="W281" i="19"/>
  <c r="X281" i="19"/>
  <c r="Z281" i="19"/>
  <c r="D279" i="32" s="1"/>
  <c r="AA281" i="19"/>
  <c r="AC281" i="19"/>
  <c r="AE281" i="19"/>
  <c r="AF281" i="19"/>
  <c r="AG281" i="19"/>
  <c r="AH281" i="19"/>
  <c r="AI281" i="19"/>
  <c r="AJ281" i="19"/>
  <c r="AK281" i="19"/>
  <c r="AL281" i="19"/>
  <c r="AM281" i="19"/>
  <c r="AN281" i="19"/>
  <c r="AO281" i="19"/>
  <c r="AP281" i="19"/>
  <c r="AQ281" i="19"/>
  <c r="AR281" i="19"/>
  <c r="C282" i="19"/>
  <c r="D282" i="19"/>
  <c r="E282" i="19"/>
  <c r="F282" i="19"/>
  <c r="H282" i="19"/>
  <c r="I282" i="19"/>
  <c r="J282" i="19"/>
  <c r="K282" i="19"/>
  <c r="L282" i="19"/>
  <c r="M282" i="19"/>
  <c r="N282" i="19"/>
  <c r="P282" i="19"/>
  <c r="Q282" i="19"/>
  <c r="S282" i="19"/>
  <c r="V282" i="19"/>
  <c r="W282" i="19"/>
  <c r="X282" i="19"/>
  <c r="Z282" i="19"/>
  <c r="D280" i="32" s="1"/>
  <c r="AA282" i="19"/>
  <c r="AC282" i="19"/>
  <c r="AE282" i="19"/>
  <c r="AF282" i="19"/>
  <c r="AG282" i="19"/>
  <c r="AH282" i="19"/>
  <c r="AI282" i="19"/>
  <c r="AJ282" i="19"/>
  <c r="AK282" i="19"/>
  <c r="AL282" i="19"/>
  <c r="AM282" i="19"/>
  <c r="AN282" i="19"/>
  <c r="AO282" i="19"/>
  <c r="AP282" i="19"/>
  <c r="AQ282" i="19"/>
  <c r="AR282" i="19"/>
  <c r="C283" i="19"/>
  <c r="D283" i="19"/>
  <c r="E283" i="19"/>
  <c r="F283" i="19"/>
  <c r="H283" i="19"/>
  <c r="I283" i="19"/>
  <c r="J283" i="19"/>
  <c r="K283" i="19"/>
  <c r="L283" i="19"/>
  <c r="M283" i="19"/>
  <c r="N283" i="19"/>
  <c r="P283" i="19"/>
  <c r="Q283" i="19"/>
  <c r="S283" i="19"/>
  <c r="V283" i="19"/>
  <c r="W283" i="19"/>
  <c r="X283" i="19"/>
  <c r="Z283" i="19"/>
  <c r="D281" i="32" s="1"/>
  <c r="AA283" i="19"/>
  <c r="AC283" i="19"/>
  <c r="AE283" i="19"/>
  <c r="AF283" i="19"/>
  <c r="AG283" i="19"/>
  <c r="AH283" i="19"/>
  <c r="AI283" i="19"/>
  <c r="AJ283" i="19"/>
  <c r="AK283" i="19"/>
  <c r="AL283" i="19"/>
  <c r="AM283" i="19"/>
  <c r="AN283" i="19"/>
  <c r="AO283" i="19"/>
  <c r="AP283" i="19"/>
  <c r="AQ283" i="19"/>
  <c r="AR283" i="19"/>
  <c r="C284" i="19"/>
  <c r="D284" i="19"/>
  <c r="E284" i="19"/>
  <c r="F284" i="19"/>
  <c r="H284" i="19"/>
  <c r="I284" i="19"/>
  <c r="J284" i="19"/>
  <c r="K284" i="19"/>
  <c r="L284" i="19"/>
  <c r="M284" i="19"/>
  <c r="N284" i="19"/>
  <c r="P284" i="19"/>
  <c r="Q284" i="19"/>
  <c r="S284" i="19"/>
  <c r="V284" i="19"/>
  <c r="W284" i="19"/>
  <c r="X284" i="19"/>
  <c r="Z284" i="19"/>
  <c r="D282" i="32" s="1"/>
  <c r="AA284" i="19"/>
  <c r="AC284" i="19"/>
  <c r="AE284" i="19"/>
  <c r="AF284" i="19"/>
  <c r="AG284" i="19"/>
  <c r="AH284" i="19"/>
  <c r="AI284" i="19"/>
  <c r="AJ284" i="19"/>
  <c r="AK284" i="19"/>
  <c r="AL284" i="19"/>
  <c r="AM284" i="19"/>
  <c r="AN284" i="19"/>
  <c r="AO284" i="19"/>
  <c r="AP284" i="19"/>
  <c r="AQ284" i="19"/>
  <c r="AR284" i="19"/>
  <c r="C285" i="19"/>
  <c r="D285" i="19"/>
  <c r="E285" i="19"/>
  <c r="F285" i="19"/>
  <c r="H285" i="19"/>
  <c r="I285" i="19"/>
  <c r="J285" i="19"/>
  <c r="K285" i="19"/>
  <c r="L285" i="19"/>
  <c r="M285" i="19"/>
  <c r="N285" i="19"/>
  <c r="P285" i="19"/>
  <c r="Q285" i="19"/>
  <c r="S285" i="19"/>
  <c r="V285" i="19"/>
  <c r="W285" i="19"/>
  <c r="X285" i="19"/>
  <c r="Z285" i="19"/>
  <c r="D283" i="32" s="1"/>
  <c r="AA285" i="19"/>
  <c r="AC285" i="19"/>
  <c r="AE285" i="19"/>
  <c r="AF285" i="19"/>
  <c r="AG285" i="19"/>
  <c r="AH285" i="19"/>
  <c r="AI285" i="19"/>
  <c r="AJ285" i="19"/>
  <c r="AK285" i="19"/>
  <c r="AL285" i="19"/>
  <c r="AM285" i="19"/>
  <c r="AN285" i="19"/>
  <c r="AO285" i="19"/>
  <c r="AP285" i="19"/>
  <c r="AQ285" i="19"/>
  <c r="AR285" i="19"/>
  <c r="C286" i="19"/>
  <c r="D286" i="19"/>
  <c r="E286" i="19"/>
  <c r="F286" i="19"/>
  <c r="H286" i="19"/>
  <c r="I286" i="19"/>
  <c r="J286" i="19"/>
  <c r="K286" i="19"/>
  <c r="L286" i="19"/>
  <c r="M286" i="19"/>
  <c r="N286" i="19"/>
  <c r="P286" i="19"/>
  <c r="Q286" i="19"/>
  <c r="S286" i="19"/>
  <c r="V286" i="19"/>
  <c r="W286" i="19"/>
  <c r="X286" i="19"/>
  <c r="Z286" i="19"/>
  <c r="D284" i="32" s="1"/>
  <c r="AA286" i="19"/>
  <c r="AC286" i="19"/>
  <c r="AE286" i="19"/>
  <c r="AF286" i="19"/>
  <c r="AG286" i="19"/>
  <c r="AH286" i="19"/>
  <c r="AI286" i="19"/>
  <c r="AJ286" i="19"/>
  <c r="AK286" i="19"/>
  <c r="AL286" i="19"/>
  <c r="AM286" i="19"/>
  <c r="AN286" i="19"/>
  <c r="AO286" i="19"/>
  <c r="AP286" i="19"/>
  <c r="AQ286" i="19"/>
  <c r="AR286" i="19"/>
  <c r="C287" i="19"/>
  <c r="D287" i="19"/>
  <c r="E287" i="19"/>
  <c r="F287" i="19"/>
  <c r="H287" i="19"/>
  <c r="I287" i="19"/>
  <c r="J287" i="19"/>
  <c r="K287" i="19"/>
  <c r="L287" i="19"/>
  <c r="M287" i="19"/>
  <c r="N287" i="19"/>
  <c r="P287" i="19"/>
  <c r="Q287" i="19"/>
  <c r="S287" i="19"/>
  <c r="V287" i="19"/>
  <c r="W287" i="19"/>
  <c r="X287" i="19"/>
  <c r="Z287" i="19"/>
  <c r="D285" i="32" s="1"/>
  <c r="AA287" i="19"/>
  <c r="AC287" i="19"/>
  <c r="AE287" i="19"/>
  <c r="AF287" i="19"/>
  <c r="AG287" i="19"/>
  <c r="AH287" i="19"/>
  <c r="AI287" i="19"/>
  <c r="AJ287" i="19"/>
  <c r="AK287" i="19"/>
  <c r="AL287" i="19"/>
  <c r="AM287" i="19"/>
  <c r="AN287" i="19"/>
  <c r="AO287" i="19"/>
  <c r="AP287" i="19"/>
  <c r="AQ287" i="19"/>
  <c r="AR287" i="19"/>
  <c r="C288" i="19"/>
  <c r="D288" i="19"/>
  <c r="E288" i="19"/>
  <c r="F288" i="19"/>
  <c r="H288" i="19"/>
  <c r="I288" i="19"/>
  <c r="J288" i="19"/>
  <c r="K288" i="19"/>
  <c r="L288" i="19"/>
  <c r="M288" i="19"/>
  <c r="N288" i="19"/>
  <c r="P288" i="19"/>
  <c r="Q288" i="19"/>
  <c r="S288" i="19"/>
  <c r="V288" i="19"/>
  <c r="W288" i="19"/>
  <c r="X288" i="19"/>
  <c r="Z288" i="19"/>
  <c r="AA288" i="19"/>
  <c r="AC288" i="19"/>
  <c r="AE288" i="19"/>
  <c r="AF288" i="19"/>
  <c r="AG288" i="19"/>
  <c r="AH288" i="19"/>
  <c r="AI288" i="19"/>
  <c r="AJ288" i="19"/>
  <c r="AK288" i="19"/>
  <c r="AL288" i="19"/>
  <c r="AM288" i="19"/>
  <c r="AN288" i="19"/>
  <c r="AO288" i="19"/>
  <c r="AP288" i="19"/>
  <c r="AQ288" i="19"/>
  <c r="AR288" i="19"/>
  <c r="C289" i="19"/>
  <c r="D289" i="19"/>
  <c r="E289" i="19"/>
  <c r="F289" i="19"/>
  <c r="H289" i="19"/>
  <c r="I289" i="19"/>
  <c r="J289" i="19"/>
  <c r="K289" i="19"/>
  <c r="L289" i="19"/>
  <c r="M289" i="19"/>
  <c r="N289" i="19"/>
  <c r="P289" i="19"/>
  <c r="Q289" i="19"/>
  <c r="S289" i="19"/>
  <c r="V289" i="19"/>
  <c r="W289" i="19"/>
  <c r="X289" i="19"/>
  <c r="Z289" i="19"/>
  <c r="D287" i="32" s="1"/>
  <c r="AA289" i="19"/>
  <c r="AC289" i="19"/>
  <c r="AE289" i="19"/>
  <c r="AF289" i="19"/>
  <c r="AG289" i="19"/>
  <c r="AH289" i="19"/>
  <c r="AI289" i="19"/>
  <c r="AJ289" i="19"/>
  <c r="AK289" i="19"/>
  <c r="AL289" i="19"/>
  <c r="AM289" i="19"/>
  <c r="AN289" i="19"/>
  <c r="AO289" i="19"/>
  <c r="AP289" i="19"/>
  <c r="AQ289" i="19"/>
  <c r="AR289" i="19"/>
  <c r="C290" i="19"/>
  <c r="D290" i="19"/>
  <c r="E290" i="19"/>
  <c r="F290" i="19"/>
  <c r="H290" i="19"/>
  <c r="I290" i="19"/>
  <c r="J290" i="19"/>
  <c r="K290" i="19"/>
  <c r="L290" i="19"/>
  <c r="M290" i="19"/>
  <c r="N290" i="19"/>
  <c r="P290" i="19"/>
  <c r="Q290" i="19"/>
  <c r="S290" i="19"/>
  <c r="V290" i="19"/>
  <c r="W290" i="19"/>
  <c r="X290" i="19"/>
  <c r="Z290" i="19"/>
  <c r="D288" i="32" s="1"/>
  <c r="AA290" i="19"/>
  <c r="AC290" i="19"/>
  <c r="AE290" i="19"/>
  <c r="AF290" i="19"/>
  <c r="AG290" i="19"/>
  <c r="AH290" i="19"/>
  <c r="AI290" i="19"/>
  <c r="AJ290" i="19"/>
  <c r="AK290" i="19"/>
  <c r="AL290" i="19"/>
  <c r="AM290" i="19"/>
  <c r="AN290" i="19"/>
  <c r="AO290" i="19"/>
  <c r="AP290" i="19"/>
  <c r="AQ290" i="19"/>
  <c r="AR290" i="19"/>
  <c r="C291" i="19"/>
  <c r="D291" i="19"/>
  <c r="E291" i="19"/>
  <c r="F291" i="19"/>
  <c r="H291" i="19"/>
  <c r="I291" i="19"/>
  <c r="J291" i="19"/>
  <c r="K291" i="19"/>
  <c r="L291" i="19"/>
  <c r="M291" i="19"/>
  <c r="N291" i="19"/>
  <c r="P291" i="19"/>
  <c r="Q291" i="19"/>
  <c r="S291" i="19"/>
  <c r="V291" i="19"/>
  <c r="W291" i="19"/>
  <c r="X291" i="19"/>
  <c r="Z291" i="19"/>
  <c r="D289" i="32" s="1"/>
  <c r="AA291" i="19"/>
  <c r="AC291" i="19"/>
  <c r="AE291" i="19"/>
  <c r="AF291" i="19"/>
  <c r="AG291" i="19"/>
  <c r="AH291" i="19"/>
  <c r="AI291" i="19"/>
  <c r="AJ291" i="19"/>
  <c r="AK291" i="19"/>
  <c r="AL291" i="19"/>
  <c r="AM291" i="19"/>
  <c r="AN291" i="19"/>
  <c r="AO291" i="19"/>
  <c r="AP291" i="19"/>
  <c r="AQ291" i="19"/>
  <c r="AR291" i="19"/>
  <c r="C292" i="19"/>
  <c r="D292" i="19"/>
  <c r="E292" i="19"/>
  <c r="F292" i="19"/>
  <c r="H292" i="19"/>
  <c r="I292" i="19"/>
  <c r="J292" i="19"/>
  <c r="K292" i="19"/>
  <c r="L292" i="19"/>
  <c r="M292" i="19"/>
  <c r="N292" i="19"/>
  <c r="P292" i="19"/>
  <c r="Q292" i="19"/>
  <c r="S292" i="19"/>
  <c r="V292" i="19"/>
  <c r="W292" i="19"/>
  <c r="X292" i="19"/>
  <c r="Z292" i="19"/>
  <c r="D290" i="32" s="1"/>
  <c r="AA292" i="19"/>
  <c r="AC292" i="19"/>
  <c r="AE292" i="19"/>
  <c r="AF292" i="19"/>
  <c r="AG292" i="19"/>
  <c r="AH292" i="19"/>
  <c r="AI292" i="19"/>
  <c r="AJ292" i="19"/>
  <c r="AK292" i="19"/>
  <c r="AL292" i="19"/>
  <c r="AM292" i="19"/>
  <c r="AN292" i="19"/>
  <c r="AO292" i="19"/>
  <c r="AP292" i="19"/>
  <c r="AQ292" i="19"/>
  <c r="AR292" i="19"/>
  <c r="C293" i="19"/>
  <c r="D293" i="19"/>
  <c r="E293" i="19"/>
  <c r="F293" i="19"/>
  <c r="H293" i="19"/>
  <c r="I293" i="19"/>
  <c r="J293" i="19"/>
  <c r="K293" i="19"/>
  <c r="L293" i="19"/>
  <c r="M293" i="19"/>
  <c r="N293" i="19"/>
  <c r="P293" i="19"/>
  <c r="Q293" i="19"/>
  <c r="S293" i="19"/>
  <c r="V293" i="19"/>
  <c r="W293" i="19"/>
  <c r="X293" i="19"/>
  <c r="Z293" i="19"/>
  <c r="D291" i="32" s="1"/>
  <c r="AA293" i="19"/>
  <c r="AC293" i="19"/>
  <c r="AE293" i="19"/>
  <c r="AF293" i="19"/>
  <c r="AG293" i="19"/>
  <c r="AH293" i="19"/>
  <c r="AI293" i="19"/>
  <c r="AJ293" i="19"/>
  <c r="AK293" i="19"/>
  <c r="AL293" i="19"/>
  <c r="AM293" i="19"/>
  <c r="AN293" i="19"/>
  <c r="AO293" i="19"/>
  <c r="AP293" i="19"/>
  <c r="AQ293" i="19"/>
  <c r="AR293" i="19"/>
  <c r="C294" i="19"/>
  <c r="D294" i="19"/>
  <c r="E294" i="19"/>
  <c r="F294" i="19"/>
  <c r="H294" i="19"/>
  <c r="I294" i="19"/>
  <c r="J294" i="19"/>
  <c r="K294" i="19"/>
  <c r="L294" i="19"/>
  <c r="M294" i="19"/>
  <c r="N294" i="19"/>
  <c r="P294" i="19"/>
  <c r="Q294" i="19"/>
  <c r="S294" i="19"/>
  <c r="V294" i="19"/>
  <c r="W294" i="19"/>
  <c r="X294" i="19"/>
  <c r="Z294" i="19"/>
  <c r="D292" i="32" s="1"/>
  <c r="AA294" i="19"/>
  <c r="AC294" i="19"/>
  <c r="AE294" i="19"/>
  <c r="AF294" i="19"/>
  <c r="AG294" i="19"/>
  <c r="AH294" i="19"/>
  <c r="AI294" i="19"/>
  <c r="AJ294" i="19"/>
  <c r="AK294" i="19"/>
  <c r="AL294" i="19"/>
  <c r="AM294" i="19"/>
  <c r="AN294" i="19"/>
  <c r="AO294" i="19"/>
  <c r="AP294" i="19"/>
  <c r="AQ294" i="19"/>
  <c r="AR294" i="19"/>
  <c r="C295" i="19"/>
  <c r="D295" i="19"/>
  <c r="E295" i="19"/>
  <c r="F295" i="19"/>
  <c r="H295" i="19"/>
  <c r="I295" i="19"/>
  <c r="J295" i="19"/>
  <c r="K295" i="19"/>
  <c r="L295" i="19"/>
  <c r="M295" i="19"/>
  <c r="N295" i="19"/>
  <c r="P295" i="19"/>
  <c r="Q295" i="19"/>
  <c r="S295" i="19"/>
  <c r="V295" i="19"/>
  <c r="W295" i="19"/>
  <c r="X295" i="19"/>
  <c r="Z295" i="19"/>
  <c r="D293" i="32" s="1"/>
  <c r="AA295" i="19"/>
  <c r="AC295" i="19"/>
  <c r="AE295" i="19"/>
  <c r="AF295" i="19"/>
  <c r="AG295" i="19"/>
  <c r="AH295" i="19"/>
  <c r="AI295" i="19"/>
  <c r="AJ295" i="19"/>
  <c r="AK295" i="19"/>
  <c r="AL295" i="19"/>
  <c r="AM295" i="19"/>
  <c r="AN295" i="19"/>
  <c r="AO295" i="19"/>
  <c r="AP295" i="19"/>
  <c r="AQ295" i="19"/>
  <c r="AR295" i="19"/>
  <c r="C296" i="19"/>
  <c r="D296" i="19"/>
  <c r="E296" i="19"/>
  <c r="F296" i="19"/>
  <c r="H296" i="19"/>
  <c r="I296" i="19"/>
  <c r="J296" i="19"/>
  <c r="K296" i="19"/>
  <c r="L296" i="19"/>
  <c r="M296" i="19"/>
  <c r="N296" i="19"/>
  <c r="P296" i="19"/>
  <c r="Q296" i="19"/>
  <c r="S296" i="19"/>
  <c r="V296" i="19"/>
  <c r="W296" i="19"/>
  <c r="X296" i="19"/>
  <c r="Z296" i="19"/>
  <c r="D294" i="32" s="1"/>
  <c r="AA296" i="19"/>
  <c r="AC296" i="19"/>
  <c r="AE296" i="19"/>
  <c r="AF296" i="19"/>
  <c r="AG296" i="19"/>
  <c r="AH296" i="19"/>
  <c r="AI296" i="19"/>
  <c r="AJ296" i="19"/>
  <c r="AK296" i="19"/>
  <c r="AL296" i="19"/>
  <c r="AM296" i="19"/>
  <c r="AN296" i="19"/>
  <c r="AO296" i="19"/>
  <c r="AP296" i="19"/>
  <c r="AQ296" i="19"/>
  <c r="AR296" i="19"/>
  <c r="C297" i="19"/>
  <c r="D297" i="19"/>
  <c r="E297" i="19"/>
  <c r="F297" i="19"/>
  <c r="H297" i="19"/>
  <c r="I297" i="19"/>
  <c r="J297" i="19"/>
  <c r="K297" i="19"/>
  <c r="L297" i="19"/>
  <c r="M297" i="19"/>
  <c r="N297" i="19"/>
  <c r="P297" i="19"/>
  <c r="Q297" i="19"/>
  <c r="S297" i="19"/>
  <c r="V297" i="19"/>
  <c r="W297" i="19"/>
  <c r="X297" i="19"/>
  <c r="Z297" i="19"/>
  <c r="D295" i="32" s="1"/>
  <c r="AA297" i="19"/>
  <c r="AC297" i="19"/>
  <c r="AE297" i="19"/>
  <c r="AF297" i="19"/>
  <c r="AG297" i="19"/>
  <c r="AH297" i="19"/>
  <c r="AI297" i="19"/>
  <c r="AJ297" i="19"/>
  <c r="AK297" i="19"/>
  <c r="AL297" i="19"/>
  <c r="AM297" i="19"/>
  <c r="AN297" i="19"/>
  <c r="AO297" i="19"/>
  <c r="AP297" i="19"/>
  <c r="AQ297" i="19"/>
  <c r="AR297" i="19"/>
  <c r="C298" i="19"/>
  <c r="D298" i="19"/>
  <c r="E298" i="19"/>
  <c r="F298" i="19"/>
  <c r="H298" i="19"/>
  <c r="I298" i="19"/>
  <c r="J298" i="19"/>
  <c r="K298" i="19"/>
  <c r="L298" i="19"/>
  <c r="M298" i="19"/>
  <c r="N298" i="19"/>
  <c r="P298" i="19"/>
  <c r="Q298" i="19"/>
  <c r="S298" i="19"/>
  <c r="V298" i="19"/>
  <c r="W298" i="19"/>
  <c r="X298" i="19"/>
  <c r="Z298" i="19"/>
  <c r="D296" i="32" s="1"/>
  <c r="AA298" i="19"/>
  <c r="AC298" i="19"/>
  <c r="AE298" i="19"/>
  <c r="AF298" i="19"/>
  <c r="AG298" i="19"/>
  <c r="AH298" i="19"/>
  <c r="AI298" i="19"/>
  <c r="AJ298" i="19"/>
  <c r="AK298" i="19"/>
  <c r="AL298" i="19"/>
  <c r="AM298" i="19"/>
  <c r="AN298" i="19"/>
  <c r="AO298" i="19"/>
  <c r="AP298" i="19"/>
  <c r="AQ298" i="19"/>
  <c r="AR298" i="19"/>
  <c r="C299" i="19"/>
  <c r="D299" i="19"/>
  <c r="E299" i="19"/>
  <c r="F299" i="19"/>
  <c r="H299" i="19"/>
  <c r="I299" i="19"/>
  <c r="J299" i="19"/>
  <c r="K299" i="19"/>
  <c r="L299" i="19"/>
  <c r="M299" i="19"/>
  <c r="N299" i="19"/>
  <c r="P299" i="19"/>
  <c r="Q299" i="19"/>
  <c r="S299" i="19"/>
  <c r="V299" i="19"/>
  <c r="W299" i="19"/>
  <c r="X299" i="19"/>
  <c r="Z299" i="19"/>
  <c r="D297" i="32" s="1"/>
  <c r="AA299" i="19"/>
  <c r="AC299" i="19"/>
  <c r="AE299" i="19"/>
  <c r="AF299" i="19"/>
  <c r="AG299" i="19"/>
  <c r="AH299" i="19"/>
  <c r="AI299" i="19"/>
  <c r="AJ299" i="19"/>
  <c r="AK299" i="19"/>
  <c r="AL299" i="19"/>
  <c r="AM299" i="19"/>
  <c r="AN299" i="19"/>
  <c r="AO299" i="19"/>
  <c r="AP299" i="19"/>
  <c r="AQ299" i="19"/>
  <c r="AR299" i="19"/>
  <c r="C300" i="19"/>
  <c r="D300" i="19"/>
  <c r="E300" i="19"/>
  <c r="F300" i="19"/>
  <c r="H300" i="19"/>
  <c r="I300" i="19"/>
  <c r="J300" i="19"/>
  <c r="K300" i="19"/>
  <c r="L300" i="19"/>
  <c r="M300" i="19"/>
  <c r="N300" i="19"/>
  <c r="P300" i="19"/>
  <c r="Q300" i="19"/>
  <c r="S300" i="19"/>
  <c r="V300" i="19"/>
  <c r="W300" i="19"/>
  <c r="X300" i="19"/>
  <c r="Z300" i="19"/>
  <c r="D298" i="32" s="1"/>
  <c r="AA300" i="19"/>
  <c r="AC300" i="19"/>
  <c r="AE300" i="19"/>
  <c r="AF300" i="19"/>
  <c r="AG300" i="19"/>
  <c r="AH300" i="19"/>
  <c r="AI300" i="19"/>
  <c r="AJ300" i="19"/>
  <c r="AK300" i="19"/>
  <c r="AL300" i="19"/>
  <c r="AM300" i="19"/>
  <c r="AN300" i="19"/>
  <c r="AO300" i="19"/>
  <c r="AP300" i="19"/>
  <c r="AQ300" i="19"/>
  <c r="AR300" i="19"/>
  <c r="C301" i="19"/>
  <c r="D301" i="19"/>
  <c r="E301" i="19"/>
  <c r="F301" i="19"/>
  <c r="H301" i="19"/>
  <c r="I301" i="19"/>
  <c r="J301" i="19"/>
  <c r="K301" i="19"/>
  <c r="L301" i="19"/>
  <c r="M301" i="19"/>
  <c r="N301" i="19"/>
  <c r="P301" i="19"/>
  <c r="Q301" i="19"/>
  <c r="S301" i="19"/>
  <c r="V301" i="19"/>
  <c r="W301" i="19"/>
  <c r="X301" i="19"/>
  <c r="Z301" i="19"/>
  <c r="D299" i="32" s="1"/>
  <c r="AA301" i="19"/>
  <c r="AC301" i="19"/>
  <c r="AE301" i="19"/>
  <c r="AF301" i="19"/>
  <c r="AG301" i="19"/>
  <c r="AH301" i="19"/>
  <c r="AI301" i="19"/>
  <c r="AJ301" i="19"/>
  <c r="AK301" i="19"/>
  <c r="AL301" i="19"/>
  <c r="AM301" i="19"/>
  <c r="AN301" i="19"/>
  <c r="AO301" i="19"/>
  <c r="AP301" i="19"/>
  <c r="AQ301" i="19"/>
  <c r="AR301" i="19"/>
  <c r="C302" i="19"/>
  <c r="D302" i="19"/>
  <c r="E302" i="19"/>
  <c r="F302" i="19"/>
  <c r="H302" i="19"/>
  <c r="I302" i="19"/>
  <c r="J302" i="19"/>
  <c r="K302" i="19"/>
  <c r="L302" i="19"/>
  <c r="M302" i="19"/>
  <c r="N302" i="19"/>
  <c r="P302" i="19"/>
  <c r="Q302" i="19"/>
  <c r="S302" i="19"/>
  <c r="V302" i="19"/>
  <c r="W302" i="19"/>
  <c r="X302" i="19"/>
  <c r="Z302" i="19"/>
  <c r="D300" i="32" s="1"/>
  <c r="AA302" i="19"/>
  <c r="AC302" i="19"/>
  <c r="AE302" i="19"/>
  <c r="AF302" i="19"/>
  <c r="AG302" i="19"/>
  <c r="AH302" i="19"/>
  <c r="AI302" i="19"/>
  <c r="AJ302" i="19"/>
  <c r="AK302" i="19"/>
  <c r="AL302" i="19"/>
  <c r="AM302" i="19"/>
  <c r="AN302" i="19"/>
  <c r="AO302" i="19"/>
  <c r="AP302" i="19"/>
  <c r="AQ302" i="19"/>
  <c r="AR302" i="19"/>
  <c r="C303" i="19"/>
  <c r="D303" i="19"/>
  <c r="E303" i="19"/>
  <c r="F303" i="19"/>
  <c r="H303" i="19"/>
  <c r="I303" i="19"/>
  <c r="J303" i="19"/>
  <c r="K303" i="19"/>
  <c r="L303" i="19"/>
  <c r="M303" i="19"/>
  <c r="N303" i="19"/>
  <c r="P303" i="19"/>
  <c r="Q303" i="19"/>
  <c r="S303" i="19"/>
  <c r="V303" i="19"/>
  <c r="W303" i="19"/>
  <c r="X303" i="19"/>
  <c r="Z303" i="19"/>
  <c r="D301" i="32" s="1"/>
  <c r="AA303" i="19"/>
  <c r="AC303" i="19"/>
  <c r="AE303" i="19"/>
  <c r="AF303" i="19"/>
  <c r="AG303" i="19"/>
  <c r="AH303" i="19"/>
  <c r="AI303" i="19"/>
  <c r="AJ303" i="19"/>
  <c r="AK303" i="19"/>
  <c r="AL303" i="19"/>
  <c r="AM303" i="19"/>
  <c r="AN303" i="19"/>
  <c r="AO303" i="19"/>
  <c r="AP303" i="19"/>
  <c r="AQ303" i="19"/>
  <c r="AR303" i="19"/>
  <c r="C304" i="19"/>
  <c r="D304" i="19"/>
  <c r="E304" i="19"/>
  <c r="F304" i="19"/>
  <c r="H304" i="19"/>
  <c r="I304" i="19"/>
  <c r="J304" i="19"/>
  <c r="K304" i="19"/>
  <c r="L304" i="19"/>
  <c r="M304" i="19"/>
  <c r="N304" i="19"/>
  <c r="P304" i="19"/>
  <c r="Q304" i="19"/>
  <c r="S304" i="19"/>
  <c r="V304" i="19"/>
  <c r="W304" i="19"/>
  <c r="X304" i="19"/>
  <c r="Z304" i="19"/>
  <c r="D302" i="32" s="1"/>
  <c r="AA304" i="19"/>
  <c r="AC304" i="19"/>
  <c r="AE304" i="19"/>
  <c r="AF304" i="19"/>
  <c r="AG304" i="19"/>
  <c r="AH304" i="19"/>
  <c r="AI304" i="19"/>
  <c r="AJ304" i="19"/>
  <c r="AK304" i="19"/>
  <c r="AL304" i="19"/>
  <c r="AM304" i="19"/>
  <c r="AN304" i="19"/>
  <c r="AO304" i="19"/>
  <c r="AP304" i="19"/>
  <c r="AQ304" i="19"/>
  <c r="AR304" i="19"/>
  <c r="C305" i="19"/>
  <c r="D305" i="19"/>
  <c r="E305" i="19"/>
  <c r="F305" i="19"/>
  <c r="H305" i="19"/>
  <c r="I305" i="19"/>
  <c r="J305" i="19"/>
  <c r="K305" i="19"/>
  <c r="L305" i="19"/>
  <c r="M305" i="19"/>
  <c r="N305" i="19"/>
  <c r="P305" i="19"/>
  <c r="Q305" i="19"/>
  <c r="S305" i="19"/>
  <c r="V305" i="19"/>
  <c r="W305" i="19"/>
  <c r="X305" i="19"/>
  <c r="Z305" i="19"/>
  <c r="D303" i="32" s="1"/>
  <c r="AA305" i="19"/>
  <c r="AC305" i="19"/>
  <c r="AE305" i="19"/>
  <c r="AF305" i="19"/>
  <c r="AG305" i="19"/>
  <c r="AH305" i="19"/>
  <c r="AI305" i="19"/>
  <c r="AJ305" i="19"/>
  <c r="AK305" i="19"/>
  <c r="AL305" i="19"/>
  <c r="AM305" i="19"/>
  <c r="AN305" i="19"/>
  <c r="AO305" i="19"/>
  <c r="AP305" i="19"/>
  <c r="AQ305" i="19"/>
  <c r="AR305" i="19"/>
  <c r="C306" i="19"/>
  <c r="D306" i="19"/>
  <c r="E306" i="19"/>
  <c r="F306" i="19"/>
  <c r="H306" i="19"/>
  <c r="I306" i="19"/>
  <c r="J306" i="19"/>
  <c r="K306" i="19"/>
  <c r="L306" i="19"/>
  <c r="M306" i="19"/>
  <c r="N306" i="19"/>
  <c r="P306" i="19"/>
  <c r="Q306" i="19"/>
  <c r="S306" i="19"/>
  <c r="V306" i="19"/>
  <c r="W306" i="19"/>
  <c r="X306" i="19"/>
  <c r="Z306" i="19"/>
  <c r="D304" i="32" s="1"/>
  <c r="AA306" i="19"/>
  <c r="AC306" i="19"/>
  <c r="AE306" i="19"/>
  <c r="AF306" i="19"/>
  <c r="AG306" i="19"/>
  <c r="AH306" i="19"/>
  <c r="AI306" i="19"/>
  <c r="AJ306" i="19"/>
  <c r="AK306" i="19"/>
  <c r="AL306" i="19"/>
  <c r="AM306" i="19"/>
  <c r="AN306" i="19"/>
  <c r="AO306" i="19"/>
  <c r="AP306" i="19"/>
  <c r="AQ306" i="19"/>
  <c r="AR306" i="19"/>
  <c r="C307" i="19"/>
  <c r="D307" i="19"/>
  <c r="E307" i="19"/>
  <c r="F307" i="19"/>
  <c r="H307" i="19"/>
  <c r="I307" i="19"/>
  <c r="J307" i="19"/>
  <c r="K307" i="19"/>
  <c r="L307" i="19"/>
  <c r="M307" i="19"/>
  <c r="N307" i="19"/>
  <c r="P307" i="19"/>
  <c r="Q307" i="19"/>
  <c r="S307" i="19"/>
  <c r="V307" i="19"/>
  <c r="W307" i="19"/>
  <c r="X307" i="19"/>
  <c r="Z307" i="19"/>
  <c r="D305" i="32" s="1"/>
  <c r="AA307" i="19"/>
  <c r="AC307" i="19"/>
  <c r="AE307" i="19"/>
  <c r="AF307" i="19"/>
  <c r="AG307" i="19"/>
  <c r="AH307" i="19"/>
  <c r="AI307" i="19"/>
  <c r="AJ307" i="19"/>
  <c r="AK307" i="19"/>
  <c r="AL307" i="19"/>
  <c r="AM307" i="19"/>
  <c r="AN307" i="19"/>
  <c r="AO307" i="19"/>
  <c r="AP307" i="19"/>
  <c r="AQ307" i="19"/>
  <c r="AR307" i="19"/>
  <c r="C308" i="19"/>
  <c r="D308" i="19"/>
  <c r="E308" i="19"/>
  <c r="F308" i="19"/>
  <c r="H308" i="19"/>
  <c r="I308" i="19"/>
  <c r="J308" i="19"/>
  <c r="K308" i="19"/>
  <c r="L308" i="19"/>
  <c r="M308" i="19"/>
  <c r="N308" i="19"/>
  <c r="P308" i="19"/>
  <c r="Q308" i="19"/>
  <c r="S308" i="19"/>
  <c r="V308" i="19"/>
  <c r="W308" i="19"/>
  <c r="X308" i="19"/>
  <c r="Z308" i="19"/>
  <c r="D306" i="32" s="1"/>
  <c r="AA308" i="19"/>
  <c r="AC308" i="19"/>
  <c r="AE308" i="19"/>
  <c r="AF308" i="19"/>
  <c r="AG308" i="19"/>
  <c r="AH308" i="19"/>
  <c r="AI308" i="19"/>
  <c r="AJ308" i="19"/>
  <c r="AK308" i="19"/>
  <c r="AL308" i="19"/>
  <c r="AM308" i="19"/>
  <c r="AN308" i="19"/>
  <c r="AO308" i="19"/>
  <c r="AP308" i="19"/>
  <c r="AQ308" i="19"/>
  <c r="AR308" i="19"/>
  <c r="C309" i="19"/>
  <c r="D309" i="19"/>
  <c r="E309" i="19"/>
  <c r="F309" i="19"/>
  <c r="H309" i="19"/>
  <c r="I309" i="19"/>
  <c r="J309" i="19"/>
  <c r="K309" i="19"/>
  <c r="L309" i="19"/>
  <c r="M309" i="19"/>
  <c r="N309" i="19"/>
  <c r="P309" i="19"/>
  <c r="Q309" i="19"/>
  <c r="S309" i="19"/>
  <c r="V309" i="19"/>
  <c r="W309" i="19"/>
  <c r="X309" i="19"/>
  <c r="Z309" i="19"/>
  <c r="D307" i="32" s="1"/>
  <c r="AA309" i="19"/>
  <c r="AC309" i="19"/>
  <c r="AE309" i="19"/>
  <c r="AF309" i="19"/>
  <c r="AG309" i="19"/>
  <c r="AH309" i="19"/>
  <c r="AI309" i="19"/>
  <c r="AJ309" i="19"/>
  <c r="AK309" i="19"/>
  <c r="AL309" i="19"/>
  <c r="AM309" i="19"/>
  <c r="AN309" i="19"/>
  <c r="AO309" i="19"/>
  <c r="AP309" i="19"/>
  <c r="AQ309" i="19"/>
  <c r="AR309" i="19"/>
  <c r="C310" i="19"/>
  <c r="D310" i="19"/>
  <c r="E310" i="19"/>
  <c r="F310" i="19"/>
  <c r="H310" i="19"/>
  <c r="I310" i="19"/>
  <c r="J310" i="19"/>
  <c r="K310" i="19"/>
  <c r="L310" i="19"/>
  <c r="M310" i="19"/>
  <c r="N310" i="19"/>
  <c r="P310" i="19"/>
  <c r="Q310" i="19"/>
  <c r="S310" i="19"/>
  <c r="V310" i="19"/>
  <c r="W310" i="19"/>
  <c r="X310" i="19"/>
  <c r="Z310" i="19"/>
  <c r="D308" i="32" s="1"/>
  <c r="AA310" i="19"/>
  <c r="AC310" i="19"/>
  <c r="AE310" i="19"/>
  <c r="AF310" i="19"/>
  <c r="AG310" i="19"/>
  <c r="AH310" i="19"/>
  <c r="AI310" i="19"/>
  <c r="AJ310" i="19"/>
  <c r="AK310" i="19"/>
  <c r="AL310" i="19"/>
  <c r="AM310" i="19"/>
  <c r="AN310" i="19"/>
  <c r="AO310" i="19"/>
  <c r="AP310" i="19"/>
  <c r="AQ310" i="19"/>
  <c r="AR310" i="19"/>
  <c r="C311" i="19"/>
  <c r="D311" i="19"/>
  <c r="E311" i="19"/>
  <c r="F311" i="19"/>
  <c r="H311" i="19"/>
  <c r="I311" i="19"/>
  <c r="J311" i="19"/>
  <c r="K311" i="19"/>
  <c r="L311" i="19"/>
  <c r="M311" i="19"/>
  <c r="N311" i="19"/>
  <c r="P311" i="19"/>
  <c r="Q311" i="19"/>
  <c r="S311" i="19"/>
  <c r="V311" i="19"/>
  <c r="W311" i="19"/>
  <c r="X311" i="19"/>
  <c r="Z311" i="19"/>
  <c r="D309" i="32" s="1"/>
  <c r="AA311" i="19"/>
  <c r="AC311" i="19"/>
  <c r="AE311" i="19"/>
  <c r="AF311" i="19"/>
  <c r="AG311" i="19"/>
  <c r="AH311" i="19"/>
  <c r="AI311" i="19"/>
  <c r="AJ311" i="19"/>
  <c r="AK311" i="19"/>
  <c r="AL311" i="19"/>
  <c r="AM311" i="19"/>
  <c r="AN311" i="19"/>
  <c r="AO311" i="19"/>
  <c r="AP311" i="19"/>
  <c r="AQ311" i="19"/>
  <c r="AR311" i="19"/>
  <c r="C312" i="19"/>
  <c r="D312" i="19"/>
  <c r="E312" i="19"/>
  <c r="F312" i="19"/>
  <c r="H312" i="19"/>
  <c r="I312" i="19"/>
  <c r="J312" i="19"/>
  <c r="K312" i="19"/>
  <c r="L312" i="19"/>
  <c r="M312" i="19"/>
  <c r="N312" i="19"/>
  <c r="P312" i="19"/>
  <c r="Q312" i="19"/>
  <c r="S312" i="19"/>
  <c r="V312" i="19"/>
  <c r="W312" i="19"/>
  <c r="X312" i="19"/>
  <c r="Z312" i="19"/>
  <c r="D310" i="32" s="1"/>
  <c r="AA312" i="19"/>
  <c r="AC312" i="19"/>
  <c r="AE312" i="19"/>
  <c r="AF312" i="19"/>
  <c r="AG312" i="19"/>
  <c r="AH312" i="19"/>
  <c r="AI312" i="19"/>
  <c r="AJ312" i="19"/>
  <c r="AK312" i="19"/>
  <c r="AL312" i="19"/>
  <c r="AM312" i="19"/>
  <c r="AN312" i="19"/>
  <c r="AO312" i="19"/>
  <c r="AP312" i="19"/>
  <c r="AQ312" i="19"/>
  <c r="AR312" i="19"/>
  <c r="C313" i="19"/>
  <c r="D313" i="19"/>
  <c r="E313" i="19"/>
  <c r="F313" i="19"/>
  <c r="H313" i="19"/>
  <c r="I313" i="19"/>
  <c r="J313" i="19"/>
  <c r="K313" i="19"/>
  <c r="L313" i="19"/>
  <c r="M313" i="19"/>
  <c r="N313" i="19"/>
  <c r="P313" i="19"/>
  <c r="Q313" i="19"/>
  <c r="S313" i="19"/>
  <c r="V313" i="19"/>
  <c r="W313" i="19"/>
  <c r="X313" i="19"/>
  <c r="Z313" i="19"/>
  <c r="D311" i="32" s="1"/>
  <c r="AA313" i="19"/>
  <c r="AC313" i="19"/>
  <c r="AE313" i="19"/>
  <c r="AF313" i="19"/>
  <c r="AG313" i="19"/>
  <c r="AH313" i="19"/>
  <c r="AI313" i="19"/>
  <c r="AJ313" i="19"/>
  <c r="AK313" i="19"/>
  <c r="AL313" i="19"/>
  <c r="AM313" i="19"/>
  <c r="AN313" i="19"/>
  <c r="AO313" i="19"/>
  <c r="AP313" i="19"/>
  <c r="AQ313" i="19"/>
  <c r="AR313" i="19"/>
  <c r="C314" i="19"/>
  <c r="D314" i="19"/>
  <c r="E314" i="19"/>
  <c r="F314" i="19"/>
  <c r="H314" i="19"/>
  <c r="I314" i="19"/>
  <c r="J314" i="19"/>
  <c r="K314" i="19"/>
  <c r="L314" i="19"/>
  <c r="M314" i="19"/>
  <c r="N314" i="19"/>
  <c r="P314" i="19"/>
  <c r="Q314" i="19"/>
  <c r="S314" i="19"/>
  <c r="V314" i="19"/>
  <c r="W314" i="19"/>
  <c r="X314" i="19"/>
  <c r="Z314" i="19"/>
  <c r="D312" i="32" s="1"/>
  <c r="AA314" i="19"/>
  <c r="AC314" i="19"/>
  <c r="AE314" i="19"/>
  <c r="AF314" i="19"/>
  <c r="AG314" i="19"/>
  <c r="AH314" i="19"/>
  <c r="AI314" i="19"/>
  <c r="AJ314" i="19"/>
  <c r="AK314" i="19"/>
  <c r="AL314" i="19"/>
  <c r="AM314" i="19"/>
  <c r="AN314" i="19"/>
  <c r="AO314" i="19"/>
  <c r="AP314" i="19"/>
  <c r="AQ314" i="19"/>
  <c r="AR314" i="19"/>
  <c r="C315" i="19"/>
  <c r="D315" i="19"/>
  <c r="E315" i="19"/>
  <c r="F315" i="19"/>
  <c r="H315" i="19"/>
  <c r="I315" i="19"/>
  <c r="J315" i="19"/>
  <c r="K315" i="19"/>
  <c r="L315" i="19"/>
  <c r="M315" i="19"/>
  <c r="N315" i="19"/>
  <c r="P315" i="19"/>
  <c r="Q315" i="19"/>
  <c r="S315" i="19"/>
  <c r="V315" i="19"/>
  <c r="W315" i="19"/>
  <c r="X315" i="19"/>
  <c r="Z315" i="19"/>
  <c r="D313" i="32" s="1"/>
  <c r="AA315" i="19"/>
  <c r="AC315" i="19"/>
  <c r="AE315" i="19"/>
  <c r="AF315" i="19"/>
  <c r="AG315" i="19"/>
  <c r="AH315" i="19"/>
  <c r="AI315" i="19"/>
  <c r="AJ315" i="19"/>
  <c r="AK315" i="19"/>
  <c r="AL315" i="19"/>
  <c r="AM315" i="19"/>
  <c r="AN315" i="19"/>
  <c r="AO315" i="19"/>
  <c r="AP315" i="19"/>
  <c r="AQ315" i="19"/>
  <c r="AR315" i="19"/>
  <c r="C316" i="19"/>
  <c r="D316" i="19"/>
  <c r="E316" i="19"/>
  <c r="F316" i="19"/>
  <c r="H316" i="19"/>
  <c r="I316" i="19"/>
  <c r="J316" i="19"/>
  <c r="K316" i="19"/>
  <c r="L316" i="19"/>
  <c r="M316" i="19"/>
  <c r="N316" i="19"/>
  <c r="P316" i="19"/>
  <c r="Q316" i="19"/>
  <c r="S316" i="19"/>
  <c r="V316" i="19"/>
  <c r="W316" i="19"/>
  <c r="X316" i="19"/>
  <c r="Z316" i="19"/>
  <c r="D314" i="32" s="1"/>
  <c r="AA316" i="19"/>
  <c r="AC316" i="19"/>
  <c r="AE316" i="19"/>
  <c r="AF316" i="19"/>
  <c r="AG316" i="19"/>
  <c r="AH316" i="19"/>
  <c r="AI316" i="19"/>
  <c r="AJ316" i="19"/>
  <c r="AK316" i="19"/>
  <c r="AL316" i="19"/>
  <c r="AM316" i="19"/>
  <c r="AN316" i="19"/>
  <c r="AO316" i="19"/>
  <c r="AP316" i="19"/>
  <c r="AQ316" i="19"/>
  <c r="AR316" i="19"/>
  <c r="C317" i="19"/>
  <c r="D317" i="19"/>
  <c r="E317" i="19"/>
  <c r="F317" i="19"/>
  <c r="H317" i="19"/>
  <c r="I317" i="19"/>
  <c r="J317" i="19"/>
  <c r="K317" i="19"/>
  <c r="L317" i="19"/>
  <c r="M317" i="19"/>
  <c r="N317" i="19"/>
  <c r="P317" i="19"/>
  <c r="Q317" i="19"/>
  <c r="S317" i="19"/>
  <c r="V317" i="19"/>
  <c r="W317" i="19"/>
  <c r="X317" i="19"/>
  <c r="Z317" i="19"/>
  <c r="D315" i="32" s="1"/>
  <c r="AA317" i="19"/>
  <c r="AC317" i="19"/>
  <c r="AE317" i="19"/>
  <c r="AF317" i="19"/>
  <c r="AG317" i="19"/>
  <c r="AH317" i="19"/>
  <c r="AI317" i="19"/>
  <c r="AJ317" i="19"/>
  <c r="AK317" i="19"/>
  <c r="AL317" i="19"/>
  <c r="AM317" i="19"/>
  <c r="AN317" i="19"/>
  <c r="AO317" i="19"/>
  <c r="AP317" i="19"/>
  <c r="AQ317" i="19"/>
  <c r="AR317" i="19"/>
  <c r="C318" i="19"/>
  <c r="D318" i="19"/>
  <c r="E318" i="19"/>
  <c r="F318" i="19"/>
  <c r="H318" i="19"/>
  <c r="I318" i="19"/>
  <c r="J318" i="19"/>
  <c r="K318" i="19"/>
  <c r="L318" i="19"/>
  <c r="M318" i="19"/>
  <c r="N318" i="19"/>
  <c r="P318" i="19"/>
  <c r="Q318" i="19"/>
  <c r="S318" i="19"/>
  <c r="V318" i="19"/>
  <c r="W318" i="19"/>
  <c r="X318" i="19"/>
  <c r="Z318" i="19"/>
  <c r="D316" i="32" s="1"/>
  <c r="AA318" i="19"/>
  <c r="AC318" i="19"/>
  <c r="AE318" i="19"/>
  <c r="AF318" i="19"/>
  <c r="AG318" i="19"/>
  <c r="AH318" i="19"/>
  <c r="AI318" i="19"/>
  <c r="AJ318" i="19"/>
  <c r="AK318" i="19"/>
  <c r="AL318" i="19"/>
  <c r="AM318" i="19"/>
  <c r="AN318" i="19"/>
  <c r="AO318" i="19"/>
  <c r="AP318" i="19"/>
  <c r="AQ318" i="19"/>
  <c r="AR318" i="19"/>
  <c r="C319" i="19"/>
  <c r="D319" i="19"/>
  <c r="E319" i="19"/>
  <c r="F319" i="19"/>
  <c r="H319" i="19"/>
  <c r="I319" i="19"/>
  <c r="J319" i="19"/>
  <c r="K319" i="19"/>
  <c r="L319" i="19"/>
  <c r="M319" i="19"/>
  <c r="N319" i="19"/>
  <c r="P319" i="19"/>
  <c r="Q319" i="19"/>
  <c r="S319" i="19"/>
  <c r="V319" i="19"/>
  <c r="W319" i="19"/>
  <c r="X319" i="19"/>
  <c r="Z319" i="19"/>
  <c r="D317" i="32" s="1"/>
  <c r="AA319" i="19"/>
  <c r="AC319" i="19"/>
  <c r="AE319" i="19"/>
  <c r="AF319" i="19"/>
  <c r="AG319" i="19"/>
  <c r="AH319" i="19"/>
  <c r="AI319" i="19"/>
  <c r="AJ319" i="19"/>
  <c r="AK319" i="19"/>
  <c r="AL319" i="19"/>
  <c r="AM319" i="19"/>
  <c r="AN319" i="19"/>
  <c r="AO319" i="19"/>
  <c r="AP319" i="19"/>
  <c r="AQ319" i="19"/>
  <c r="AR319" i="19"/>
  <c r="C320" i="19"/>
  <c r="D320" i="19"/>
  <c r="E320" i="19"/>
  <c r="F320" i="19"/>
  <c r="H320" i="19"/>
  <c r="I320" i="19"/>
  <c r="J320" i="19"/>
  <c r="K320" i="19"/>
  <c r="L320" i="19"/>
  <c r="M320" i="19"/>
  <c r="N320" i="19"/>
  <c r="P320" i="19"/>
  <c r="Q320" i="19"/>
  <c r="S320" i="19"/>
  <c r="V320" i="19"/>
  <c r="W320" i="19"/>
  <c r="X320" i="19"/>
  <c r="Z320" i="19"/>
  <c r="D318" i="32" s="1"/>
  <c r="AA320" i="19"/>
  <c r="AC320" i="19"/>
  <c r="AE320" i="19"/>
  <c r="AF320" i="19"/>
  <c r="AG320" i="19"/>
  <c r="AH320" i="19"/>
  <c r="AI320" i="19"/>
  <c r="AJ320" i="19"/>
  <c r="AK320" i="19"/>
  <c r="AL320" i="19"/>
  <c r="AM320" i="19"/>
  <c r="AN320" i="19"/>
  <c r="AO320" i="19"/>
  <c r="AP320" i="19"/>
  <c r="AQ320" i="19"/>
  <c r="AR320" i="19"/>
  <c r="C321" i="19"/>
  <c r="D321" i="19"/>
  <c r="E321" i="19"/>
  <c r="F321" i="19"/>
  <c r="H321" i="19"/>
  <c r="I321" i="19"/>
  <c r="J321" i="19"/>
  <c r="K321" i="19"/>
  <c r="L321" i="19"/>
  <c r="M321" i="19"/>
  <c r="N321" i="19"/>
  <c r="P321" i="19"/>
  <c r="Q321" i="19"/>
  <c r="S321" i="19"/>
  <c r="V321" i="19"/>
  <c r="W321" i="19"/>
  <c r="X321" i="19"/>
  <c r="Z321" i="19"/>
  <c r="D319" i="32" s="1"/>
  <c r="AA321" i="19"/>
  <c r="AC321" i="19"/>
  <c r="AE321" i="19"/>
  <c r="AF321" i="19"/>
  <c r="AG321" i="19"/>
  <c r="AH321" i="19"/>
  <c r="AI321" i="19"/>
  <c r="AJ321" i="19"/>
  <c r="AK321" i="19"/>
  <c r="AL321" i="19"/>
  <c r="AM321" i="19"/>
  <c r="AN321" i="19"/>
  <c r="AO321" i="19"/>
  <c r="AP321" i="19"/>
  <c r="AQ321" i="19"/>
  <c r="AR321" i="19"/>
  <c r="C322" i="19"/>
  <c r="D322" i="19"/>
  <c r="E322" i="19"/>
  <c r="F322" i="19"/>
  <c r="H322" i="19"/>
  <c r="I322" i="19"/>
  <c r="J322" i="19"/>
  <c r="K322" i="19"/>
  <c r="L322" i="19"/>
  <c r="M322" i="19"/>
  <c r="N322" i="19"/>
  <c r="P322" i="19"/>
  <c r="Q322" i="19"/>
  <c r="S322" i="19"/>
  <c r="V322" i="19"/>
  <c r="W322" i="19"/>
  <c r="X322" i="19"/>
  <c r="Z322" i="19"/>
  <c r="D320" i="32" s="1"/>
  <c r="AA322" i="19"/>
  <c r="AC322" i="19"/>
  <c r="AE322" i="19"/>
  <c r="AF322" i="19"/>
  <c r="AG322" i="19"/>
  <c r="AH322" i="19"/>
  <c r="AI322" i="19"/>
  <c r="AJ322" i="19"/>
  <c r="AK322" i="19"/>
  <c r="AL322" i="19"/>
  <c r="AM322" i="19"/>
  <c r="AN322" i="19"/>
  <c r="AO322" i="19"/>
  <c r="AP322" i="19"/>
  <c r="AQ322" i="19"/>
  <c r="AR322" i="19"/>
  <c r="C323" i="19"/>
  <c r="D323" i="19"/>
  <c r="E323" i="19"/>
  <c r="F323" i="19"/>
  <c r="H323" i="19"/>
  <c r="I323" i="19"/>
  <c r="J323" i="19"/>
  <c r="K323" i="19"/>
  <c r="L323" i="19"/>
  <c r="M323" i="19"/>
  <c r="N323" i="19"/>
  <c r="P323" i="19"/>
  <c r="Q323" i="19"/>
  <c r="S323" i="19"/>
  <c r="V323" i="19"/>
  <c r="W323" i="19"/>
  <c r="X323" i="19"/>
  <c r="Z323" i="19"/>
  <c r="D321" i="32" s="1"/>
  <c r="AA323" i="19"/>
  <c r="AC323" i="19"/>
  <c r="AE323" i="19"/>
  <c r="AF323" i="19"/>
  <c r="AG323" i="19"/>
  <c r="AH323" i="19"/>
  <c r="AI323" i="19"/>
  <c r="AJ323" i="19"/>
  <c r="AK323" i="19"/>
  <c r="AL323" i="19"/>
  <c r="AM323" i="19"/>
  <c r="AN323" i="19"/>
  <c r="AO323" i="19"/>
  <c r="AP323" i="19"/>
  <c r="AQ323" i="19"/>
  <c r="AR323" i="19"/>
  <c r="C324" i="19"/>
  <c r="D324" i="19"/>
  <c r="E324" i="19"/>
  <c r="F324" i="19"/>
  <c r="H324" i="19"/>
  <c r="I324" i="19"/>
  <c r="J324" i="19"/>
  <c r="K324" i="19"/>
  <c r="L324" i="19"/>
  <c r="M324" i="19"/>
  <c r="N324" i="19"/>
  <c r="P324" i="19"/>
  <c r="Q324" i="19"/>
  <c r="S324" i="19"/>
  <c r="V324" i="19"/>
  <c r="W324" i="19"/>
  <c r="X324" i="19"/>
  <c r="Z324" i="19"/>
  <c r="D322" i="32" s="1"/>
  <c r="AA324" i="19"/>
  <c r="AC324" i="19"/>
  <c r="AE324" i="19"/>
  <c r="AF324" i="19"/>
  <c r="AG324" i="19"/>
  <c r="AH324" i="19"/>
  <c r="AI324" i="19"/>
  <c r="AJ324" i="19"/>
  <c r="AK324" i="19"/>
  <c r="AL324" i="19"/>
  <c r="AM324" i="19"/>
  <c r="AN324" i="19"/>
  <c r="AO324" i="19"/>
  <c r="AP324" i="19"/>
  <c r="AQ324" i="19"/>
  <c r="AR324" i="19"/>
  <c r="D16" i="32"/>
  <c r="D24" i="32"/>
  <c r="D51" i="32"/>
  <c r="D63" i="32"/>
  <c r="D67" i="32"/>
  <c r="D68" i="32"/>
  <c r="D71" i="32"/>
  <c r="D72" i="32"/>
  <c r="D75" i="32"/>
  <c r="D79" i="32"/>
  <c r="D83" i="32"/>
  <c r="D84" i="32"/>
  <c r="D87" i="32"/>
  <c r="D88" i="32"/>
  <c r="D91" i="32"/>
  <c r="D95" i="32"/>
  <c r="D99" i="32"/>
  <c r="D100" i="32"/>
  <c r="D103" i="32"/>
  <c r="D104" i="32"/>
  <c r="D107" i="32"/>
  <c r="D111" i="32"/>
  <c r="D115" i="32"/>
  <c r="D116" i="32"/>
  <c r="D119" i="32"/>
  <c r="D120" i="32"/>
  <c r="D123" i="32"/>
  <c r="D127" i="32"/>
  <c r="D131" i="32"/>
  <c r="D132" i="32"/>
  <c r="D135" i="32"/>
  <c r="D136" i="32"/>
  <c r="D139" i="32"/>
  <c r="D143" i="32"/>
  <c r="D147" i="32"/>
  <c r="D151" i="32"/>
  <c r="D152" i="32"/>
  <c r="D155" i="32"/>
  <c r="D159" i="32"/>
  <c r="D163" i="32"/>
  <c r="D168" i="32"/>
  <c r="D171" i="32"/>
  <c r="D180" i="32"/>
  <c r="D183" i="32"/>
  <c r="D191" i="32"/>
  <c r="D195" i="32"/>
  <c r="D200" i="32"/>
  <c r="D203" i="32"/>
  <c r="D212" i="32"/>
  <c r="D215" i="32"/>
  <c r="D244" i="32"/>
  <c r="D267" i="32"/>
  <c r="D17" i="32"/>
  <c r="D25" i="32"/>
  <c r="D54" i="32"/>
  <c r="D61" i="32"/>
  <c r="D66" i="32"/>
  <c r="D69" i="32"/>
  <c r="D70" i="32"/>
  <c r="D73" i="32"/>
  <c r="D74" i="32"/>
  <c r="D76" i="32"/>
  <c r="D77" i="32"/>
  <c r="D78" i="32"/>
  <c r="D80" i="32"/>
  <c r="D81" i="32"/>
  <c r="D82" i="32"/>
  <c r="D85" i="32"/>
  <c r="D86" i="32"/>
  <c r="D89" i="32"/>
  <c r="D90" i="32"/>
  <c r="D92" i="32"/>
  <c r="D93" i="32"/>
  <c r="D94" i="32"/>
  <c r="D96" i="32"/>
  <c r="D97" i="32"/>
  <c r="D98" i="32"/>
  <c r="D101" i="32"/>
  <c r="D102" i="32"/>
  <c r="D105" i="32"/>
  <c r="D106" i="32"/>
  <c r="D108" i="32"/>
  <c r="D109" i="32"/>
  <c r="D110" i="32"/>
  <c r="D112" i="32"/>
  <c r="D113" i="32"/>
  <c r="D114" i="32"/>
  <c r="D117" i="32"/>
  <c r="D118" i="32"/>
  <c r="D121" i="32"/>
  <c r="D122" i="32"/>
  <c r="D124" i="32"/>
  <c r="D125" i="32"/>
  <c r="D126" i="32"/>
  <c r="D128" i="32"/>
  <c r="D129" i="32"/>
  <c r="D130" i="32"/>
  <c r="D133" i="32"/>
  <c r="D134" i="32"/>
  <c r="D137" i="32"/>
  <c r="D138" i="32"/>
  <c r="D140" i="32"/>
  <c r="D141" i="32"/>
  <c r="D142" i="32"/>
  <c r="D144" i="32"/>
  <c r="D145" i="32"/>
  <c r="D146" i="32"/>
  <c r="D149" i="32"/>
  <c r="D150" i="32"/>
  <c r="D153" i="32"/>
  <c r="D154" i="32"/>
  <c r="D156" i="32"/>
  <c r="D157" i="32"/>
  <c r="D158" i="32"/>
  <c r="D160" i="32"/>
  <c r="D165" i="32"/>
  <c r="D166" i="32"/>
  <c r="D172" i="32"/>
  <c r="D173" i="32"/>
  <c r="D177" i="32"/>
  <c r="D178" i="32"/>
  <c r="D186" i="32"/>
  <c r="D188" i="32"/>
  <c r="D192" i="32"/>
  <c r="D193" i="32"/>
  <c r="D201" i="32"/>
  <c r="D202" i="32"/>
  <c r="D206" i="32"/>
  <c r="D208" i="32"/>
  <c r="D213" i="32"/>
  <c r="D214" i="32"/>
  <c r="D242" i="32"/>
  <c r="D265" i="32"/>
  <c r="D270" i="32"/>
  <c r="D272" i="32"/>
  <c r="D277" i="32"/>
  <c r="D286" i="32"/>
  <c r="O323" i="19" l="1"/>
  <c r="O294" i="19"/>
  <c r="O293" i="19"/>
  <c r="O290" i="19"/>
  <c r="O289" i="19"/>
  <c r="O286" i="19"/>
  <c r="O285" i="19"/>
  <c r="O55" i="19"/>
  <c r="O54" i="19"/>
  <c r="O11" i="19"/>
  <c r="Y282" i="19"/>
  <c r="Y264" i="19"/>
  <c r="Y258" i="19"/>
  <c r="Y254" i="19"/>
  <c r="Y252" i="19"/>
  <c r="Y246" i="19"/>
  <c r="Y55" i="19"/>
  <c r="O319" i="19"/>
  <c r="O315" i="19"/>
  <c r="O227" i="19"/>
  <c r="O223" i="19"/>
  <c r="O219" i="19"/>
  <c r="O215" i="19"/>
  <c r="O211" i="19"/>
  <c r="O207" i="19"/>
  <c r="O203" i="19"/>
  <c r="O199" i="19"/>
  <c r="O195" i="19"/>
  <c r="O189" i="19"/>
  <c r="O185" i="19"/>
  <c r="O181" i="19"/>
  <c r="O177" i="19"/>
  <c r="O173" i="19"/>
  <c r="O169" i="19"/>
  <c r="O165" i="19"/>
  <c r="G283" i="19"/>
  <c r="G56" i="19"/>
  <c r="T56" i="19" s="1"/>
  <c r="O159" i="19"/>
  <c r="O143" i="19"/>
  <c r="G137" i="19"/>
  <c r="Y230" i="19"/>
  <c r="Y218" i="19"/>
  <c r="Y214" i="19"/>
  <c r="Y198" i="19"/>
  <c r="Y188" i="19"/>
  <c r="Y184" i="19"/>
  <c r="Y180" i="19"/>
  <c r="Y176" i="19"/>
  <c r="Y172" i="19"/>
  <c r="Y168" i="19"/>
  <c r="Y164" i="19"/>
  <c r="Y51" i="19"/>
  <c r="Y42" i="19"/>
  <c r="Y38" i="19"/>
  <c r="Y34" i="19"/>
  <c r="Y14" i="19"/>
  <c r="Y322" i="19"/>
  <c r="Y306" i="19"/>
  <c r="Y294" i="19"/>
  <c r="O311" i="19"/>
  <c r="O307" i="19"/>
  <c r="O305" i="19"/>
  <c r="O301" i="19"/>
  <c r="O297" i="19"/>
  <c r="O263" i="19"/>
  <c r="O261" i="19"/>
  <c r="O257" i="19"/>
  <c r="O251" i="19"/>
  <c r="O249" i="19"/>
  <c r="G219" i="19"/>
  <c r="R219" i="19" s="1"/>
  <c r="U219" i="19" s="1"/>
  <c r="G52" i="19"/>
  <c r="T52" i="19" s="1"/>
  <c r="G43" i="19"/>
  <c r="G39" i="19"/>
  <c r="G35" i="19"/>
  <c r="G15" i="19"/>
  <c r="G307" i="19"/>
  <c r="Y160" i="19"/>
  <c r="G215" i="19"/>
  <c r="T215" i="19" s="1"/>
  <c r="G199" i="19"/>
  <c r="G189" i="19"/>
  <c r="G185" i="19"/>
  <c r="G181" i="19"/>
  <c r="G177" i="19"/>
  <c r="G173" i="19"/>
  <c r="G169" i="19"/>
  <c r="G165" i="19"/>
  <c r="G161" i="19"/>
  <c r="Y30" i="19"/>
  <c r="O30" i="19"/>
  <c r="G29" i="19"/>
  <c r="O27" i="19"/>
  <c r="G25" i="19"/>
  <c r="O23" i="19"/>
  <c r="G21" i="19"/>
  <c r="O19" i="19"/>
  <c r="O17" i="19"/>
  <c r="G291" i="19"/>
  <c r="G287" i="19"/>
  <c r="O136" i="19"/>
  <c r="O131" i="19"/>
  <c r="Y128" i="19"/>
  <c r="O127" i="19"/>
  <c r="Y124" i="19"/>
  <c r="O123" i="19"/>
  <c r="Y120" i="19"/>
  <c r="O119" i="19"/>
  <c r="O113" i="19"/>
  <c r="O109" i="19"/>
  <c r="Y104" i="19"/>
  <c r="O103" i="19"/>
  <c r="O101" i="19"/>
  <c r="Y100" i="19"/>
  <c r="O99" i="19"/>
  <c r="Y96" i="19"/>
  <c r="O95" i="19"/>
  <c r="Y92" i="19"/>
  <c r="O91" i="19"/>
  <c r="Y88" i="19"/>
  <c r="O87" i="19"/>
  <c r="O85" i="19"/>
  <c r="O81" i="19"/>
  <c r="O77" i="19"/>
  <c r="Y72" i="19"/>
  <c r="O71" i="19"/>
  <c r="O69" i="19"/>
  <c r="O65" i="19"/>
  <c r="Y61" i="19"/>
  <c r="O60" i="19"/>
  <c r="G31" i="19"/>
  <c r="O324" i="19"/>
  <c r="G323" i="19"/>
  <c r="Y320" i="19"/>
  <c r="Y316" i="19"/>
  <c r="Y312" i="19"/>
  <c r="Y308" i="19"/>
  <c r="Y302" i="19"/>
  <c r="O282" i="19"/>
  <c r="O281" i="19"/>
  <c r="G277" i="19"/>
  <c r="O275" i="19"/>
  <c r="G273" i="19"/>
  <c r="T273" i="19" s="1"/>
  <c r="O271" i="19"/>
  <c r="O267" i="19"/>
  <c r="Y228" i="19"/>
  <c r="Y224" i="19"/>
  <c r="Y220" i="19"/>
  <c r="Y190" i="19"/>
  <c r="Y178" i="19"/>
  <c r="Y174" i="19"/>
  <c r="Y170" i="19"/>
  <c r="Y162" i="19"/>
  <c r="Y135" i="19"/>
  <c r="Y122" i="19"/>
  <c r="Y118" i="19"/>
  <c r="Y102" i="19"/>
  <c r="Y98" i="19"/>
  <c r="Y94" i="19"/>
  <c r="Y90" i="19"/>
  <c r="Y86" i="19"/>
  <c r="Y70" i="19"/>
  <c r="Y59" i="19"/>
  <c r="O52" i="19"/>
  <c r="O49" i="19"/>
  <c r="Y44" i="19"/>
  <c r="O43" i="19"/>
  <c r="Y40" i="19"/>
  <c r="O39" i="19"/>
  <c r="Y36" i="19"/>
  <c r="O35" i="19"/>
  <c r="Y32" i="19"/>
  <c r="Y324" i="19"/>
  <c r="Y323" i="19"/>
  <c r="Y266" i="19"/>
  <c r="O246" i="19"/>
  <c r="O245" i="19"/>
  <c r="G243" i="19"/>
  <c r="O242" i="19"/>
  <c r="O241" i="19"/>
  <c r="G239" i="19"/>
  <c r="O238" i="19"/>
  <c r="O237" i="19"/>
  <c r="G233" i="19"/>
  <c r="O231" i="19"/>
  <c r="G136" i="19"/>
  <c r="T136" i="19" s="1"/>
  <c r="G123" i="19"/>
  <c r="T123" i="19" s="1"/>
  <c r="G119" i="19"/>
  <c r="G103" i="19"/>
  <c r="T103" i="19" s="1"/>
  <c r="G99" i="19"/>
  <c r="G95" i="19"/>
  <c r="T95" i="19" s="1"/>
  <c r="G91" i="19"/>
  <c r="G87" i="19"/>
  <c r="T87" i="19" s="1"/>
  <c r="G71" i="19"/>
  <c r="G60" i="19"/>
  <c r="G13" i="19"/>
  <c r="G9" i="19"/>
  <c r="T9" i="19" s="1"/>
  <c r="O321" i="19"/>
  <c r="G319" i="19"/>
  <c r="R319" i="19" s="1"/>
  <c r="U319" i="19" s="1"/>
  <c r="O317" i="19"/>
  <c r="G315" i="19"/>
  <c r="O314" i="19"/>
  <c r="O313" i="19"/>
  <c r="O309" i="19"/>
  <c r="G305" i="19"/>
  <c r="O303" i="19"/>
  <c r="G301" i="19"/>
  <c r="R301" i="19" s="1"/>
  <c r="U301" i="19" s="1"/>
  <c r="O299" i="19"/>
  <c r="G299" i="19"/>
  <c r="T299" i="19" s="1"/>
  <c r="G297" i="19"/>
  <c r="O295" i="19"/>
  <c r="Y292" i="19"/>
  <c r="O291" i="19"/>
  <c r="Y288" i="19"/>
  <c r="O287" i="19"/>
  <c r="Y284" i="19"/>
  <c r="O283" i="19"/>
  <c r="R283" i="19" s="1"/>
  <c r="U283" i="19" s="1"/>
  <c r="Y280" i="19"/>
  <c r="O279" i="19"/>
  <c r="Y278" i="19"/>
  <c r="O277" i="19"/>
  <c r="R277" i="19" s="1"/>
  <c r="U277" i="19" s="1"/>
  <c r="Y274" i="19"/>
  <c r="O273" i="19"/>
  <c r="R273" i="19" s="1"/>
  <c r="U273" i="19" s="1"/>
  <c r="Y270" i="19"/>
  <c r="O269" i="19"/>
  <c r="O266" i="19"/>
  <c r="O265" i="19"/>
  <c r="Y310" i="19"/>
  <c r="Y298" i="19"/>
  <c r="Y262" i="19"/>
  <c r="G261" i="19"/>
  <c r="T261" i="19" s="1"/>
  <c r="O259" i="19"/>
  <c r="G257" i="19"/>
  <c r="T257" i="19" s="1"/>
  <c r="O255" i="19"/>
  <c r="O253" i="19"/>
  <c r="G249" i="19"/>
  <c r="T249" i="19" s="1"/>
  <c r="O247" i="19"/>
  <c r="Y244" i="19"/>
  <c r="O243" i="19"/>
  <c r="Y240" i="19"/>
  <c r="O239" i="19"/>
  <c r="Y236" i="19"/>
  <c r="O235" i="19"/>
  <c r="Y234" i="19"/>
  <c r="O233" i="19"/>
  <c r="O230" i="19"/>
  <c r="O229" i="19"/>
  <c r="G227" i="19"/>
  <c r="O226" i="19"/>
  <c r="O225" i="19"/>
  <c r="G223" i="19"/>
  <c r="R223" i="19" s="1"/>
  <c r="U223" i="19" s="1"/>
  <c r="O222" i="19"/>
  <c r="O221" i="19"/>
  <c r="O218" i="19"/>
  <c r="O217" i="19"/>
  <c r="G217" i="19"/>
  <c r="O214" i="19"/>
  <c r="O213" i="19"/>
  <c r="G213" i="19"/>
  <c r="T213" i="19" s="1"/>
  <c r="G211" i="19"/>
  <c r="R211" i="19" s="1"/>
  <c r="U211" i="19" s="1"/>
  <c r="O210" i="19"/>
  <c r="O209" i="19"/>
  <c r="G209" i="19"/>
  <c r="T209" i="19" s="1"/>
  <c r="G207" i="19"/>
  <c r="R207" i="19" s="1"/>
  <c r="U207" i="19" s="1"/>
  <c r="O206" i="19"/>
  <c r="O205" i="19"/>
  <c r="G205" i="19"/>
  <c r="T205" i="19" s="1"/>
  <c r="G203" i="19"/>
  <c r="T203" i="19" s="1"/>
  <c r="O202" i="19"/>
  <c r="O201" i="19"/>
  <c r="G201" i="19"/>
  <c r="O198" i="19"/>
  <c r="O197" i="19"/>
  <c r="G197" i="19"/>
  <c r="G195" i="19"/>
  <c r="R195" i="19" s="1"/>
  <c r="U195" i="19" s="1"/>
  <c r="O194" i="19"/>
  <c r="O193" i="19"/>
  <c r="G193" i="19"/>
  <c r="O191" i="19"/>
  <c r="O187" i="19"/>
  <c r="G187" i="19"/>
  <c r="O183" i="19"/>
  <c r="G183" i="19"/>
  <c r="T183" i="19" s="1"/>
  <c r="O179" i="19"/>
  <c r="O175" i="19"/>
  <c r="O171" i="19"/>
  <c r="O167" i="19"/>
  <c r="G167" i="19"/>
  <c r="T167" i="19" s="1"/>
  <c r="O163" i="19"/>
  <c r="G143" i="19"/>
  <c r="T143" i="19" s="1"/>
  <c r="Y132" i="19"/>
  <c r="Y130" i="19"/>
  <c r="Y126" i="19"/>
  <c r="Y216" i="19"/>
  <c r="Y212" i="19"/>
  <c r="Y208" i="19"/>
  <c r="Y204" i="19"/>
  <c r="Y200" i="19"/>
  <c r="Y196" i="19"/>
  <c r="Y192" i="19"/>
  <c r="Y186" i="19"/>
  <c r="Y182" i="19"/>
  <c r="Y166" i="19"/>
  <c r="O161" i="19"/>
  <c r="Y158" i="19"/>
  <c r="Y142" i="19"/>
  <c r="O137" i="19"/>
  <c r="Y134" i="19"/>
  <c r="O133" i="19"/>
  <c r="G133" i="19"/>
  <c r="G131" i="19"/>
  <c r="R131" i="19" s="1"/>
  <c r="U131" i="19" s="1"/>
  <c r="G127" i="19"/>
  <c r="T127" i="19" s="1"/>
  <c r="Y114" i="19"/>
  <c r="Y110" i="19"/>
  <c r="Y106" i="19"/>
  <c r="Y82" i="19"/>
  <c r="Y78" i="19"/>
  <c r="Y74" i="19"/>
  <c r="Y66" i="19"/>
  <c r="Y63" i="19"/>
  <c r="Y46" i="19"/>
  <c r="O31" i="19"/>
  <c r="O29" i="19"/>
  <c r="Y26" i="19"/>
  <c r="O25" i="19"/>
  <c r="Y22" i="19"/>
  <c r="O21" i="19"/>
  <c r="R21" i="19" s="1"/>
  <c r="U21" i="19" s="1"/>
  <c r="Y18" i="19"/>
  <c r="Y16" i="19"/>
  <c r="O15" i="19"/>
  <c r="O13" i="19"/>
  <c r="R13" i="19" s="1"/>
  <c r="U13" i="19" s="1"/>
  <c r="Y10" i="19"/>
  <c r="O9" i="19"/>
  <c r="O130" i="19"/>
  <c r="O129" i="19"/>
  <c r="O125" i="19"/>
  <c r="O121" i="19"/>
  <c r="O118" i="19"/>
  <c r="G117" i="19"/>
  <c r="R117" i="19" s="1"/>
  <c r="U117" i="19" s="1"/>
  <c r="O115" i="19"/>
  <c r="G115" i="19"/>
  <c r="T115" i="19" s="1"/>
  <c r="G113" i="19"/>
  <c r="T113" i="19" s="1"/>
  <c r="O111" i="19"/>
  <c r="G111" i="19"/>
  <c r="T111" i="19" s="1"/>
  <c r="G109" i="19"/>
  <c r="T109" i="19" s="1"/>
  <c r="O107" i="19"/>
  <c r="G107" i="19"/>
  <c r="T107" i="19" s="1"/>
  <c r="O105" i="19"/>
  <c r="O98" i="19"/>
  <c r="O97" i="19"/>
  <c r="O93" i="19"/>
  <c r="O89" i="19"/>
  <c r="O86" i="19"/>
  <c r="G85" i="19"/>
  <c r="O83" i="19"/>
  <c r="G83" i="19"/>
  <c r="T83" i="19" s="1"/>
  <c r="G81" i="19"/>
  <c r="O79" i="19"/>
  <c r="G79" i="19"/>
  <c r="T79" i="19" s="1"/>
  <c r="G77" i="19"/>
  <c r="T77" i="19" s="1"/>
  <c r="O75" i="19"/>
  <c r="G75" i="19"/>
  <c r="O73" i="19"/>
  <c r="G69" i="19"/>
  <c r="O67" i="19"/>
  <c r="G67" i="19"/>
  <c r="G65" i="19"/>
  <c r="R65" i="19" s="1"/>
  <c r="U65" i="19" s="1"/>
  <c r="O64" i="19"/>
  <c r="G64" i="19"/>
  <c r="T64" i="19" s="1"/>
  <c r="O62" i="19"/>
  <c r="O59" i="19"/>
  <c r="O58" i="19"/>
  <c r="O56" i="19"/>
  <c r="O51" i="19"/>
  <c r="O50" i="19"/>
  <c r="G49" i="19"/>
  <c r="O47" i="19"/>
  <c r="G47" i="19"/>
  <c r="O45" i="19"/>
  <c r="O42" i="19"/>
  <c r="O41" i="19"/>
  <c r="O37" i="19"/>
  <c r="O33" i="19"/>
  <c r="G27" i="19"/>
  <c r="R27" i="19" s="1"/>
  <c r="U27" i="19" s="1"/>
  <c r="G23" i="19"/>
  <c r="T23" i="19" s="1"/>
  <c r="G19" i="19"/>
  <c r="G11" i="19"/>
  <c r="Y319" i="19"/>
  <c r="Y315" i="19"/>
  <c r="Y311" i="19"/>
  <c r="Y307" i="19"/>
  <c r="T307" i="19"/>
  <c r="Y301" i="19"/>
  <c r="G300" i="19"/>
  <c r="T300" i="19" s="1"/>
  <c r="G296" i="19"/>
  <c r="G295" i="19"/>
  <c r="Y291" i="19"/>
  <c r="Y287" i="19"/>
  <c r="Y283" i="19"/>
  <c r="T283" i="19"/>
  <c r="Y279" i="19"/>
  <c r="G276" i="19"/>
  <c r="Y273" i="19"/>
  <c r="G272" i="19"/>
  <c r="T272" i="19" s="1"/>
  <c r="Y269" i="19"/>
  <c r="G268" i="19"/>
  <c r="G267" i="19"/>
  <c r="R267" i="19" s="1"/>
  <c r="U267" i="19" s="1"/>
  <c r="Y263" i="19"/>
  <c r="G260" i="19"/>
  <c r="Y257" i="19"/>
  <c r="G256" i="19"/>
  <c r="T256" i="19" s="1"/>
  <c r="Y251" i="19"/>
  <c r="G321" i="19"/>
  <c r="R321" i="19" s="1"/>
  <c r="U321" i="19" s="1"/>
  <c r="Y318" i="19"/>
  <c r="Y317" i="19"/>
  <c r="G317" i="19"/>
  <c r="T317" i="19" s="1"/>
  <c r="G316" i="19"/>
  <c r="T316" i="19" s="1"/>
  <c r="Y314" i="19"/>
  <c r="Y313" i="19"/>
  <c r="G313" i="19"/>
  <c r="T313" i="19" s="1"/>
  <c r="G312" i="19"/>
  <c r="G311" i="19"/>
  <c r="T311" i="19" s="1"/>
  <c r="O310" i="19"/>
  <c r="G309" i="19"/>
  <c r="R309" i="19" s="1"/>
  <c r="U309" i="19" s="1"/>
  <c r="Y304" i="19"/>
  <c r="Y303" i="19"/>
  <c r="G303" i="19"/>
  <c r="R303" i="19" s="1"/>
  <c r="U303" i="19" s="1"/>
  <c r="Y300" i="19"/>
  <c r="Y299" i="19"/>
  <c r="O298" i="19"/>
  <c r="Y296" i="19"/>
  <c r="Y295" i="19"/>
  <c r="G293" i="19"/>
  <c r="R293" i="19" s="1"/>
  <c r="U293" i="19" s="1"/>
  <c r="G292" i="19"/>
  <c r="Y290" i="19"/>
  <c r="Y289" i="19"/>
  <c r="G289" i="19"/>
  <c r="T289" i="19" s="1"/>
  <c r="G288" i="19"/>
  <c r="Y286" i="19"/>
  <c r="Y285" i="19"/>
  <c r="G285" i="19"/>
  <c r="T285" i="19" s="1"/>
  <c r="G284" i="19"/>
  <c r="G280" i="19"/>
  <c r="T280" i="19" s="1"/>
  <c r="G279" i="19"/>
  <c r="O278" i="19"/>
  <c r="Y276" i="19"/>
  <c r="Y275" i="19"/>
  <c r="G275" i="19"/>
  <c r="R275" i="19" s="1"/>
  <c r="U275" i="19" s="1"/>
  <c r="O274" i="19"/>
  <c r="Y272" i="19"/>
  <c r="Y271" i="19"/>
  <c r="G271" i="19"/>
  <c r="R271" i="19" s="1"/>
  <c r="U271" i="19" s="1"/>
  <c r="O270" i="19"/>
  <c r="Y268" i="19"/>
  <c r="Y267" i="19"/>
  <c r="G265" i="19"/>
  <c r="T265" i="19" s="1"/>
  <c r="G264" i="19"/>
  <c r="G263" i="19"/>
  <c r="O262" i="19"/>
  <c r="Y260" i="19"/>
  <c r="Y259" i="19"/>
  <c r="G259" i="19"/>
  <c r="O258" i="19"/>
  <c r="Y256" i="19"/>
  <c r="Y255" i="19"/>
  <c r="G255" i="19"/>
  <c r="R255" i="19" s="1"/>
  <c r="U255" i="19" s="1"/>
  <c r="O254" i="19"/>
  <c r="Y250" i="19"/>
  <c r="Y253" i="19"/>
  <c r="G253" i="19"/>
  <c r="G252" i="19"/>
  <c r="T252" i="19" s="1"/>
  <c r="G251" i="19"/>
  <c r="T251" i="19" s="1"/>
  <c r="O250" i="19"/>
  <c r="Y248" i="19"/>
  <c r="Y247" i="19"/>
  <c r="G245" i="19"/>
  <c r="T245" i="19" s="1"/>
  <c r="G244" i="19"/>
  <c r="T244" i="19" s="1"/>
  <c r="Y242" i="19"/>
  <c r="Y241" i="19"/>
  <c r="G241" i="19"/>
  <c r="T241" i="19" s="1"/>
  <c r="G240" i="19"/>
  <c r="T240" i="19" s="1"/>
  <c r="Y238" i="19"/>
  <c r="Y237" i="19"/>
  <c r="G237" i="19"/>
  <c r="G236" i="19"/>
  <c r="T236" i="19" s="1"/>
  <c r="G235" i="19"/>
  <c r="T235" i="19" s="1"/>
  <c r="O234" i="19"/>
  <c r="Y232" i="19"/>
  <c r="Y231" i="19"/>
  <c r="G229" i="19"/>
  <c r="G228" i="19"/>
  <c r="T228" i="19" s="1"/>
  <c r="Y226" i="19"/>
  <c r="Y225" i="19"/>
  <c r="G225" i="19"/>
  <c r="G224" i="19"/>
  <c r="T224" i="19" s="1"/>
  <c r="Y222" i="19"/>
  <c r="Y221" i="19"/>
  <c r="G221" i="19"/>
  <c r="G220" i="19"/>
  <c r="T220" i="19" s="1"/>
  <c r="G216" i="19"/>
  <c r="T216" i="19" s="1"/>
  <c r="G212" i="19"/>
  <c r="T212" i="19" s="1"/>
  <c r="Y210" i="19"/>
  <c r="Y209" i="19"/>
  <c r="G208" i="19"/>
  <c r="T208" i="19" s="1"/>
  <c r="Y206" i="19"/>
  <c r="Y205" i="19"/>
  <c r="G204" i="19"/>
  <c r="T204" i="19" s="1"/>
  <c r="Y202" i="19"/>
  <c r="Y201" i="19"/>
  <c r="G200" i="19"/>
  <c r="G196" i="19"/>
  <c r="T196" i="19" s="1"/>
  <c r="Y194" i="19"/>
  <c r="Y193" i="19"/>
  <c r="G192" i="19"/>
  <c r="T192" i="19" s="1"/>
  <c r="G191" i="19"/>
  <c r="R191" i="19" s="1"/>
  <c r="U191" i="19" s="1"/>
  <c r="O190" i="19"/>
  <c r="O186" i="19"/>
  <c r="O182" i="19"/>
  <c r="G179" i="19"/>
  <c r="R179" i="19" s="1"/>
  <c r="U179" i="19" s="1"/>
  <c r="O178" i="19"/>
  <c r="G175" i="19"/>
  <c r="T175" i="19" s="1"/>
  <c r="O174" i="19"/>
  <c r="G171" i="19"/>
  <c r="R171" i="19" s="1"/>
  <c r="U171" i="19" s="1"/>
  <c r="O170" i="19"/>
  <c r="O166" i="19"/>
  <c r="G163" i="19"/>
  <c r="O162" i="19"/>
  <c r="G159" i="19"/>
  <c r="R159" i="19" s="1"/>
  <c r="U159" i="19" s="1"/>
  <c r="O158" i="19"/>
  <c r="O157" i="19"/>
  <c r="G157" i="19"/>
  <c r="T157" i="19" s="1"/>
  <c r="O155" i="19"/>
  <c r="G155" i="19"/>
  <c r="T155" i="19" s="1"/>
  <c r="O153" i="19"/>
  <c r="G153" i="19"/>
  <c r="T153" i="19" s="1"/>
  <c r="O151" i="19"/>
  <c r="G151" i="19"/>
  <c r="T151" i="19" s="1"/>
  <c r="O150" i="19"/>
  <c r="O149" i="19"/>
  <c r="G149" i="19"/>
  <c r="T149" i="19" s="1"/>
  <c r="O147" i="19"/>
  <c r="G147" i="19"/>
  <c r="O145" i="19"/>
  <c r="G145" i="19"/>
  <c r="G144" i="19"/>
  <c r="T144" i="19" s="1"/>
  <c r="O142" i="19"/>
  <c r="O141" i="19"/>
  <c r="G141" i="19"/>
  <c r="O139" i="19"/>
  <c r="G139" i="19"/>
  <c r="T139" i="19" s="1"/>
  <c r="Y136" i="19"/>
  <c r="O135" i="19"/>
  <c r="G135" i="19"/>
  <c r="Y133" i="19"/>
  <c r="O132" i="19"/>
  <c r="R132" i="19" s="1"/>
  <c r="U132" i="19" s="1"/>
  <c r="G132" i="19"/>
  <c r="T132" i="19" s="1"/>
  <c r="G129" i="19"/>
  <c r="T129" i="19" s="1"/>
  <c r="G128" i="19"/>
  <c r="T128" i="19" s="1"/>
  <c r="G125" i="19"/>
  <c r="T125" i="19" s="1"/>
  <c r="G124" i="19"/>
  <c r="T124" i="19" s="1"/>
  <c r="G121" i="19"/>
  <c r="T121" i="19" s="1"/>
  <c r="Y116" i="19"/>
  <c r="Y115" i="19"/>
  <c r="O114" i="19"/>
  <c r="Y112" i="19"/>
  <c r="Y111" i="19"/>
  <c r="Y108" i="19"/>
  <c r="Y107" i="19"/>
  <c r="G105" i="19"/>
  <c r="G248" i="19"/>
  <c r="T248" i="19" s="1"/>
  <c r="G247" i="19"/>
  <c r="R247" i="19" s="1"/>
  <c r="U247" i="19" s="1"/>
  <c r="Y243" i="19"/>
  <c r="Y239" i="19"/>
  <c r="Y235" i="19"/>
  <c r="G232" i="19"/>
  <c r="T232" i="19" s="1"/>
  <c r="G231" i="19"/>
  <c r="T231" i="19" s="1"/>
  <c r="Y227" i="19"/>
  <c r="Y223" i="19"/>
  <c r="T207" i="19"/>
  <c r="Y189" i="19"/>
  <c r="G188" i="19"/>
  <c r="T188" i="19" s="1"/>
  <c r="G184" i="19"/>
  <c r="T184" i="19" s="1"/>
  <c r="G180" i="19"/>
  <c r="T180" i="19" s="1"/>
  <c r="Y177" i="19"/>
  <c r="G176" i="19"/>
  <c r="T176" i="19" s="1"/>
  <c r="Y156" i="19"/>
  <c r="Y155" i="19"/>
  <c r="Y154" i="19"/>
  <c r="Y152" i="19"/>
  <c r="Y151" i="19"/>
  <c r="Y150" i="19"/>
  <c r="Y148" i="19"/>
  <c r="Y147" i="19"/>
  <c r="Y146" i="19"/>
  <c r="Y144" i="19"/>
  <c r="Y143" i="19"/>
  <c r="Y140" i="19"/>
  <c r="Y139" i="19"/>
  <c r="Y138" i="19"/>
  <c r="Y131" i="19"/>
  <c r="Y127" i="19"/>
  <c r="Y123" i="19"/>
  <c r="Y119" i="19"/>
  <c r="G108" i="19"/>
  <c r="Y103" i="19"/>
  <c r="R49" i="19"/>
  <c r="U49" i="19" s="1"/>
  <c r="G101" i="19"/>
  <c r="R101" i="19" s="1"/>
  <c r="U101" i="19" s="1"/>
  <c r="G97" i="19"/>
  <c r="T97" i="19" s="1"/>
  <c r="G93" i="19"/>
  <c r="T93" i="19" s="1"/>
  <c r="G92" i="19"/>
  <c r="G89" i="19"/>
  <c r="T89" i="19" s="1"/>
  <c r="Y84" i="19"/>
  <c r="Y83" i="19"/>
  <c r="O82" i="19"/>
  <c r="Y80" i="19"/>
  <c r="Y79" i="19"/>
  <c r="Y76" i="19"/>
  <c r="Y75" i="19"/>
  <c r="G73" i="19"/>
  <c r="T73" i="19" s="1"/>
  <c r="Y68" i="19"/>
  <c r="Y67" i="19"/>
  <c r="O66" i="19"/>
  <c r="G62" i="19"/>
  <c r="R62" i="19" s="1"/>
  <c r="U62" i="19" s="1"/>
  <c r="O61" i="19"/>
  <c r="Y57" i="19"/>
  <c r="Y54" i="19"/>
  <c r="Y53" i="19"/>
  <c r="Y48" i="19"/>
  <c r="Y47" i="19"/>
  <c r="G45" i="19"/>
  <c r="G41" i="19"/>
  <c r="T41" i="19" s="1"/>
  <c r="G37" i="19"/>
  <c r="T37" i="19" s="1"/>
  <c r="G36" i="19"/>
  <c r="T36" i="19" s="1"/>
  <c r="G33" i="19"/>
  <c r="T33" i="19" s="1"/>
  <c r="Y28" i="19"/>
  <c r="Y27" i="19"/>
  <c r="O26" i="19"/>
  <c r="Y24" i="19"/>
  <c r="Y23" i="19"/>
  <c r="Y20" i="19"/>
  <c r="Y19" i="19"/>
  <c r="G17" i="19"/>
  <c r="R17" i="19" s="1"/>
  <c r="U17" i="19" s="1"/>
  <c r="Y12" i="19"/>
  <c r="Y11" i="19"/>
  <c r="O10" i="19"/>
  <c r="Y8" i="19"/>
  <c r="Y99" i="19"/>
  <c r="Y95" i="19"/>
  <c r="Y91" i="19"/>
  <c r="Y87" i="19"/>
  <c r="G76" i="19"/>
  <c r="T76" i="19" s="1"/>
  <c r="Y71" i="19"/>
  <c r="T65" i="19"/>
  <c r="G58" i="19"/>
  <c r="R58" i="19" s="1"/>
  <c r="U58" i="19" s="1"/>
  <c r="G57" i="19"/>
  <c r="T57" i="19" s="1"/>
  <c r="G54" i="19"/>
  <c r="T54" i="19" s="1"/>
  <c r="G53" i="19"/>
  <c r="T53" i="19" s="1"/>
  <c r="Y43" i="19"/>
  <c r="Y39" i="19"/>
  <c r="Y35" i="19"/>
  <c r="Y31" i="19"/>
  <c r="T25" i="19"/>
  <c r="G20" i="19"/>
  <c r="T20" i="19" s="1"/>
  <c r="Y15" i="19"/>
  <c r="T319" i="19"/>
  <c r="T287" i="19"/>
  <c r="T275" i="19"/>
  <c r="T243" i="19"/>
  <c r="T315" i="19"/>
  <c r="T295" i="19"/>
  <c r="T291" i="19"/>
  <c r="T323" i="19"/>
  <c r="R323" i="19"/>
  <c r="U323" i="19" s="1"/>
  <c r="R311" i="19"/>
  <c r="U311" i="19" s="1"/>
  <c r="T263" i="19"/>
  <c r="T239" i="19"/>
  <c r="T227" i="19"/>
  <c r="R227" i="19"/>
  <c r="U227" i="19" s="1"/>
  <c r="T296" i="19"/>
  <c r="R289" i="19"/>
  <c r="U289" i="19" s="1"/>
  <c r="T200" i="19"/>
  <c r="T179" i="19"/>
  <c r="G324" i="19"/>
  <c r="G308" i="19"/>
  <c r="O306" i="19"/>
  <c r="Y293" i="19"/>
  <c r="T277" i="19"/>
  <c r="T268" i="19"/>
  <c r="Y229" i="19"/>
  <c r="T229" i="19"/>
  <c r="T219" i="19"/>
  <c r="T187" i="19"/>
  <c r="T27" i="19"/>
  <c r="Y321" i="19"/>
  <c r="G320" i="19"/>
  <c r="O318" i="19"/>
  <c r="R307" i="19"/>
  <c r="U307" i="19" s="1"/>
  <c r="Y305" i="19"/>
  <c r="G304" i="19"/>
  <c r="O302" i="19"/>
  <c r="R299" i="19"/>
  <c r="U299" i="19" s="1"/>
  <c r="Y297" i="19"/>
  <c r="T297" i="19"/>
  <c r="R297" i="19"/>
  <c r="U297" i="19" s="1"/>
  <c r="T288" i="19"/>
  <c r="Y281" i="19"/>
  <c r="Y265" i="19"/>
  <c r="Y249" i="19"/>
  <c r="Y233" i="19"/>
  <c r="T233" i="19"/>
  <c r="Y217" i="19"/>
  <c r="T217" i="19"/>
  <c r="T195" i="19"/>
  <c r="R187" i="19"/>
  <c r="U187" i="19" s="1"/>
  <c r="Y185" i="19"/>
  <c r="T163" i="19"/>
  <c r="R155" i="19"/>
  <c r="U155" i="19" s="1"/>
  <c r="T264" i="19"/>
  <c r="T225" i="19"/>
  <c r="R225" i="19"/>
  <c r="U225" i="19" s="1"/>
  <c r="O322" i="19"/>
  <c r="R317" i="19"/>
  <c r="U317" i="19" s="1"/>
  <c r="Y309" i="19"/>
  <c r="T293" i="19"/>
  <c r="T284" i="19"/>
  <c r="Y277" i="19"/>
  <c r="Y261" i="19"/>
  <c r="Y245" i="19"/>
  <c r="T312" i="19"/>
  <c r="T292" i="19"/>
  <c r="T276" i="19"/>
  <c r="T260" i="19"/>
  <c r="T253" i="19"/>
  <c r="R253" i="19"/>
  <c r="U253" i="19" s="1"/>
  <c r="T237" i="19"/>
  <c r="T221" i="19"/>
  <c r="R221" i="19"/>
  <c r="U221" i="19" s="1"/>
  <c r="T199" i="19"/>
  <c r="R167" i="19"/>
  <c r="U167" i="19" s="1"/>
  <c r="R143" i="19"/>
  <c r="U143" i="19" s="1"/>
  <c r="T137" i="19"/>
  <c r="R137" i="19"/>
  <c r="U137" i="19" s="1"/>
  <c r="G322" i="19"/>
  <c r="O320" i="19"/>
  <c r="G318" i="19"/>
  <c r="O316" i="19"/>
  <c r="R316" i="19" s="1"/>
  <c r="U316" i="19" s="1"/>
  <c r="G314" i="19"/>
  <c r="O312" i="19"/>
  <c r="R312" i="19" s="1"/>
  <c r="U312" i="19" s="1"/>
  <c r="G310" i="19"/>
  <c r="O308" i="19"/>
  <c r="G306" i="19"/>
  <c r="O304" i="19"/>
  <c r="G302" i="19"/>
  <c r="O300" i="19"/>
  <c r="G298" i="19"/>
  <c r="O296" i="19"/>
  <c r="G294" i="19"/>
  <c r="O292" i="19"/>
  <c r="R292" i="19" s="1"/>
  <c r="U292" i="19" s="1"/>
  <c r="G290" i="19"/>
  <c r="O288" i="19"/>
  <c r="R288" i="19" s="1"/>
  <c r="U288" i="19" s="1"/>
  <c r="G286" i="19"/>
  <c r="O284" i="19"/>
  <c r="R284" i="19" s="1"/>
  <c r="U284" i="19" s="1"/>
  <c r="G282" i="19"/>
  <c r="O280" i="19"/>
  <c r="G278" i="19"/>
  <c r="O276" i="19"/>
  <c r="R276" i="19" s="1"/>
  <c r="U276" i="19" s="1"/>
  <c r="G274" i="19"/>
  <c r="O272" i="19"/>
  <c r="G270" i="19"/>
  <c r="O268" i="19"/>
  <c r="R268" i="19" s="1"/>
  <c r="U268" i="19" s="1"/>
  <c r="G266" i="19"/>
  <c r="O264" i="19"/>
  <c r="R264" i="19" s="1"/>
  <c r="U264" i="19" s="1"/>
  <c r="G262" i="19"/>
  <c r="O260" i="19"/>
  <c r="R260" i="19" s="1"/>
  <c r="U260" i="19" s="1"/>
  <c r="G258" i="19"/>
  <c r="O256" i="19"/>
  <c r="G254" i="19"/>
  <c r="O252" i="19"/>
  <c r="R252" i="19" s="1"/>
  <c r="U252" i="19" s="1"/>
  <c r="G250" i="19"/>
  <c r="O248" i="19"/>
  <c r="G246" i="19"/>
  <c r="O244" i="19"/>
  <c r="R244" i="19" s="1"/>
  <c r="U244" i="19" s="1"/>
  <c r="G242" i="19"/>
  <c r="O240" i="19"/>
  <c r="R240" i="19" s="1"/>
  <c r="U240" i="19" s="1"/>
  <c r="G238" i="19"/>
  <c r="O236" i="19"/>
  <c r="R236" i="19" s="1"/>
  <c r="U236" i="19" s="1"/>
  <c r="G234" i="19"/>
  <c r="O232" i="19"/>
  <c r="G230" i="19"/>
  <c r="O228" i="19"/>
  <c r="R228" i="19" s="1"/>
  <c r="U228" i="19" s="1"/>
  <c r="G226" i="19"/>
  <c r="O224" i="19"/>
  <c r="G222" i="19"/>
  <c r="O220" i="19"/>
  <c r="R220" i="19" s="1"/>
  <c r="U220" i="19" s="1"/>
  <c r="G218" i="19"/>
  <c r="Y213" i="19"/>
  <c r="Y197" i="19"/>
  <c r="Y181" i="19"/>
  <c r="G152" i="19"/>
  <c r="G96" i="19"/>
  <c r="R147" i="19"/>
  <c r="U147" i="19" s="1"/>
  <c r="T147" i="19"/>
  <c r="T145" i="19"/>
  <c r="T108" i="19"/>
  <c r="O216" i="19"/>
  <c r="G214" i="19"/>
  <c r="O212" i="19"/>
  <c r="R212" i="19" s="1"/>
  <c r="U212" i="19" s="1"/>
  <c r="G210" i="19"/>
  <c r="O208" i="19"/>
  <c r="R208" i="19" s="1"/>
  <c r="U208" i="19" s="1"/>
  <c r="G206" i="19"/>
  <c r="O204" i="19"/>
  <c r="G202" i="19"/>
  <c r="T201" i="19"/>
  <c r="O200" i="19"/>
  <c r="R200" i="19" s="1"/>
  <c r="U200" i="19" s="1"/>
  <c r="G198" i="19"/>
  <c r="T197" i="19"/>
  <c r="O196" i="19"/>
  <c r="G194" i="19"/>
  <c r="T193" i="19"/>
  <c r="O192" i="19"/>
  <c r="G190" i="19"/>
  <c r="T189" i="19"/>
  <c r="O188" i="19"/>
  <c r="R188" i="19" s="1"/>
  <c r="U188" i="19" s="1"/>
  <c r="G186" i="19"/>
  <c r="T185" i="19"/>
  <c r="O184" i="19"/>
  <c r="R184" i="19" s="1"/>
  <c r="U184" i="19" s="1"/>
  <c r="G182" i="19"/>
  <c r="T181" i="19"/>
  <c r="O180" i="19"/>
  <c r="R180" i="19" s="1"/>
  <c r="U180" i="19" s="1"/>
  <c r="G178" i="19"/>
  <c r="T177" i="19"/>
  <c r="O176" i="19"/>
  <c r="T173" i="19"/>
  <c r="O172" i="19"/>
  <c r="O168" i="19"/>
  <c r="T165" i="19"/>
  <c r="O164" i="19"/>
  <c r="T161" i="19"/>
  <c r="O160" i="19"/>
  <c r="R157" i="19"/>
  <c r="U157" i="19" s="1"/>
  <c r="O154" i="19"/>
  <c r="O146" i="19"/>
  <c r="R141" i="19"/>
  <c r="U141" i="19" s="1"/>
  <c r="T141" i="19"/>
  <c r="O138" i="19"/>
  <c r="T135" i="19"/>
  <c r="T133" i="19"/>
  <c r="T131" i="19"/>
  <c r="R111" i="19"/>
  <c r="U111" i="19" s="1"/>
  <c r="R109" i="19"/>
  <c r="U109" i="19" s="1"/>
  <c r="O102" i="19"/>
  <c r="T99" i="19"/>
  <c r="R99" i="19"/>
  <c r="U99" i="19" s="1"/>
  <c r="T92" i="19"/>
  <c r="R77" i="19"/>
  <c r="U77" i="19" s="1"/>
  <c r="O70" i="19"/>
  <c r="T67" i="19"/>
  <c r="R56" i="19"/>
  <c r="U56" i="19" s="1"/>
  <c r="T39" i="19"/>
  <c r="R39" i="19"/>
  <c r="U39" i="19" s="1"/>
  <c r="G8" i="19"/>
  <c r="Y219" i="19"/>
  <c r="Y215" i="19"/>
  <c r="Y211" i="19"/>
  <c r="R209" i="19"/>
  <c r="U209" i="19" s="1"/>
  <c r="Y207" i="19"/>
  <c r="Y203" i="19"/>
  <c r="R201" i="19"/>
  <c r="U201" i="19" s="1"/>
  <c r="Y199" i="19"/>
  <c r="R197" i="19"/>
  <c r="U197" i="19" s="1"/>
  <c r="Y195" i="19"/>
  <c r="R193" i="19"/>
  <c r="U193" i="19" s="1"/>
  <c r="Y191" i="19"/>
  <c r="R189" i="19"/>
  <c r="U189" i="19" s="1"/>
  <c r="Y187" i="19"/>
  <c r="R185" i="19"/>
  <c r="U185" i="19" s="1"/>
  <c r="Y183" i="19"/>
  <c r="R181" i="19"/>
  <c r="U181" i="19" s="1"/>
  <c r="Y179" i="19"/>
  <c r="R177" i="19"/>
  <c r="U177" i="19" s="1"/>
  <c r="Y175" i="19"/>
  <c r="R173" i="19"/>
  <c r="U173" i="19" s="1"/>
  <c r="R165" i="19"/>
  <c r="U165" i="19" s="1"/>
  <c r="G156" i="19"/>
  <c r="G148" i="19"/>
  <c r="G140" i="19"/>
  <c r="G134" i="19"/>
  <c r="G112" i="19"/>
  <c r="G80" i="19"/>
  <c r="T62" i="19"/>
  <c r="G174" i="19"/>
  <c r="G172" i="19"/>
  <c r="G170" i="19"/>
  <c r="G168" i="19"/>
  <c r="G166" i="19"/>
  <c r="G164" i="19"/>
  <c r="G162" i="19"/>
  <c r="G160" i="19"/>
  <c r="G158" i="19"/>
  <c r="O156" i="19"/>
  <c r="G154" i="19"/>
  <c r="O152" i="19"/>
  <c r="G150" i="19"/>
  <c r="O148" i="19"/>
  <c r="G146" i="19"/>
  <c r="O144" i="19"/>
  <c r="R144" i="19" s="1"/>
  <c r="U144" i="19" s="1"/>
  <c r="G142" i="19"/>
  <c r="O140" i="19"/>
  <c r="G138" i="19"/>
  <c r="O134" i="19"/>
  <c r="O126" i="19"/>
  <c r="R123" i="19"/>
  <c r="U123" i="19" s="1"/>
  <c r="G120" i="19"/>
  <c r="R113" i="19"/>
  <c r="U113" i="19" s="1"/>
  <c r="O110" i="19"/>
  <c r="R107" i="19"/>
  <c r="U107" i="19" s="1"/>
  <c r="G104" i="19"/>
  <c r="T101" i="19"/>
  <c r="O94" i="19"/>
  <c r="T91" i="19"/>
  <c r="G88" i="19"/>
  <c r="T85" i="19"/>
  <c r="O78" i="19"/>
  <c r="T75" i="19"/>
  <c r="R75" i="19"/>
  <c r="U75" i="19" s="1"/>
  <c r="G72" i="19"/>
  <c r="T69" i="19"/>
  <c r="Y173" i="19"/>
  <c r="Y171" i="19"/>
  <c r="Y169" i="19"/>
  <c r="Y167" i="19"/>
  <c r="Y165" i="19"/>
  <c r="Y163" i="19"/>
  <c r="Y161" i="19"/>
  <c r="Y159" i="19"/>
  <c r="Y157" i="19"/>
  <c r="Y153" i="19"/>
  <c r="Y149" i="19"/>
  <c r="Y145" i="19"/>
  <c r="Y141" i="19"/>
  <c r="Y137" i="19"/>
  <c r="O122" i="19"/>
  <c r="T119" i="19"/>
  <c r="R119" i="19"/>
  <c r="U119" i="19" s="1"/>
  <c r="G116" i="19"/>
  <c r="O106" i="19"/>
  <c r="R103" i="19"/>
  <c r="U103" i="19" s="1"/>
  <c r="G100" i="19"/>
  <c r="O90" i="19"/>
  <c r="R87" i="19"/>
  <c r="U87" i="19" s="1"/>
  <c r="G84" i="19"/>
  <c r="O74" i="19"/>
  <c r="T71" i="19"/>
  <c r="R71" i="19"/>
  <c r="U71" i="19" s="1"/>
  <c r="R54" i="19"/>
  <c r="U54" i="19" s="1"/>
  <c r="G40" i="19"/>
  <c r="G130" i="19"/>
  <c r="O128" i="19"/>
  <c r="R128" i="19" s="1"/>
  <c r="U128" i="19" s="1"/>
  <c r="G126" i="19"/>
  <c r="O124" i="19"/>
  <c r="G122" i="19"/>
  <c r="O120" i="19"/>
  <c r="G118" i="19"/>
  <c r="O116" i="19"/>
  <c r="G114" i="19"/>
  <c r="O112" i="19"/>
  <c r="G110" i="19"/>
  <c r="O108" i="19"/>
  <c r="R108" i="19" s="1"/>
  <c r="U108" i="19" s="1"/>
  <c r="G106" i="19"/>
  <c r="O104" i="19"/>
  <c r="G102" i="19"/>
  <c r="O100" i="19"/>
  <c r="G98" i="19"/>
  <c r="O96" i="19"/>
  <c r="G94" i="19"/>
  <c r="O92" i="19"/>
  <c r="G90" i="19"/>
  <c r="O88" i="19"/>
  <c r="G86" i="19"/>
  <c r="O84" i="19"/>
  <c r="G82" i="19"/>
  <c r="O80" i="19"/>
  <c r="G78" i="19"/>
  <c r="O76" i="19"/>
  <c r="G74" i="19"/>
  <c r="O72" i="19"/>
  <c r="G70" i="19"/>
  <c r="O68" i="19"/>
  <c r="G66" i="19"/>
  <c r="T58" i="19"/>
  <c r="T49" i="19"/>
  <c r="G24" i="19"/>
  <c r="Y129" i="19"/>
  <c r="Y125" i="19"/>
  <c r="Y121" i="19"/>
  <c r="Y117" i="19"/>
  <c r="Y113" i="19"/>
  <c r="Y109" i="19"/>
  <c r="Y105" i="19"/>
  <c r="Y101" i="19"/>
  <c r="Y97" i="19"/>
  <c r="Y93" i="19"/>
  <c r="Y89" i="19"/>
  <c r="Y85" i="19"/>
  <c r="Y81" i="19"/>
  <c r="Y77" i="19"/>
  <c r="Y73" i="19"/>
  <c r="Y69" i="19"/>
  <c r="Y65" i="19"/>
  <c r="O63" i="19"/>
  <c r="Y58" i="19"/>
  <c r="R52" i="19"/>
  <c r="U52" i="19" s="1"/>
  <c r="Y50" i="19"/>
  <c r="O46" i="19"/>
  <c r="T43" i="19"/>
  <c r="R23" i="19"/>
  <c r="U23" i="19" s="1"/>
  <c r="T21" i="19"/>
  <c r="O14" i="19"/>
  <c r="T11" i="19"/>
  <c r="G63" i="19"/>
  <c r="G61" i="19"/>
  <c r="Y56" i="19"/>
  <c r="Y52" i="19"/>
  <c r="G48" i="19"/>
  <c r="O38" i="19"/>
  <c r="T35" i="19"/>
  <c r="G32" i="19"/>
  <c r="T29" i="19"/>
  <c r="R25" i="19"/>
  <c r="U25" i="19" s="1"/>
  <c r="O22" i="19"/>
  <c r="T19" i="19"/>
  <c r="G16" i="19"/>
  <c r="T13" i="19"/>
  <c r="R9" i="19"/>
  <c r="U9" i="19" s="1"/>
  <c r="Y64" i="19"/>
  <c r="Y62" i="19"/>
  <c r="Y60" i="19"/>
  <c r="G59" i="19"/>
  <c r="O57" i="19"/>
  <c r="R57" i="19" s="1"/>
  <c r="U57" i="19" s="1"/>
  <c r="G55" i="19"/>
  <c r="O53" i="19"/>
  <c r="G51" i="19"/>
  <c r="T47" i="19"/>
  <c r="R47" i="19"/>
  <c r="U47" i="19" s="1"/>
  <c r="G44" i="19"/>
  <c r="O34" i="19"/>
  <c r="T31" i="19"/>
  <c r="G28" i="19"/>
  <c r="O18" i="19"/>
  <c r="T15" i="19"/>
  <c r="R15" i="19"/>
  <c r="U15" i="19" s="1"/>
  <c r="G12" i="19"/>
  <c r="G50" i="19"/>
  <c r="O48" i="19"/>
  <c r="G46" i="19"/>
  <c r="O44" i="19"/>
  <c r="G42" i="19"/>
  <c r="O40" i="19"/>
  <c r="G38" i="19"/>
  <c r="O36" i="19"/>
  <c r="G34" i="19"/>
  <c r="O32" i="19"/>
  <c r="G30" i="19"/>
  <c r="O28" i="19"/>
  <c r="G26" i="19"/>
  <c r="O24" i="19"/>
  <c r="G22" i="19"/>
  <c r="O20" i="19"/>
  <c r="G18" i="19"/>
  <c r="O16" i="19"/>
  <c r="G14" i="19"/>
  <c r="O12" i="19"/>
  <c r="G10" i="19"/>
  <c r="O8" i="19"/>
  <c r="Y49" i="19"/>
  <c r="Y45" i="19"/>
  <c r="Y41" i="19"/>
  <c r="Y37" i="19"/>
  <c r="Y33" i="19"/>
  <c r="Y29" i="19"/>
  <c r="Y25" i="19"/>
  <c r="Y21" i="19"/>
  <c r="Y17" i="19"/>
  <c r="Y13" i="19"/>
  <c r="Y9" i="19"/>
  <c r="M7" i="42"/>
  <c r="X7" i="42" s="1"/>
  <c r="R121" i="19" l="1"/>
  <c r="U121" i="19" s="1"/>
  <c r="R145" i="19"/>
  <c r="U145" i="19" s="1"/>
  <c r="R265" i="19"/>
  <c r="U265" i="19" s="1"/>
  <c r="R37" i="19"/>
  <c r="U37" i="19" s="1"/>
  <c r="R300" i="19"/>
  <c r="U300" i="19" s="1"/>
  <c r="R285" i="19"/>
  <c r="U285" i="19" s="1"/>
  <c r="R263" i="19"/>
  <c r="U263" i="19" s="1"/>
  <c r="R257" i="19"/>
  <c r="U257" i="19" s="1"/>
  <c r="R248" i="19"/>
  <c r="U248" i="19" s="1"/>
  <c r="T211" i="19"/>
  <c r="R196" i="19"/>
  <c r="U196" i="19" s="1"/>
  <c r="R11" i="19"/>
  <c r="U11" i="19" s="1"/>
  <c r="R192" i="19"/>
  <c r="U192" i="19" s="1"/>
  <c r="T159" i="19"/>
  <c r="R125" i="19"/>
  <c r="U125" i="19" s="1"/>
  <c r="R41" i="19"/>
  <c r="U41" i="19" s="1"/>
  <c r="R20" i="19"/>
  <c r="U20" i="19" s="1"/>
  <c r="R60" i="19"/>
  <c r="U60" i="19" s="1"/>
  <c r="R91" i="19"/>
  <c r="U91" i="19" s="1"/>
  <c r="R169" i="19"/>
  <c r="U169" i="19" s="1"/>
  <c r="R93" i="19"/>
  <c r="U93" i="19" s="1"/>
  <c r="R151" i="19"/>
  <c r="U151" i="19" s="1"/>
  <c r="R115" i="19"/>
  <c r="U115" i="19" s="1"/>
  <c r="R233" i="19"/>
  <c r="U233" i="19" s="1"/>
  <c r="R31" i="19"/>
  <c r="U31" i="19" s="1"/>
  <c r="R153" i="19"/>
  <c r="U153" i="19" s="1"/>
  <c r="R183" i="19"/>
  <c r="U183" i="19" s="1"/>
  <c r="R261" i="19"/>
  <c r="U261" i="19" s="1"/>
  <c r="R45" i="19"/>
  <c r="U45" i="19" s="1"/>
  <c r="R279" i="19"/>
  <c r="U279" i="19" s="1"/>
  <c r="R69" i="19"/>
  <c r="U69" i="19" s="1"/>
  <c r="R36" i="19"/>
  <c r="U36" i="19" s="1"/>
  <c r="R53" i="19"/>
  <c r="U53" i="19" s="1"/>
  <c r="R124" i="19"/>
  <c r="U124" i="19" s="1"/>
  <c r="R205" i="19"/>
  <c r="U205" i="19" s="1"/>
  <c r="R213" i="19"/>
  <c r="U213" i="19" s="1"/>
  <c r="R33" i="19"/>
  <c r="U33" i="19" s="1"/>
  <c r="R216" i="19"/>
  <c r="U216" i="19" s="1"/>
  <c r="R127" i="19"/>
  <c r="U127" i="19" s="1"/>
  <c r="R249" i="19"/>
  <c r="U249" i="19" s="1"/>
  <c r="T309" i="19"/>
  <c r="R95" i="19"/>
  <c r="U95" i="19" s="1"/>
  <c r="R215" i="19"/>
  <c r="U215" i="19" s="1"/>
  <c r="R241" i="19"/>
  <c r="U241" i="19" s="1"/>
  <c r="R203" i="19"/>
  <c r="U203" i="19" s="1"/>
  <c r="T303" i="19"/>
  <c r="R229" i="19"/>
  <c r="U229" i="19" s="1"/>
  <c r="R259" i="19"/>
  <c r="U259" i="19" s="1"/>
  <c r="T117" i="19"/>
  <c r="R79" i="19"/>
  <c r="U79" i="19" s="1"/>
  <c r="T169" i="19"/>
  <c r="R204" i="19"/>
  <c r="U204" i="19" s="1"/>
  <c r="R224" i="19"/>
  <c r="U224" i="19" s="1"/>
  <c r="R232" i="19"/>
  <c r="U232" i="19" s="1"/>
  <c r="R256" i="19"/>
  <c r="U256" i="19" s="1"/>
  <c r="R272" i="19"/>
  <c r="U272" i="19" s="1"/>
  <c r="R280" i="19"/>
  <c r="U280" i="19" s="1"/>
  <c r="R296" i="19"/>
  <c r="U296" i="19" s="1"/>
  <c r="T191" i="19"/>
  <c r="T301" i="19"/>
  <c r="R313" i="19"/>
  <c r="U313" i="19" s="1"/>
  <c r="R245" i="19"/>
  <c r="U245" i="19" s="1"/>
  <c r="R251" i="19"/>
  <c r="U251" i="19" s="1"/>
  <c r="T223" i="19"/>
  <c r="T267" i="19"/>
  <c r="R105" i="19"/>
  <c r="U105" i="19" s="1"/>
  <c r="R135" i="19"/>
  <c r="U135" i="19" s="1"/>
  <c r="R81" i="19"/>
  <c r="U81" i="19" s="1"/>
  <c r="R305" i="19"/>
  <c r="U305" i="19" s="1"/>
  <c r="R315" i="19"/>
  <c r="U315" i="19" s="1"/>
  <c r="R199" i="19"/>
  <c r="U199" i="19" s="1"/>
  <c r="R89" i="19"/>
  <c r="U89" i="19" s="1"/>
  <c r="T259" i="19"/>
  <c r="T271" i="19"/>
  <c r="T255" i="19"/>
  <c r="T279" i="19"/>
  <c r="R139" i="19"/>
  <c r="U139" i="19" s="1"/>
  <c r="R149" i="19"/>
  <c r="U149" i="19" s="1"/>
  <c r="R67" i="19"/>
  <c r="U67" i="19" s="1"/>
  <c r="R83" i="19"/>
  <c r="U83" i="19" s="1"/>
  <c r="R29" i="19"/>
  <c r="U29" i="19" s="1"/>
  <c r="R133" i="19"/>
  <c r="U133" i="19" s="1"/>
  <c r="R217" i="19"/>
  <c r="U217" i="19" s="1"/>
  <c r="R243" i="19"/>
  <c r="U243" i="19" s="1"/>
  <c r="R287" i="19"/>
  <c r="U287" i="19" s="1"/>
  <c r="R35" i="19"/>
  <c r="U35" i="19" s="1"/>
  <c r="R43" i="19"/>
  <c r="U43" i="19" s="1"/>
  <c r="T171" i="19"/>
  <c r="T247" i="19"/>
  <c r="R163" i="19"/>
  <c r="U163" i="19" s="1"/>
  <c r="R235" i="19"/>
  <c r="U235" i="19" s="1"/>
  <c r="R295" i="19"/>
  <c r="U295" i="19" s="1"/>
  <c r="R231" i="19"/>
  <c r="U231" i="19" s="1"/>
  <c r="R237" i="19"/>
  <c r="U237" i="19" s="1"/>
  <c r="R239" i="19"/>
  <c r="U239" i="19" s="1"/>
  <c r="R136" i="19"/>
  <c r="U136" i="19" s="1"/>
  <c r="R291" i="19"/>
  <c r="U291" i="19" s="1"/>
  <c r="R19" i="19"/>
  <c r="U19" i="19" s="1"/>
  <c r="R161" i="19"/>
  <c r="U161" i="19" s="1"/>
  <c r="T45" i="19"/>
  <c r="T60" i="19"/>
  <c r="T17" i="19"/>
  <c r="R97" i="19"/>
  <c r="U97" i="19" s="1"/>
  <c r="R129" i="19"/>
  <c r="U129" i="19" s="1"/>
  <c r="T105" i="19"/>
  <c r="T305" i="19"/>
  <c r="T81" i="19"/>
  <c r="R73" i="19"/>
  <c r="U73" i="19" s="1"/>
  <c r="R64" i="19"/>
  <c r="U64" i="19" s="1"/>
  <c r="R85" i="19"/>
  <c r="U85" i="19" s="1"/>
  <c r="R76" i="19"/>
  <c r="U76" i="19" s="1"/>
  <c r="R92" i="19"/>
  <c r="U92" i="19" s="1"/>
  <c r="R176" i="19"/>
  <c r="U176" i="19" s="1"/>
  <c r="T321" i="19"/>
  <c r="R175" i="19"/>
  <c r="U175" i="19" s="1"/>
  <c r="R14" i="19"/>
  <c r="U14" i="19" s="1"/>
  <c r="T14" i="19"/>
  <c r="R30" i="19"/>
  <c r="U30" i="19" s="1"/>
  <c r="T30" i="19"/>
  <c r="R48" i="19"/>
  <c r="U48" i="19" s="1"/>
  <c r="T48" i="19"/>
  <c r="R63" i="19"/>
  <c r="U63" i="19" s="1"/>
  <c r="T63" i="19"/>
  <c r="R40" i="19"/>
  <c r="U40" i="19" s="1"/>
  <c r="T40" i="19"/>
  <c r="R172" i="19"/>
  <c r="U172" i="19" s="1"/>
  <c r="T172" i="19"/>
  <c r="R80" i="19"/>
  <c r="U80" i="19" s="1"/>
  <c r="T80" i="19"/>
  <c r="T156" i="19"/>
  <c r="R156" i="19"/>
  <c r="U156" i="19" s="1"/>
  <c r="R218" i="19"/>
  <c r="U218" i="19" s="1"/>
  <c r="T218" i="19"/>
  <c r="R234" i="19"/>
  <c r="U234" i="19" s="1"/>
  <c r="T234" i="19"/>
  <c r="R250" i="19"/>
  <c r="U250" i="19" s="1"/>
  <c r="T250" i="19"/>
  <c r="R266" i="19"/>
  <c r="U266" i="19" s="1"/>
  <c r="T266" i="19"/>
  <c r="R282" i="19"/>
  <c r="U282" i="19" s="1"/>
  <c r="T282" i="19"/>
  <c r="R298" i="19"/>
  <c r="U298" i="19" s="1"/>
  <c r="T298" i="19"/>
  <c r="R314" i="19"/>
  <c r="U314" i="19" s="1"/>
  <c r="T314" i="19"/>
  <c r="R322" i="19"/>
  <c r="U322" i="19" s="1"/>
  <c r="T322" i="19"/>
  <c r="R308" i="19"/>
  <c r="U308" i="19" s="1"/>
  <c r="T308" i="19"/>
  <c r="R24" i="19"/>
  <c r="U24" i="19" s="1"/>
  <c r="T24" i="19"/>
  <c r="R74" i="19"/>
  <c r="U74" i="19" s="1"/>
  <c r="T74" i="19"/>
  <c r="R90" i="19"/>
  <c r="U90" i="19" s="1"/>
  <c r="T90" i="19"/>
  <c r="R106" i="19"/>
  <c r="U106" i="19" s="1"/>
  <c r="T106" i="19"/>
  <c r="R114" i="19"/>
  <c r="U114" i="19" s="1"/>
  <c r="T114" i="19"/>
  <c r="R130" i="19"/>
  <c r="U130" i="19" s="1"/>
  <c r="T130" i="19"/>
  <c r="R88" i="19"/>
  <c r="U88" i="19" s="1"/>
  <c r="T88" i="19"/>
  <c r="R120" i="19"/>
  <c r="U120" i="19" s="1"/>
  <c r="T120" i="19"/>
  <c r="T150" i="19"/>
  <c r="R150" i="19"/>
  <c r="U150" i="19" s="1"/>
  <c r="R166" i="19"/>
  <c r="U166" i="19" s="1"/>
  <c r="T166" i="19"/>
  <c r="R174" i="19"/>
  <c r="U174" i="19" s="1"/>
  <c r="T174" i="19"/>
  <c r="R134" i="19"/>
  <c r="U134" i="19" s="1"/>
  <c r="T134" i="19"/>
  <c r="R186" i="19"/>
  <c r="U186" i="19" s="1"/>
  <c r="T186" i="19"/>
  <c r="R202" i="19"/>
  <c r="U202" i="19" s="1"/>
  <c r="T202" i="19"/>
  <c r="R304" i="19"/>
  <c r="U304" i="19" s="1"/>
  <c r="T304" i="19"/>
  <c r="R10" i="19"/>
  <c r="U10" i="19" s="1"/>
  <c r="T10" i="19"/>
  <c r="R18" i="19"/>
  <c r="U18" i="19" s="1"/>
  <c r="T18" i="19"/>
  <c r="R26" i="19"/>
  <c r="U26" i="19" s="1"/>
  <c r="T26" i="19"/>
  <c r="R34" i="19"/>
  <c r="U34" i="19" s="1"/>
  <c r="T34" i="19"/>
  <c r="R42" i="19"/>
  <c r="U42" i="19" s="1"/>
  <c r="T42" i="19"/>
  <c r="R50" i="19"/>
  <c r="U50" i="19" s="1"/>
  <c r="T50" i="19"/>
  <c r="T51" i="19"/>
  <c r="R51" i="19"/>
  <c r="U51" i="19" s="1"/>
  <c r="T59" i="19"/>
  <c r="R59" i="19"/>
  <c r="U59" i="19" s="1"/>
  <c r="R32" i="19"/>
  <c r="U32" i="19" s="1"/>
  <c r="T32" i="19"/>
  <c r="R160" i="19"/>
  <c r="U160" i="19" s="1"/>
  <c r="T160" i="19"/>
  <c r="R168" i="19"/>
  <c r="U168" i="19" s="1"/>
  <c r="T168" i="19"/>
  <c r="R112" i="19"/>
  <c r="U112" i="19" s="1"/>
  <c r="T112" i="19"/>
  <c r="T140" i="19"/>
  <c r="R140" i="19"/>
  <c r="U140" i="19" s="1"/>
  <c r="R182" i="19"/>
  <c r="U182" i="19" s="1"/>
  <c r="T182" i="19"/>
  <c r="R198" i="19"/>
  <c r="U198" i="19" s="1"/>
  <c r="T198" i="19"/>
  <c r="R214" i="19"/>
  <c r="U214" i="19" s="1"/>
  <c r="T214" i="19"/>
  <c r="T152" i="19"/>
  <c r="R152" i="19"/>
  <c r="U152" i="19" s="1"/>
  <c r="R222" i="19"/>
  <c r="U222" i="19" s="1"/>
  <c r="T222" i="19"/>
  <c r="R230" i="19"/>
  <c r="U230" i="19" s="1"/>
  <c r="T230" i="19"/>
  <c r="R238" i="19"/>
  <c r="U238" i="19" s="1"/>
  <c r="T238" i="19"/>
  <c r="R246" i="19"/>
  <c r="U246" i="19" s="1"/>
  <c r="T246" i="19"/>
  <c r="R254" i="19"/>
  <c r="U254" i="19" s="1"/>
  <c r="T254" i="19"/>
  <c r="R262" i="19"/>
  <c r="U262" i="19" s="1"/>
  <c r="T262" i="19"/>
  <c r="R270" i="19"/>
  <c r="U270" i="19" s="1"/>
  <c r="T270" i="19"/>
  <c r="R278" i="19"/>
  <c r="U278" i="19" s="1"/>
  <c r="T278" i="19"/>
  <c r="R286" i="19"/>
  <c r="U286" i="19" s="1"/>
  <c r="T286" i="19"/>
  <c r="R294" i="19"/>
  <c r="U294" i="19" s="1"/>
  <c r="T294" i="19"/>
  <c r="R302" i="19"/>
  <c r="U302" i="19" s="1"/>
  <c r="T302" i="19"/>
  <c r="R310" i="19"/>
  <c r="U310" i="19" s="1"/>
  <c r="T310" i="19"/>
  <c r="R318" i="19"/>
  <c r="U318" i="19" s="1"/>
  <c r="T318" i="19"/>
  <c r="R22" i="19"/>
  <c r="U22" i="19" s="1"/>
  <c r="T22" i="19"/>
  <c r="R38" i="19"/>
  <c r="U38" i="19" s="1"/>
  <c r="T38" i="19"/>
  <c r="R46" i="19"/>
  <c r="U46" i="19" s="1"/>
  <c r="T46" i="19"/>
  <c r="T55" i="19"/>
  <c r="R55" i="19"/>
  <c r="U55" i="19" s="1"/>
  <c r="R16" i="19"/>
  <c r="U16" i="19" s="1"/>
  <c r="T16" i="19"/>
  <c r="R164" i="19"/>
  <c r="U164" i="19" s="1"/>
  <c r="T164" i="19"/>
  <c r="R190" i="19"/>
  <c r="U190" i="19" s="1"/>
  <c r="T190" i="19"/>
  <c r="R206" i="19"/>
  <c r="U206" i="19" s="1"/>
  <c r="T206" i="19"/>
  <c r="R226" i="19"/>
  <c r="U226" i="19" s="1"/>
  <c r="T226" i="19"/>
  <c r="R242" i="19"/>
  <c r="U242" i="19" s="1"/>
  <c r="T242" i="19"/>
  <c r="R258" i="19"/>
  <c r="U258" i="19" s="1"/>
  <c r="T258" i="19"/>
  <c r="R274" i="19"/>
  <c r="U274" i="19" s="1"/>
  <c r="T274" i="19"/>
  <c r="R290" i="19"/>
  <c r="U290" i="19" s="1"/>
  <c r="T290" i="19"/>
  <c r="R306" i="19"/>
  <c r="U306" i="19" s="1"/>
  <c r="T306" i="19"/>
  <c r="R66" i="19"/>
  <c r="U66" i="19" s="1"/>
  <c r="T66" i="19"/>
  <c r="R82" i="19"/>
  <c r="U82" i="19" s="1"/>
  <c r="T82" i="19"/>
  <c r="R98" i="19"/>
  <c r="U98" i="19" s="1"/>
  <c r="T98" i="19"/>
  <c r="R122" i="19"/>
  <c r="U122" i="19" s="1"/>
  <c r="T122" i="19"/>
  <c r="T142" i="19"/>
  <c r="R142" i="19"/>
  <c r="U142" i="19" s="1"/>
  <c r="R158" i="19"/>
  <c r="U158" i="19" s="1"/>
  <c r="T158" i="19"/>
  <c r="T324" i="19"/>
  <c r="R324" i="19"/>
  <c r="U324" i="19" s="1"/>
  <c r="R12" i="19"/>
  <c r="U12" i="19" s="1"/>
  <c r="T12" i="19"/>
  <c r="R28" i="19"/>
  <c r="U28" i="19" s="1"/>
  <c r="T28" i="19"/>
  <c r="R44" i="19"/>
  <c r="U44" i="19" s="1"/>
  <c r="T44" i="19"/>
  <c r="R61" i="19"/>
  <c r="U61" i="19" s="1"/>
  <c r="T61" i="19"/>
  <c r="R70" i="19"/>
  <c r="U70" i="19" s="1"/>
  <c r="T70" i="19"/>
  <c r="R78" i="19"/>
  <c r="U78" i="19" s="1"/>
  <c r="T78" i="19"/>
  <c r="R86" i="19"/>
  <c r="U86" i="19" s="1"/>
  <c r="T86" i="19"/>
  <c r="R94" i="19"/>
  <c r="U94" i="19" s="1"/>
  <c r="T94" i="19"/>
  <c r="R102" i="19"/>
  <c r="U102" i="19" s="1"/>
  <c r="T102" i="19"/>
  <c r="R110" i="19"/>
  <c r="U110" i="19" s="1"/>
  <c r="T110" i="19"/>
  <c r="R118" i="19"/>
  <c r="U118" i="19" s="1"/>
  <c r="T118" i="19"/>
  <c r="R126" i="19"/>
  <c r="U126" i="19" s="1"/>
  <c r="T126" i="19"/>
  <c r="R84" i="19"/>
  <c r="U84" i="19" s="1"/>
  <c r="T84" i="19"/>
  <c r="R100" i="19"/>
  <c r="U100" i="19" s="1"/>
  <c r="T100" i="19"/>
  <c r="R116" i="19"/>
  <c r="U116" i="19" s="1"/>
  <c r="T116" i="19"/>
  <c r="R72" i="19"/>
  <c r="U72" i="19" s="1"/>
  <c r="T72" i="19"/>
  <c r="R104" i="19"/>
  <c r="U104" i="19" s="1"/>
  <c r="T104" i="19"/>
  <c r="T138" i="19"/>
  <c r="R138" i="19"/>
  <c r="U138" i="19" s="1"/>
  <c r="T146" i="19"/>
  <c r="R146" i="19"/>
  <c r="U146" i="19" s="1"/>
  <c r="T154" i="19"/>
  <c r="R154" i="19"/>
  <c r="U154" i="19" s="1"/>
  <c r="R162" i="19"/>
  <c r="U162" i="19" s="1"/>
  <c r="T162" i="19"/>
  <c r="R170" i="19"/>
  <c r="U170" i="19" s="1"/>
  <c r="T170" i="19"/>
  <c r="T148" i="19"/>
  <c r="R148" i="19"/>
  <c r="U148" i="19" s="1"/>
  <c r="R8" i="19"/>
  <c r="U8" i="19" s="1"/>
  <c r="T8" i="19"/>
  <c r="R178" i="19"/>
  <c r="U178" i="19" s="1"/>
  <c r="T178" i="19"/>
  <c r="R194" i="19"/>
  <c r="U194" i="19" s="1"/>
  <c r="T194" i="19"/>
  <c r="R210" i="19"/>
  <c r="U210" i="19" s="1"/>
  <c r="T210" i="19"/>
  <c r="R96" i="19"/>
  <c r="U96" i="19" s="1"/>
  <c r="T96" i="19"/>
  <c r="R320" i="19"/>
  <c r="U320" i="19" s="1"/>
  <c r="T320" i="19"/>
  <c r="C269" i="19"/>
  <c r="G269" i="19" s="1"/>
  <c r="T269" i="19" l="1"/>
  <c r="R269" i="19"/>
  <c r="U269" i="19" s="1"/>
  <c r="C68" i="19" l="1"/>
  <c r="G68" i="19" s="1"/>
  <c r="B67" i="51"/>
  <c r="B7" i="51"/>
  <c r="E8" i="51" s="1"/>
  <c r="R68" i="19" l="1"/>
  <c r="U68" i="19" s="1"/>
  <c r="T68" i="19"/>
  <c r="B66" i="51"/>
  <c r="D60" i="51"/>
  <c r="D54" i="51"/>
  <c r="D48" i="51"/>
  <c r="D44" i="51"/>
  <c r="D40" i="51"/>
  <c r="D31" i="51"/>
  <c r="D27" i="51"/>
  <c r="D50" i="51"/>
  <c r="D42" i="51"/>
  <c r="D29" i="51"/>
  <c r="D49" i="51"/>
  <c r="D41" i="51"/>
  <c r="D61" i="51"/>
  <c r="D53" i="51"/>
  <c r="D47" i="51"/>
  <c r="D43" i="51"/>
  <c r="D39" i="51"/>
  <c r="D30" i="51"/>
  <c r="D26" i="51"/>
  <c r="D59" i="51"/>
  <c r="D46" i="51"/>
  <c r="D38" i="51"/>
  <c r="D55" i="51"/>
  <c r="D45" i="51"/>
  <c r="D32" i="51"/>
  <c r="D28" i="51"/>
  <c r="D13" i="51"/>
  <c r="D17" i="51"/>
  <c r="D24" i="51"/>
  <c r="D14" i="51"/>
  <c r="D18" i="51"/>
  <c r="D25" i="51"/>
  <c r="D15" i="51"/>
  <c r="D19" i="51"/>
  <c r="D12" i="51"/>
  <c r="D16" i="51"/>
  <c r="D20" i="51"/>
  <c r="D23" i="51"/>
  <c r="D11" i="51"/>
  <c r="D51" i="51" l="1"/>
  <c r="D33" i="51"/>
  <c r="D21" i="51"/>
  <c r="AK217" i="19"/>
  <c r="AF217" i="19"/>
  <c r="C281" i="19" l="1"/>
  <c r="G281" i="19" s="1"/>
  <c r="D34" i="51"/>
  <c r="T281" i="19" l="1"/>
  <c r="R281" i="19"/>
  <c r="U281" i="19" s="1"/>
  <c r="AL207" i="42"/>
  <c r="C3" i="13" l="1"/>
  <c r="I5" i="13"/>
  <c r="Q7" i="19" l="1"/>
  <c r="AR6" i="19"/>
  <c r="S6" i="19"/>
  <c r="AM6" i="42"/>
  <c r="B56" i="40" l="1"/>
  <c r="K14" i="49" l="1"/>
  <c r="K112" i="49"/>
  <c r="K114" i="49"/>
  <c r="K117" i="49"/>
  <c r="K119" i="49"/>
  <c r="K120" i="49"/>
  <c r="K121" i="49"/>
  <c r="K122" i="49"/>
  <c r="K124" i="49"/>
  <c r="K126" i="49"/>
  <c r="K127" i="49"/>
  <c r="K128" i="49"/>
  <c r="K129" i="49"/>
  <c r="K130" i="49"/>
  <c r="K131" i="49"/>
  <c r="K134" i="49"/>
  <c r="K135" i="49"/>
  <c r="K137" i="49"/>
  <c r="K144" i="49"/>
  <c r="K149" i="49"/>
  <c r="K150" i="49"/>
  <c r="K151" i="49"/>
  <c r="K154" i="49"/>
  <c r="K155" i="49"/>
  <c r="K156" i="49"/>
  <c r="K158" i="49"/>
  <c r="K196" i="49"/>
  <c r="K207" i="49"/>
  <c r="K208" i="49"/>
  <c r="K226" i="49"/>
  <c r="K230" i="49"/>
  <c r="K231" i="49"/>
  <c r="K283" i="49"/>
  <c r="K284" i="49"/>
  <c r="K285" i="49"/>
  <c r="K286" i="49"/>
  <c r="K287" i="49"/>
  <c r="K288" i="49"/>
  <c r="K289" i="49"/>
  <c r="K290" i="49"/>
  <c r="K291" i="49"/>
  <c r="K292" i="49"/>
  <c r="K304" i="49"/>
  <c r="K305" i="49"/>
  <c r="K314" i="49"/>
  <c r="K322" i="49"/>
  <c r="K7" i="49"/>
  <c r="K6" i="49"/>
  <c r="I5" i="49"/>
  <c r="A2" i="49"/>
  <c r="C324"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69" i="49"/>
  <c r="B169" i="49"/>
  <c r="A170" i="49"/>
  <c r="B170"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8" i="49"/>
  <c r="B218" i="49"/>
  <c r="A219" i="49"/>
  <c r="B219"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A242" i="49"/>
  <c r="B242" i="49"/>
  <c r="A243" i="49"/>
  <c r="B243" i="49"/>
  <c r="A244" i="49"/>
  <c r="B244" i="49"/>
  <c r="A245" i="49"/>
  <c r="B245" i="49"/>
  <c r="A246" i="49"/>
  <c r="B246" i="49"/>
  <c r="A247"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A314" i="49"/>
  <c r="B314" i="49"/>
  <c r="A315" i="49"/>
  <c r="B315" i="49"/>
  <c r="A316" i="49"/>
  <c r="B316" i="49"/>
  <c r="A317" i="49"/>
  <c r="B317" i="49"/>
  <c r="A318" i="49"/>
  <c r="B318" i="49"/>
  <c r="A319" i="49"/>
  <c r="B319" i="49"/>
  <c r="A320" i="49"/>
  <c r="B320" i="49"/>
  <c r="A321" i="49"/>
  <c r="B321" i="49"/>
  <c r="A322" i="49"/>
  <c r="B322" i="49"/>
  <c r="A323" i="49"/>
  <c r="B323" i="49"/>
  <c r="B6" i="49"/>
  <c r="A6" i="49"/>
  <c r="B324" i="49" l="1"/>
  <c r="B7" i="48"/>
  <c r="B9" i="48" l="1"/>
  <c r="F8" i="48"/>
  <c r="B8" i="48"/>
  <c r="C8" i="34"/>
  <c r="U6" i="19" l="1"/>
  <c r="C167" i="32"/>
  <c r="E167" i="32" s="1"/>
  <c r="C306" i="32"/>
  <c r="E306" i="32" s="1"/>
  <c r="C318" i="32"/>
  <c r="E318" i="32" s="1"/>
  <c r="C25" i="40" l="1"/>
  <c r="A2" i="25"/>
  <c r="H6" i="13"/>
  <c r="J5"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0" i="13"/>
  <c r="B170"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19" i="13"/>
  <c r="B219"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4" i="13"/>
  <c r="B244"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A315" i="13"/>
  <c r="B315" i="13"/>
  <c r="A316" i="13"/>
  <c r="B316" i="13"/>
  <c r="A317" i="13"/>
  <c r="B317" i="13"/>
  <c r="A318" i="13"/>
  <c r="B318" i="13"/>
  <c r="A319" i="13"/>
  <c r="B319" i="13"/>
  <c r="A320" i="13"/>
  <c r="B320" i="13"/>
  <c r="A321" i="13"/>
  <c r="B321" i="13"/>
  <c r="A322" i="13"/>
  <c r="B322" i="13"/>
  <c r="A323" i="13"/>
  <c r="B323" i="13"/>
  <c r="B6" i="13"/>
  <c r="A6" i="13"/>
  <c r="H8" i="13"/>
  <c r="A6" i="39"/>
  <c r="B6" i="39"/>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A314" i="39"/>
  <c r="B314" i="39"/>
  <c r="A315" i="39"/>
  <c r="B315" i="39"/>
  <c r="A316" i="39"/>
  <c r="B316" i="39"/>
  <c r="A317" i="39"/>
  <c r="B317" i="39"/>
  <c r="A318" i="39"/>
  <c r="B318" i="39"/>
  <c r="A319" i="39"/>
  <c r="B319" i="39"/>
  <c r="A320" i="39"/>
  <c r="B320" i="39"/>
  <c r="A321" i="39"/>
  <c r="B321" i="39"/>
  <c r="A322" i="39"/>
  <c r="B322" i="39"/>
  <c r="B5" i="39"/>
  <c r="A5" i="39"/>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314" i="12"/>
  <c r="B314" i="12"/>
  <c r="A315" i="12"/>
  <c r="B315" i="12"/>
  <c r="A316" i="12"/>
  <c r="B316" i="12"/>
  <c r="A317" i="12"/>
  <c r="B317" i="12"/>
  <c r="A318" i="12"/>
  <c r="B318" i="12"/>
  <c r="A319" i="12"/>
  <c r="B319" i="12"/>
  <c r="A320" i="12"/>
  <c r="B320" i="12"/>
  <c r="A321" i="12"/>
  <c r="B321" i="12"/>
  <c r="A322" i="12"/>
  <c r="B322" i="12"/>
  <c r="B5" i="12"/>
  <c r="A5" i="12"/>
  <c r="G5" i="11"/>
  <c r="K323" i="11"/>
  <c r="F323" i="11"/>
  <c r="E323" i="11"/>
  <c r="D323" i="11"/>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D161" i="34"/>
  <c r="D162" i="34"/>
  <c r="D163" i="34"/>
  <c r="D164" i="34"/>
  <c r="D165" i="34"/>
  <c r="D166" i="34"/>
  <c r="D167" i="34"/>
  <c r="D168" i="34"/>
  <c r="D169" i="34"/>
  <c r="D170" i="34"/>
  <c r="D171" i="34"/>
  <c r="D172" i="34"/>
  <c r="D173" i="34"/>
  <c r="D174" i="34"/>
  <c r="D175" i="34"/>
  <c r="D176" i="34"/>
  <c r="D177" i="34"/>
  <c r="D178" i="34"/>
  <c r="D179" i="34"/>
  <c r="D180" i="34"/>
  <c r="D181" i="34"/>
  <c r="D182" i="34"/>
  <c r="D183" i="34"/>
  <c r="D184" i="34"/>
  <c r="D185" i="34"/>
  <c r="D186" i="34"/>
  <c r="D187" i="34"/>
  <c r="D188" i="34"/>
  <c r="D189" i="34"/>
  <c r="D190" i="34"/>
  <c r="D191" i="34"/>
  <c r="D192" i="34"/>
  <c r="D193" i="34"/>
  <c r="D194" i="34"/>
  <c r="D195" i="34"/>
  <c r="D196" i="34"/>
  <c r="D197" i="34"/>
  <c r="D198" i="34"/>
  <c r="D199" i="34"/>
  <c r="D200" i="34"/>
  <c r="D201" i="34"/>
  <c r="D202" i="34"/>
  <c r="D203" i="34"/>
  <c r="D204" i="34"/>
  <c r="D205" i="34"/>
  <c r="D206" i="34"/>
  <c r="D207" i="34"/>
  <c r="D208" i="34"/>
  <c r="D209" i="34"/>
  <c r="D210" i="34"/>
  <c r="D211" i="34"/>
  <c r="D212" i="34"/>
  <c r="D213" i="34"/>
  <c r="D214" i="34"/>
  <c r="D215" i="34"/>
  <c r="D216" i="34"/>
  <c r="D217" i="34"/>
  <c r="D218" i="34"/>
  <c r="D219" i="34"/>
  <c r="D220" i="34"/>
  <c r="D221" i="34"/>
  <c r="D222" i="34"/>
  <c r="D223" i="34"/>
  <c r="D224" i="34"/>
  <c r="D225" i="34"/>
  <c r="D226" i="34"/>
  <c r="D227" i="34"/>
  <c r="D228" i="34"/>
  <c r="D229" i="34"/>
  <c r="D230" i="34"/>
  <c r="D231" i="34"/>
  <c r="D232" i="34"/>
  <c r="D233" i="34"/>
  <c r="D234" i="34"/>
  <c r="D235" i="34"/>
  <c r="D236" i="34"/>
  <c r="D237" i="34"/>
  <c r="D238" i="34"/>
  <c r="D239" i="34"/>
  <c r="D240" i="34"/>
  <c r="D241" i="34"/>
  <c r="D242" i="34"/>
  <c r="D243" i="34"/>
  <c r="D244" i="34"/>
  <c r="D245" i="34"/>
  <c r="D246" i="34"/>
  <c r="D247" i="34"/>
  <c r="D248" i="34"/>
  <c r="D249" i="34"/>
  <c r="D250" i="34"/>
  <c r="D251" i="34"/>
  <c r="D252" i="34"/>
  <c r="D253" i="34"/>
  <c r="D254" i="34"/>
  <c r="D255" i="34"/>
  <c r="D256" i="34"/>
  <c r="D257" i="34"/>
  <c r="D258" i="34"/>
  <c r="D259" i="34"/>
  <c r="D260" i="34"/>
  <c r="D261" i="34"/>
  <c r="D262" i="34"/>
  <c r="D263" i="34"/>
  <c r="D264" i="34"/>
  <c r="D265" i="34"/>
  <c r="D266" i="34"/>
  <c r="D267" i="34"/>
  <c r="D268" i="34"/>
  <c r="D269" i="34"/>
  <c r="D270" i="34"/>
  <c r="D271" i="34"/>
  <c r="D272" i="34"/>
  <c r="D273" i="34"/>
  <c r="D274" i="34"/>
  <c r="D275" i="34"/>
  <c r="D276" i="34"/>
  <c r="D277" i="34"/>
  <c r="D278" i="34"/>
  <c r="D279" i="34"/>
  <c r="D280" i="34"/>
  <c r="D281" i="34"/>
  <c r="D282" i="34"/>
  <c r="D283" i="34"/>
  <c r="D284" i="34"/>
  <c r="D285" i="34"/>
  <c r="D286" i="34"/>
  <c r="D287" i="34"/>
  <c r="D288" i="34"/>
  <c r="D289" i="34"/>
  <c r="D290" i="34"/>
  <c r="D291" i="34"/>
  <c r="D292" i="34"/>
  <c r="D293" i="34"/>
  <c r="D294" i="34"/>
  <c r="D295" i="34"/>
  <c r="D296" i="34"/>
  <c r="D297" i="34"/>
  <c r="D298" i="34"/>
  <c r="D299" i="34"/>
  <c r="D300" i="34"/>
  <c r="D301" i="34"/>
  <c r="D302" i="34"/>
  <c r="D303" i="34"/>
  <c r="D304" i="34"/>
  <c r="D305" i="34"/>
  <c r="D306" i="34"/>
  <c r="D307" i="34"/>
  <c r="D308" i="34"/>
  <c r="D309" i="34"/>
  <c r="D310" i="34"/>
  <c r="D311" i="34"/>
  <c r="D312" i="34"/>
  <c r="D313" i="34"/>
  <c r="D314" i="34"/>
  <c r="D315" i="34"/>
  <c r="D316" i="34"/>
  <c r="D317" i="34"/>
  <c r="D318" i="34"/>
  <c r="D319" i="34"/>
  <c r="D320" i="34"/>
  <c r="D321" i="34"/>
  <c r="D322" i="34"/>
  <c r="D323" i="34"/>
  <c r="D324" i="34"/>
  <c r="D325" i="34"/>
  <c r="D326" i="34"/>
  <c r="D327" i="34"/>
  <c r="D328" i="34"/>
  <c r="D329" i="34"/>
  <c r="D330" i="34"/>
  <c r="D331" i="34"/>
  <c r="D332" i="34"/>
  <c r="D333" i="34"/>
  <c r="D16" i="34"/>
  <c r="A17" i="34"/>
  <c r="B17" i="34"/>
  <c r="A18" i="34"/>
  <c r="B18" i="34"/>
  <c r="A19" i="34"/>
  <c r="B19" i="34"/>
  <c r="A20" i="34"/>
  <c r="B20" i="34"/>
  <c r="A21" i="34"/>
  <c r="B21" i="34"/>
  <c r="A22" i="34"/>
  <c r="B22" i="34"/>
  <c r="A23" i="34"/>
  <c r="B23" i="34"/>
  <c r="A24" i="34"/>
  <c r="B24" i="34"/>
  <c r="A25" i="34"/>
  <c r="B25" i="34"/>
  <c r="A26" i="34"/>
  <c r="B26" i="34"/>
  <c r="A27" i="34"/>
  <c r="B27" i="34"/>
  <c r="A28" i="34"/>
  <c r="B28" i="34"/>
  <c r="A29" i="34"/>
  <c r="B29" i="34"/>
  <c r="A30" i="34"/>
  <c r="B30" i="34"/>
  <c r="A31" i="34"/>
  <c r="B31" i="34"/>
  <c r="A32" i="34"/>
  <c r="B32" i="34"/>
  <c r="A33" i="34"/>
  <c r="B33" i="34"/>
  <c r="A34" i="34"/>
  <c r="B34" i="34"/>
  <c r="A35" i="34"/>
  <c r="B35" i="34"/>
  <c r="A36" i="34"/>
  <c r="B36" i="34"/>
  <c r="A37" i="34"/>
  <c r="B37" i="34"/>
  <c r="A38" i="34"/>
  <c r="B38" i="34"/>
  <c r="A39" i="34"/>
  <c r="B39" i="34"/>
  <c r="A40" i="34"/>
  <c r="B40" i="34"/>
  <c r="A41" i="34"/>
  <c r="B41" i="34"/>
  <c r="A42" i="34"/>
  <c r="B42" i="34"/>
  <c r="A43" i="34"/>
  <c r="B43" i="34"/>
  <c r="A44" i="34"/>
  <c r="B44" i="34"/>
  <c r="A45" i="34"/>
  <c r="B45" i="34"/>
  <c r="A46" i="34"/>
  <c r="B46" i="34"/>
  <c r="A47" i="34"/>
  <c r="B47" i="34"/>
  <c r="A48" i="34"/>
  <c r="B48" i="34"/>
  <c r="A49" i="34"/>
  <c r="B49" i="34"/>
  <c r="A50" i="34"/>
  <c r="B50" i="34"/>
  <c r="A51" i="34"/>
  <c r="B51" i="34"/>
  <c r="A52" i="34"/>
  <c r="B52" i="34"/>
  <c r="A53" i="34"/>
  <c r="B53" i="34"/>
  <c r="A54" i="34"/>
  <c r="B54" i="34"/>
  <c r="A55" i="34"/>
  <c r="B55" i="34"/>
  <c r="A56" i="34"/>
  <c r="B56" i="34"/>
  <c r="A57" i="34"/>
  <c r="B57" i="34"/>
  <c r="A58" i="34"/>
  <c r="B58" i="34"/>
  <c r="A59" i="34"/>
  <c r="B59" i="34"/>
  <c r="A60" i="34"/>
  <c r="B60" i="34"/>
  <c r="A61" i="34"/>
  <c r="B61" i="34"/>
  <c r="A62" i="34"/>
  <c r="B62" i="34"/>
  <c r="A63" i="34"/>
  <c r="B63" i="34"/>
  <c r="A64" i="34"/>
  <c r="B64" i="34"/>
  <c r="A65" i="34"/>
  <c r="B65" i="34"/>
  <c r="A66" i="34"/>
  <c r="B66" i="34"/>
  <c r="A67" i="34"/>
  <c r="B67" i="34"/>
  <c r="A68" i="34"/>
  <c r="B68" i="34"/>
  <c r="A69" i="34"/>
  <c r="B69" i="34"/>
  <c r="A70" i="34"/>
  <c r="B70" i="34"/>
  <c r="A71" i="34"/>
  <c r="B71" i="34"/>
  <c r="A72" i="34"/>
  <c r="B72" i="34"/>
  <c r="A73" i="34"/>
  <c r="B73" i="34"/>
  <c r="A74" i="34"/>
  <c r="B74" i="34"/>
  <c r="A75" i="34"/>
  <c r="B75" i="34"/>
  <c r="A76" i="34"/>
  <c r="B76" i="34"/>
  <c r="A77" i="34"/>
  <c r="B77" i="34"/>
  <c r="A78" i="34"/>
  <c r="B78" i="34"/>
  <c r="A79" i="34"/>
  <c r="B79" i="34"/>
  <c r="A80" i="34"/>
  <c r="B80" i="34"/>
  <c r="A81" i="34"/>
  <c r="B81" i="34"/>
  <c r="A82" i="34"/>
  <c r="B82" i="34"/>
  <c r="A83" i="34"/>
  <c r="B83" i="34"/>
  <c r="A84" i="34"/>
  <c r="B84" i="34"/>
  <c r="A85" i="34"/>
  <c r="B85" i="34"/>
  <c r="A86" i="34"/>
  <c r="B86" i="34"/>
  <c r="A87" i="34"/>
  <c r="B87" i="34"/>
  <c r="A88" i="34"/>
  <c r="B88" i="34"/>
  <c r="A89" i="34"/>
  <c r="B89" i="34"/>
  <c r="A90" i="34"/>
  <c r="B90" i="34"/>
  <c r="A91" i="34"/>
  <c r="B91" i="34"/>
  <c r="A92" i="34"/>
  <c r="B92" i="34"/>
  <c r="A93" i="34"/>
  <c r="B93" i="34"/>
  <c r="A94" i="34"/>
  <c r="B94" i="34"/>
  <c r="A95" i="34"/>
  <c r="B95" i="34"/>
  <c r="A96" i="34"/>
  <c r="B96" i="34"/>
  <c r="A97" i="34"/>
  <c r="B97" i="34"/>
  <c r="A98" i="34"/>
  <c r="B98" i="34"/>
  <c r="A99" i="34"/>
  <c r="B99" i="34"/>
  <c r="A100" i="34"/>
  <c r="B100" i="34"/>
  <c r="A101" i="34"/>
  <c r="B101" i="34"/>
  <c r="A102" i="34"/>
  <c r="B102" i="34"/>
  <c r="A103" i="34"/>
  <c r="B103" i="34"/>
  <c r="A104" i="34"/>
  <c r="B104" i="34"/>
  <c r="A105" i="34"/>
  <c r="B105" i="34"/>
  <c r="A106" i="34"/>
  <c r="B106" i="34"/>
  <c r="A107" i="34"/>
  <c r="B107" i="34"/>
  <c r="A108" i="34"/>
  <c r="B108" i="34"/>
  <c r="A109" i="34"/>
  <c r="B109" i="34"/>
  <c r="A110" i="34"/>
  <c r="B110" i="34"/>
  <c r="A111" i="34"/>
  <c r="B111" i="34"/>
  <c r="A112" i="34"/>
  <c r="B112" i="34"/>
  <c r="A113" i="34"/>
  <c r="B113" i="34"/>
  <c r="A114" i="34"/>
  <c r="B114" i="34"/>
  <c r="A115" i="34"/>
  <c r="B115" i="34"/>
  <c r="A116" i="34"/>
  <c r="B116" i="34"/>
  <c r="A117" i="34"/>
  <c r="B117" i="34"/>
  <c r="A118" i="34"/>
  <c r="B118" i="34"/>
  <c r="A119" i="34"/>
  <c r="B119" i="34"/>
  <c r="A120" i="34"/>
  <c r="B120" i="34"/>
  <c r="A121" i="34"/>
  <c r="B121" i="34"/>
  <c r="A122" i="34"/>
  <c r="B122" i="34"/>
  <c r="A123" i="34"/>
  <c r="B123" i="34"/>
  <c r="A124" i="34"/>
  <c r="B124" i="34"/>
  <c r="A125" i="34"/>
  <c r="B125" i="34"/>
  <c r="A126" i="34"/>
  <c r="B126" i="34"/>
  <c r="A127" i="34"/>
  <c r="B127" i="34"/>
  <c r="A128" i="34"/>
  <c r="B128" i="34"/>
  <c r="A129" i="34"/>
  <c r="B129" i="34"/>
  <c r="A130" i="34"/>
  <c r="B130" i="34"/>
  <c r="A131" i="34"/>
  <c r="B131" i="34"/>
  <c r="A132" i="34"/>
  <c r="B132" i="34"/>
  <c r="A133" i="34"/>
  <c r="B133" i="34"/>
  <c r="A134" i="34"/>
  <c r="B134" i="34"/>
  <c r="A135" i="34"/>
  <c r="B135" i="34"/>
  <c r="A136" i="34"/>
  <c r="B136" i="34"/>
  <c r="A137" i="34"/>
  <c r="B137" i="34"/>
  <c r="A138" i="34"/>
  <c r="B138" i="34"/>
  <c r="A139" i="34"/>
  <c r="B139" i="34"/>
  <c r="A140" i="34"/>
  <c r="B140" i="34"/>
  <c r="A141" i="34"/>
  <c r="B141" i="34"/>
  <c r="A142" i="34"/>
  <c r="B142" i="34"/>
  <c r="A143" i="34"/>
  <c r="B143" i="34"/>
  <c r="A144" i="34"/>
  <c r="B144" i="34"/>
  <c r="A145" i="34"/>
  <c r="B145" i="34"/>
  <c r="A146" i="34"/>
  <c r="B146" i="34"/>
  <c r="A147" i="34"/>
  <c r="B147" i="34"/>
  <c r="A148" i="34"/>
  <c r="B148" i="34"/>
  <c r="A149" i="34"/>
  <c r="B149" i="34"/>
  <c r="A150" i="34"/>
  <c r="B150" i="34"/>
  <c r="A151" i="34"/>
  <c r="B151" i="34"/>
  <c r="A152" i="34"/>
  <c r="B152" i="34"/>
  <c r="A153" i="34"/>
  <c r="B153" i="34"/>
  <c r="A154" i="34"/>
  <c r="B154" i="34"/>
  <c r="A155" i="34"/>
  <c r="B155" i="34"/>
  <c r="A156" i="34"/>
  <c r="B156" i="34"/>
  <c r="A157" i="34"/>
  <c r="B157" i="34"/>
  <c r="A158" i="34"/>
  <c r="B158" i="34"/>
  <c r="A159" i="34"/>
  <c r="B159" i="34"/>
  <c r="A160" i="34"/>
  <c r="B160" i="34"/>
  <c r="A161" i="34"/>
  <c r="B161" i="34"/>
  <c r="A162" i="34"/>
  <c r="B162" i="34"/>
  <c r="A163" i="34"/>
  <c r="B163" i="34"/>
  <c r="A164" i="34"/>
  <c r="B164" i="34"/>
  <c r="A165" i="34"/>
  <c r="B165" i="34"/>
  <c r="A166" i="34"/>
  <c r="B166" i="34"/>
  <c r="A167" i="34"/>
  <c r="B167" i="34"/>
  <c r="A168" i="34"/>
  <c r="B168" i="34"/>
  <c r="A169" i="34"/>
  <c r="B169" i="34"/>
  <c r="A170" i="34"/>
  <c r="B170" i="34"/>
  <c r="A171" i="34"/>
  <c r="B171" i="34"/>
  <c r="A172" i="34"/>
  <c r="B172" i="34"/>
  <c r="A173" i="34"/>
  <c r="B173" i="34"/>
  <c r="A174" i="34"/>
  <c r="B174" i="34"/>
  <c r="A175" i="34"/>
  <c r="B175" i="34"/>
  <c r="A176" i="34"/>
  <c r="B176" i="34"/>
  <c r="A177" i="34"/>
  <c r="B177" i="34"/>
  <c r="A178" i="34"/>
  <c r="B178" i="34"/>
  <c r="A179" i="34"/>
  <c r="B179" i="34"/>
  <c r="A180" i="34"/>
  <c r="B180" i="34"/>
  <c r="A181" i="34"/>
  <c r="B181" i="34"/>
  <c r="A182" i="34"/>
  <c r="B182" i="34"/>
  <c r="A183" i="34"/>
  <c r="B183" i="34"/>
  <c r="A184" i="34"/>
  <c r="B184" i="34"/>
  <c r="A185" i="34"/>
  <c r="B185" i="34"/>
  <c r="A186" i="34"/>
  <c r="B186" i="34"/>
  <c r="A187" i="34"/>
  <c r="B187" i="34"/>
  <c r="A188" i="34"/>
  <c r="B188" i="34"/>
  <c r="A189" i="34"/>
  <c r="B189" i="34"/>
  <c r="A190" i="34"/>
  <c r="B190" i="34"/>
  <c r="A191" i="34"/>
  <c r="B191" i="34"/>
  <c r="A192" i="34"/>
  <c r="B192" i="34"/>
  <c r="A193" i="34"/>
  <c r="B193" i="34"/>
  <c r="A194" i="34"/>
  <c r="B194" i="34"/>
  <c r="A195" i="34"/>
  <c r="B195" i="34"/>
  <c r="A196" i="34"/>
  <c r="B196" i="34"/>
  <c r="A197" i="34"/>
  <c r="B197" i="34"/>
  <c r="A198" i="34"/>
  <c r="B198" i="34"/>
  <c r="A199" i="34"/>
  <c r="B199" i="34"/>
  <c r="A200" i="34"/>
  <c r="B200" i="34"/>
  <c r="A201" i="34"/>
  <c r="B201" i="34"/>
  <c r="A202" i="34"/>
  <c r="B202" i="34"/>
  <c r="A203" i="34"/>
  <c r="B203" i="34"/>
  <c r="A204" i="34"/>
  <c r="B204" i="34"/>
  <c r="A205" i="34"/>
  <c r="B205" i="34"/>
  <c r="A206" i="34"/>
  <c r="B206" i="34"/>
  <c r="A207" i="34"/>
  <c r="B207" i="34"/>
  <c r="A208" i="34"/>
  <c r="B208" i="34"/>
  <c r="A209" i="34"/>
  <c r="B209" i="34"/>
  <c r="A210" i="34"/>
  <c r="B210" i="34"/>
  <c r="A211" i="34"/>
  <c r="B211" i="34"/>
  <c r="A212" i="34"/>
  <c r="B212" i="34"/>
  <c r="A213" i="34"/>
  <c r="B213" i="34"/>
  <c r="A214" i="34"/>
  <c r="B214" i="34"/>
  <c r="A215" i="34"/>
  <c r="B215" i="34"/>
  <c r="A216" i="34"/>
  <c r="B216" i="34"/>
  <c r="A217" i="34"/>
  <c r="B217" i="34"/>
  <c r="A218" i="34"/>
  <c r="B218" i="34"/>
  <c r="A219" i="34"/>
  <c r="B219" i="34"/>
  <c r="A220" i="34"/>
  <c r="B220" i="34"/>
  <c r="A221" i="34"/>
  <c r="B221" i="34"/>
  <c r="A222" i="34"/>
  <c r="B222" i="34"/>
  <c r="A223" i="34"/>
  <c r="B223" i="34"/>
  <c r="A224" i="34"/>
  <c r="B224" i="34"/>
  <c r="A225" i="34"/>
  <c r="B225" i="34"/>
  <c r="A226" i="34"/>
  <c r="B226" i="34"/>
  <c r="A227" i="34"/>
  <c r="B227" i="34"/>
  <c r="A228" i="34"/>
  <c r="B228" i="34"/>
  <c r="A229" i="34"/>
  <c r="B229" i="34"/>
  <c r="A230" i="34"/>
  <c r="B230" i="34"/>
  <c r="A231" i="34"/>
  <c r="B231" i="34"/>
  <c r="A232" i="34"/>
  <c r="B232" i="34"/>
  <c r="A233" i="34"/>
  <c r="B233" i="34"/>
  <c r="A234" i="34"/>
  <c r="B234" i="34"/>
  <c r="A235" i="34"/>
  <c r="B235" i="34"/>
  <c r="A236" i="34"/>
  <c r="B236" i="34"/>
  <c r="A237" i="34"/>
  <c r="B237" i="34"/>
  <c r="A238" i="34"/>
  <c r="B238" i="34"/>
  <c r="A239" i="34"/>
  <c r="B239" i="34"/>
  <c r="A240" i="34"/>
  <c r="B240" i="34"/>
  <c r="A241" i="34"/>
  <c r="B241" i="34"/>
  <c r="A242" i="34"/>
  <c r="B242" i="34"/>
  <c r="A243" i="34"/>
  <c r="B243" i="34"/>
  <c r="A244" i="34"/>
  <c r="B244" i="34"/>
  <c r="A245" i="34"/>
  <c r="B245" i="34"/>
  <c r="A246" i="34"/>
  <c r="B246" i="34"/>
  <c r="A247" i="34"/>
  <c r="B247" i="34"/>
  <c r="A248" i="34"/>
  <c r="B248" i="34"/>
  <c r="A249" i="34"/>
  <c r="B249" i="34"/>
  <c r="A250" i="34"/>
  <c r="B250" i="34"/>
  <c r="A251" i="34"/>
  <c r="B251" i="34"/>
  <c r="A252" i="34"/>
  <c r="B252" i="34"/>
  <c r="A253" i="34"/>
  <c r="B253" i="34"/>
  <c r="A254" i="34"/>
  <c r="B254" i="34"/>
  <c r="A255" i="34"/>
  <c r="B255" i="34"/>
  <c r="A256" i="34"/>
  <c r="B256" i="34"/>
  <c r="A257" i="34"/>
  <c r="B257" i="34"/>
  <c r="A258" i="34"/>
  <c r="B258" i="34"/>
  <c r="A259" i="34"/>
  <c r="B259" i="34"/>
  <c r="A260" i="34"/>
  <c r="B260" i="34"/>
  <c r="A261" i="34"/>
  <c r="B261" i="34"/>
  <c r="A262" i="34"/>
  <c r="B262" i="34"/>
  <c r="A263" i="34"/>
  <c r="B263" i="34"/>
  <c r="A264" i="34"/>
  <c r="B264" i="34"/>
  <c r="A265" i="34"/>
  <c r="B265" i="34"/>
  <c r="A266" i="34"/>
  <c r="B266" i="34"/>
  <c r="A267" i="34"/>
  <c r="B267" i="34"/>
  <c r="A268" i="34"/>
  <c r="B268" i="34"/>
  <c r="A269" i="34"/>
  <c r="B269" i="34"/>
  <c r="A270" i="34"/>
  <c r="B270" i="34"/>
  <c r="A271" i="34"/>
  <c r="B271" i="34"/>
  <c r="A272" i="34"/>
  <c r="B272" i="34"/>
  <c r="A273" i="34"/>
  <c r="B273" i="34"/>
  <c r="A274" i="34"/>
  <c r="B274" i="34"/>
  <c r="A275" i="34"/>
  <c r="B275" i="34"/>
  <c r="A276" i="34"/>
  <c r="B276" i="34"/>
  <c r="A277" i="34"/>
  <c r="B277" i="34"/>
  <c r="A278" i="34"/>
  <c r="B278" i="34"/>
  <c r="A279" i="34"/>
  <c r="B279" i="34"/>
  <c r="A280" i="34"/>
  <c r="B280" i="34"/>
  <c r="A281" i="34"/>
  <c r="B281" i="34"/>
  <c r="A282" i="34"/>
  <c r="B282" i="34"/>
  <c r="A283" i="34"/>
  <c r="B283" i="34"/>
  <c r="A284" i="34"/>
  <c r="B284" i="34"/>
  <c r="A285" i="34"/>
  <c r="B285" i="34"/>
  <c r="A286" i="34"/>
  <c r="B286" i="34"/>
  <c r="A287" i="34"/>
  <c r="B287" i="34"/>
  <c r="A288" i="34"/>
  <c r="B288" i="34"/>
  <c r="A289" i="34"/>
  <c r="B289" i="34"/>
  <c r="A290" i="34"/>
  <c r="B290" i="34"/>
  <c r="A291" i="34"/>
  <c r="B291" i="34"/>
  <c r="A292" i="34"/>
  <c r="B292" i="34"/>
  <c r="A293" i="34"/>
  <c r="B293" i="34"/>
  <c r="A294" i="34"/>
  <c r="B294" i="34"/>
  <c r="A295" i="34"/>
  <c r="B295" i="34"/>
  <c r="A296" i="34"/>
  <c r="B296" i="34"/>
  <c r="A297" i="34"/>
  <c r="B297" i="34"/>
  <c r="A298" i="34"/>
  <c r="B298" i="34"/>
  <c r="A299" i="34"/>
  <c r="B299" i="34"/>
  <c r="A300" i="34"/>
  <c r="B300" i="34"/>
  <c r="A301" i="34"/>
  <c r="B301" i="34"/>
  <c r="A302" i="34"/>
  <c r="B302" i="34"/>
  <c r="A303" i="34"/>
  <c r="B303" i="34"/>
  <c r="A304" i="34"/>
  <c r="B304" i="34"/>
  <c r="A305" i="34"/>
  <c r="B305" i="34"/>
  <c r="A306" i="34"/>
  <c r="B306" i="34"/>
  <c r="A307" i="34"/>
  <c r="B307" i="34"/>
  <c r="A308" i="34"/>
  <c r="B308" i="34"/>
  <c r="A309" i="34"/>
  <c r="B309" i="34"/>
  <c r="A310" i="34"/>
  <c r="B310" i="34"/>
  <c r="A311" i="34"/>
  <c r="B311" i="34"/>
  <c r="A312" i="34"/>
  <c r="B312" i="34"/>
  <c r="A313" i="34"/>
  <c r="B313" i="34"/>
  <c r="A314" i="34"/>
  <c r="B314" i="34"/>
  <c r="A315" i="34"/>
  <c r="B315" i="34"/>
  <c r="A316" i="34"/>
  <c r="B316" i="34"/>
  <c r="A317" i="34"/>
  <c r="B317" i="34"/>
  <c r="A318" i="34"/>
  <c r="B318" i="34"/>
  <c r="A319" i="34"/>
  <c r="B319" i="34"/>
  <c r="A320" i="34"/>
  <c r="B320" i="34"/>
  <c r="A321" i="34"/>
  <c r="B321" i="34"/>
  <c r="A322" i="34"/>
  <c r="B322" i="34"/>
  <c r="A323" i="34"/>
  <c r="B323" i="34"/>
  <c r="A324" i="34"/>
  <c r="B324" i="34"/>
  <c r="A325" i="34"/>
  <c r="B325" i="34"/>
  <c r="A326" i="34"/>
  <c r="B326" i="34"/>
  <c r="A327" i="34"/>
  <c r="B327" i="34"/>
  <c r="A328" i="34"/>
  <c r="B328" i="34"/>
  <c r="A329" i="34"/>
  <c r="B329" i="34"/>
  <c r="A330" i="34"/>
  <c r="B330" i="34"/>
  <c r="A331" i="34"/>
  <c r="B331" i="34"/>
  <c r="A332" i="34"/>
  <c r="B332" i="34"/>
  <c r="A333" i="34"/>
  <c r="B333" i="34"/>
  <c r="B16" i="34"/>
  <c r="A16" i="34"/>
  <c r="G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302" i="37"/>
  <c r="G303" i="37"/>
  <c r="G304" i="37"/>
  <c r="G305" i="37"/>
  <c r="G306" i="37"/>
  <c r="G307" i="37"/>
  <c r="G308" i="37"/>
  <c r="G309" i="37"/>
  <c r="G310" i="37"/>
  <c r="G311" i="37"/>
  <c r="G312" i="37"/>
  <c r="G313" i="37"/>
  <c r="G314" i="37"/>
  <c r="G315" i="37"/>
  <c r="G316" i="37"/>
  <c r="G317" i="37"/>
  <c r="G318" i="37"/>
  <c r="G319" i="37"/>
  <c r="G320" i="37"/>
  <c r="G321" i="37"/>
  <c r="G322" i="37"/>
  <c r="G9" i="37"/>
  <c r="G10" i="37"/>
  <c r="G6" i="37"/>
  <c r="G7" i="37"/>
  <c r="G8" i="37"/>
  <c r="G5" i="37"/>
  <c r="C6" i="37"/>
  <c r="C7" i="37"/>
  <c r="C8" i="37"/>
  <c r="C9" i="37"/>
  <c r="C10" i="37"/>
  <c r="C11" i="37"/>
  <c r="C12" i="37"/>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68" i="37"/>
  <c r="C69" i="37"/>
  <c r="C70" i="37"/>
  <c r="C71" i="37"/>
  <c r="C72" i="37"/>
  <c r="C73" i="37"/>
  <c r="C74" i="37"/>
  <c r="C75" i="37"/>
  <c r="C76" i="37"/>
  <c r="C77" i="37"/>
  <c r="C78" i="37"/>
  <c r="C79" i="37"/>
  <c r="C80" i="37"/>
  <c r="C81" i="37"/>
  <c r="C82" i="37"/>
  <c r="C83" i="37"/>
  <c r="C84" i="37"/>
  <c r="C85" i="37"/>
  <c r="C86" i="37"/>
  <c r="C87" i="37"/>
  <c r="C88" i="37"/>
  <c r="C89" i="37"/>
  <c r="C90" i="37"/>
  <c r="C91" i="37"/>
  <c r="C92" i="37"/>
  <c r="C93" i="37"/>
  <c r="C94" i="37"/>
  <c r="C95" i="37"/>
  <c r="C96" i="37"/>
  <c r="C97" i="37"/>
  <c r="C98" i="37"/>
  <c r="C99" i="37"/>
  <c r="C100" i="37"/>
  <c r="C101" i="37"/>
  <c r="C102" i="37"/>
  <c r="C103" i="37"/>
  <c r="C104" i="37"/>
  <c r="C105" i="37"/>
  <c r="C106" i="37"/>
  <c r="C107" i="37"/>
  <c r="C108" i="37"/>
  <c r="C109" i="37"/>
  <c r="C110" i="37"/>
  <c r="C111" i="37"/>
  <c r="C112" i="37"/>
  <c r="C113" i="37"/>
  <c r="C114" i="37"/>
  <c r="C115" i="37"/>
  <c r="C116" i="37"/>
  <c r="C117" i="37"/>
  <c r="C118" i="37"/>
  <c r="C119" i="37"/>
  <c r="C120" i="37"/>
  <c r="C121" i="37"/>
  <c r="C122" i="37"/>
  <c r="C123" i="37"/>
  <c r="C124" i="37"/>
  <c r="C125" i="37"/>
  <c r="C126" i="37"/>
  <c r="C127" i="37"/>
  <c r="C128" i="37"/>
  <c r="C129" i="37"/>
  <c r="C130" i="37"/>
  <c r="C131" i="37"/>
  <c r="C132" i="37"/>
  <c r="C133" i="37"/>
  <c r="C134" i="37"/>
  <c r="C135" i="37"/>
  <c r="C136" i="37"/>
  <c r="C137" i="37"/>
  <c r="C138" i="37"/>
  <c r="C139" i="37"/>
  <c r="C140" i="37"/>
  <c r="C141" i="37"/>
  <c r="C142" i="37"/>
  <c r="C143" i="37"/>
  <c r="C144" i="37"/>
  <c r="C145" i="37"/>
  <c r="C146" i="37"/>
  <c r="C147" i="37"/>
  <c r="C148" i="37"/>
  <c r="C149" i="37"/>
  <c r="C150" i="37"/>
  <c r="C151" i="37"/>
  <c r="C152" i="37"/>
  <c r="C153" i="37"/>
  <c r="C154" i="37"/>
  <c r="C155" i="37"/>
  <c r="C156" i="37"/>
  <c r="C157" i="37"/>
  <c r="C158" i="37"/>
  <c r="C159" i="37"/>
  <c r="C160" i="37"/>
  <c r="C161" i="37"/>
  <c r="C162" i="37"/>
  <c r="C163" i="37"/>
  <c r="C164" i="37"/>
  <c r="C165" i="37"/>
  <c r="C166" i="37"/>
  <c r="C167" i="37"/>
  <c r="C168" i="37"/>
  <c r="C169" i="37"/>
  <c r="C170" i="37"/>
  <c r="C171" i="37"/>
  <c r="C172" i="37"/>
  <c r="C173" i="37"/>
  <c r="C174" i="37"/>
  <c r="C175" i="37"/>
  <c r="C176" i="37"/>
  <c r="C177" i="37"/>
  <c r="C178" i="37"/>
  <c r="C179" i="37"/>
  <c r="C180" i="37"/>
  <c r="C181" i="37"/>
  <c r="C182" i="37"/>
  <c r="C183" i="37"/>
  <c r="C184" i="37"/>
  <c r="C185" i="37"/>
  <c r="C186" i="37"/>
  <c r="C187" i="37"/>
  <c r="C188" i="37"/>
  <c r="C189" i="37"/>
  <c r="C190" i="37"/>
  <c r="C191" i="37"/>
  <c r="C192" i="37"/>
  <c r="C193" i="37"/>
  <c r="C194" i="37"/>
  <c r="C195" i="37"/>
  <c r="C196" i="37"/>
  <c r="C197" i="37"/>
  <c r="C198" i="37"/>
  <c r="C199" i="37"/>
  <c r="C200" i="37"/>
  <c r="C201" i="37"/>
  <c r="C202" i="37"/>
  <c r="C203" i="37"/>
  <c r="C204" i="37"/>
  <c r="C205" i="37"/>
  <c r="C206" i="37"/>
  <c r="C207" i="37"/>
  <c r="C208" i="37"/>
  <c r="C209" i="37"/>
  <c r="C210" i="37"/>
  <c r="C211" i="37"/>
  <c r="C212" i="37"/>
  <c r="C213" i="37"/>
  <c r="C214" i="37"/>
  <c r="C215" i="37"/>
  <c r="C216" i="37"/>
  <c r="C217" i="37"/>
  <c r="C218" i="37"/>
  <c r="C219" i="37"/>
  <c r="C220" i="37"/>
  <c r="C221" i="37"/>
  <c r="C222" i="37"/>
  <c r="C223" i="37"/>
  <c r="C224" i="37"/>
  <c r="C225" i="37"/>
  <c r="C226" i="37"/>
  <c r="C227" i="37"/>
  <c r="C228" i="37"/>
  <c r="C229" i="37"/>
  <c r="C230" i="37"/>
  <c r="C231" i="37"/>
  <c r="C232" i="37"/>
  <c r="C233" i="37"/>
  <c r="C234" i="37"/>
  <c r="C235" i="37"/>
  <c r="C236" i="37"/>
  <c r="C237" i="37"/>
  <c r="C238" i="37"/>
  <c r="C239" i="37"/>
  <c r="C240" i="37"/>
  <c r="C241" i="37"/>
  <c r="C242" i="37"/>
  <c r="C243" i="37"/>
  <c r="C244" i="37"/>
  <c r="C245" i="37"/>
  <c r="C246" i="37"/>
  <c r="C247" i="37"/>
  <c r="C248" i="37"/>
  <c r="C249" i="37"/>
  <c r="C250" i="37"/>
  <c r="C251" i="37"/>
  <c r="C252" i="37"/>
  <c r="C253" i="37"/>
  <c r="C254" i="37"/>
  <c r="C255" i="37"/>
  <c r="C256" i="37"/>
  <c r="C257" i="37"/>
  <c r="C258" i="37"/>
  <c r="C259" i="37"/>
  <c r="C260" i="37"/>
  <c r="C261" i="37"/>
  <c r="C262" i="37"/>
  <c r="C263" i="37"/>
  <c r="C264" i="37"/>
  <c r="C265" i="37"/>
  <c r="C266" i="37"/>
  <c r="C267" i="37"/>
  <c r="C268" i="37"/>
  <c r="C269" i="37"/>
  <c r="C270" i="37"/>
  <c r="C271" i="37"/>
  <c r="C272" i="37"/>
  <c r="C273" i="37"/>
  <c r="C274" i="37"/>
  <c r="C275" i="37"/>
  <c r="C276" i="37"/>
  <c r="C277" i="37"/>
  <c r="C278" i="37"/>
  <c r="C279" i="37"/>
  <c r="C280" i="37"/>
  <c r="C281" i="37"/>
  <c r="C282" i="37"/>
  <c r="C283" i="37"/>
  <c r="C284" i="37"/>
  <c r="C285" i="37"/>
  <c r="C286" i="37"/>
  <c r="C287" i="37"/>
  <c r="C288" i="37"/>
  <c r="C289" i="37"/>
  <c r="C290" i="37"/>
  <c r="C291" i="37"/>
  <c r="C292" i="37"/>
  <c r="C293" i="37"/>
  <c r="C294" i="37"/>
  <c r="C295" i="37"/>
  <c r="C296" i="37"/>
  <c r="C297" i="37"/>
  <c r="C298" i="37"/>
  <c r="C299" i="37"/>
  <c r="C300" i="37"/>
  <c r="C301" i="37"/>
  <c r="C302" i="37"/>
  <c r="C303" i="37"/>
  <c r="C304" i="37"/>
  <c r="C305" i="37"/>
  <c r="C306" i="37"/>
  <c r="C307" i="37"/>
  <c r="C308" i="37"/>
  <c r="C309" i="37"/>
  <c r="C310" i="37"/>
  <c r="C311" i="37"/>
  <c r="C312" i="37"/>
  <c r="C313" i="37"/>
  <c r="C314" i="37"/>
  <c r="C315" i="37"/>
  <c r="C316" i="37"/>
  <c r="C317" i="37"/>
  <c r="C318" i="37"/>
  <c r="C319" i="37"/>
  <c r="C320" i="37"/>
  <c r="C321" i="37"/>
  <c r="C322" i="37"/>
  <c r="C5" i="37"/>
  <c r="A6" i="37"/>
  <c r="B6" i="37"/>
  <c r="A7" i="37"/>
  <c r="B7" i="37"/>
  <c r="A8" i="37"/>
  <c r="B8" i="37"/>
  <c r="A9" i="37"/>
  <c r="B9" i="37"/>
  <c r="A10" i="37"/>
  <c r="B10" i="37"/>
  <c r="A11" i="37"/>
  <c r="B11" i="37"/>
  <c r="A12" i="37"/>
  <c r="B12" i="37"/>
  <c r="A13" i="37"/>
  <c r="B13" i="37"/>
  <c r="A14" i="37"/>
  <c r="B14" i="37"/>
  <c r="A15" i="37"/>
  <c r="B15" i="37"/>
  <c r="A16" i="37"/>
  <c r="B16" i="37"/>
  <c r="A17" i="37"/>
  <c r="B17" i="37"/>
  <c r="A18" i="37"/>
  <c r="B18" i="37"/>
  <c r="A19" i="37"/>
  <c r="B19" i="37"/>
  <c r="A20" i="37"/>
  <c r="B20" i="37"/>
  <c r="A21" i="37"/>
  <c r="B21" i="37"/>
  <c r="A22" i="37"/>
  <c r="B22" i="37"/>
  <c r="A23" i="37"/>
  <c r="B23" i="37"/>
  <c r="A24" i="37"/>
  <c r="B24" i="37"/>
  <c r="A25" i="37"/>
  <c r="B25" i="37"/>
  <c r="A26" i="37"/>
  <c r="B26" i="37"/>
  <c r="A27" i="37"/>
  <c r="B27" i="37"/>
  <c r="A28" i="37"/>
  <c r="B28" i="37"/>
  <c r="A29" i="37"/>
  <c r="B29" i="37"/>
  <c r="A30" i="37"/>
  <c r="B30" i="37"/>
  <c r="A31" i="37"/>
  <c r="B31" i="37"/>
  <c r="A32" i="37"/>
  <c r="B32" i="37"/>
  <c r="A33" i="37"/>
  <c r="B33" i="37"/>
  <c r="A34" i="37"/>
  <c r="B34" i="37"/>
  <c r="A35" i="37"/>
  <c r="B35" i="37"/>
  <c r="A36" i="37"/>
  <c r="B36" i="37"/>
  <c r="A37" i="37"/>
  <c r="B37" i="37"/>
  <c r="A38" i="37"/>
  <c r="B38" i="37"/>
  <c r="A39" i="37"/>
  <c r="B39" i="37"/>
  <c r="A40" i="37"/>
  <c r="B40" i="37"/>
  <c r="A41" i="37"/>
  <c r="B41" i="37"/>
  <c r="A42" i="37"/>
  <c r="B42" i="37"/>
  <c r="A43" i="37"/>
  <c r="B43" i="37"/>
  <c r="A44" i="37"/>
  <c r="B44" i="37"/>
  <c r="A45" i="37"/>
  <c r="B45" i="37"/>
  <c r="A46" i="37"/>
  <c r="B46" i="37"/>
  <c r="A47" i="37"/>
  <c r="B47" i="37"/>
  <c r="A48" i="37"/>
  <c r="B48" i="37"/>
  <c r="A49" i="37"/>
  <c r="B49" i="37"/>
  <c r="A50" i="37"/>
  <c r="B50" i="37"/>
  <c r="A51" i="37"/>
  <c r="B51" i="37"/>
  <c r="A52" i="37"/>
  <c r="B52" i="37"/>
  <c r="A53" i="37"/>
  <c r="B53" i="37"/>
  <c r="A54" i="37"/>
  <c r="B54" i="37"/>
  <c r="A55" i="37"/>
  <c r="B55" i="37"/>
  <c r="A56" i="37"/>
  <c r="B56" i="37"/>
  <c r="A57" i="37"/>
  <c r="B57" i="37"/>
  <c r="A58" i="37"/>
  <c r="B58" i="37"/>
  <c r="A59" i="37"/>
  <c r="B59" i="37"/>
  <c r="A60" i="37"/>
  <c r="B60" i="37"/>
  <c r="A61" i="37"/>
  <c r="B61" i="37"/>
  <c r="A62" i="37"/>
  <c r="B62" i="37"/>
  <c r="A63" i="37"/>
  <c r="B63" i="37"/>
  <c r="A64" i="37"/>
  <c r="B64" i="37"/>
  <c r="A65" i="37"/>
  <c r="B65" i="37"/>
  <c r="A66" i="37"/>
  <c r="B66" i="37"/>
  <c r="A67" i="37"/>
  <c r="B67" i="37"/>
  <c r="A68" i="37"/>
  <c r="B68" i="37"/>
  <c r="A69" i="37"/>
  <c r="B69" i="37"/>
  <c r="A70" i="37"/>
  <c r="B70" i="37"/>
  <c r="A71" i="37"/>
  <c r="B71" i="37"/>
  <c r="A72" i="37"/>
  <c r="B72" i="37"/>
  <c r="A73" i="37"/>
  <c r="B73" i="37"/>
  <c r="A74" i="37"/>
  <c r="B74" i="37"/>
  <c r="A75" i="37"/>
  <c r="B75" i="37"/>
  <c r="A76" i="37"/>
  <c r="B76" i="37"/>
  <c r="A77" i="37"/>
  <c r="B77" i="37"/>
  <c r="A78" i="37"/>
  <c r="B78" i="37"/>
  <c r="A79" i="37"/>
  <c r="B79" i="37"/>
  <c r="A80" i="37"/>
  <c r="B80" i="37"/>
  <c r="A81" i="37"/>
  <c r="B81" i="37"/>
  <c r="A82" i="37"/>
  <c r="B82" i="37"/>
  <c r="A83" i="37"/>
  <c r="B83" i="37"/>
  <c r="A84" i="37"/>
  <c r="B84" i="37"/>
  <c r="A85" i="37"/>
  <c r="B85" i="37"/>
  <c r="A86" i="37"/>
  <c r="B86" i="37"/>
  <c r="A87" i="37"/>
  <c r="B87" i="37"/>
  <c r="A88" i="37"/>
  <c r="B88" i="37"/>
  <c r="A89" i="37"/>
  <c r="B89" i="37"/>
  <c r="A90" i="37"/>
  <c r="B90" i="37"/>
  <c r="A91" i="37"/>
  <c r="B91" i="37"/>
  <c r="A92" i="37"/>
  <c r="B92" i="37"/>
  <c r="A93" i="37"/>
  <c r="B93" i="37"/>
  <c r="A94" i="37"/>
  <c r="B94" i="37"/>
  <c r="A95" i="37"/>
  <c r="B95" i="37"/>
  <c r="A96" i="37"/>
  <c r="B96" i="37"/>
  <c r="A97" i="37"/>
  <c r="B97" i="37"/>
  <c r="A98" i="37"/>
  <c r="B98" i="37"/>
  <c r="A99" i="37"/>
  <c r="B99" i="37"/>
  <c r="A100" i="37"/>
  <c r="B100" i="37"/>
  <c r="A101" i="37"/>
  <c r="B101" i="37"/>
  <c r="A102" i="37"/>
  <c r="B102" i="37"/>
  <c r="A103" i="37"/>
  <c r="B103" i="37"/>
  <c r="A104" i="37"/>
  <c r="B104" i="37"/>
  <c r="A105" i="37"/>
  <c r="B105" i="37"/>
  <c r="A106" i="37"/>
  <c r="B106" i="37"/>
  <c r="A107" i="37"/>
  <c r="B107" i="37"/>
  <c r="A108" i="37"/>
  <c r="B108" i="37"/>
  <c r="A109" i="37"/>
  <c r="B109" i="37"/>
  <c r="A110" i="37"/>
  <c r="B110" i="37"/>
  <c r="A111" i="37"/>
  <c r="B111" i="37"/>
  <c r="A112" i="37"/>
  <c r="B112" i="37"/>
  <c r="A113" i="37"/>
  <c r="B113" i="37"/>
  <c r="A114" i="37"/>
  <c r="B114" i="37"/>
  <c r="A115" i="37"/>
  <c r="B115" i="37"/>
  <c r="A116" i="37"/>
  <c r="B116" i="37"/>
  <c r="A117" i="37"/>
  <c r="B117" i="37"/>
  <c r="A118" i="37"/>
  <c r="B118" i="37"/>
  <c r="A119" i="37"/>
  <c r="B119" i="37"/>
  <c r="A120" i="37"/>
  <c r="B120" i="37"/>
  <c r="A121" i="37"/>
  <c r="B121" i="37"/>
  <c r="A122" i="37"/>
  <c r="B122" i="37"/>
  <c r="A123" i="37"/>
  <c r="B123" i="37"/>
  <c r="A124" i="37"/>
  <c r="B124" i="37"/>
  <c r="A125" i="37"/>
  <c r="B125" i="37"/>
  <c r="A126" i="37"/>
  <c r="B126" i="37"/>
  <c r="A127" i="37"/>
  <c r="B127" i="37"/>
  <c r="A128" i="37"/>
  <c r="B128" i="37"/>
  <c r="A129" i="37"/>
  <c r="B129" i="37"/>
  <c r="A130" i="37"/>
  <c r="B130" i="37"/>
  <c r="A131" i="37"/>
  <c r="B131" i="37"/>
  <c r="A132" i="37"/>
  <c r="B132" i="37"/>
  <c r="A133" i="37"/>
  <c r="B133" i="37"/>
  <c r="A134" i="37"/>
  <c r="B134" i="37"/>
  <c r="A135" i="37"/>
  <c r="B135" i="37"/>
  <c r="A136" i="37"/>
  <c r="B136" i="37"/>
  <c r="A137" i="37"/>
  <c r="B137" i="37"/>
  <c r="A138" i="37"/>
  <c r="B138" i="37"/>
  <c r="A139" i="37"/>
  <c r="B139" i="37"/>
  <c r="A140" i="37"/>
  <c r="B140" i="37"/>
  <c r="A141" i="37"/>
  <c r="B141" i="37"/>
  <c r="A142" i="37"/>
  <c r="B142" i="37"/>
  <c r="A143" i="37"/>
  <c r="B143" i="37"/>
  <c r="A144" i="37"/>
  <c r="B144" i="37"/>
  <c r="A145" i="37"/>
  <c r="B145" i="37"/>
  <c r="A146" i="37"/>
  <c r="B146" i="37"/>
  <c r="A147" i="37"/>
  <c r="B147" i="37"/>
  <c r="A148" i="37"/>
  <c r="B148" i="37"/>
  <c r="A149" i="37"/>
  <c r="B149" i="37"/>
  <c r="A150" i="37"/>
  <c r="B150" i="37"/>
  <c r="A151" i="37"/>
  <c r="B151" i="37"/>
  <c r="A152" i="37"/>
  <c r="B152" i="37"/>
  <c r="A153" i="37"/>
  <c r="B153" i="37"/>
  <c r="A154" i="37"/>
  <c r="B154" i="37"/>
  <c r="A155" i="37"/>
  <c r="B155" i="37"/>
  <c r="A156" i="37"/>
  <c r="B156" i="37"/>
  <c r="A157" i="37"/>
  <c r="B157" i="37"/>
  <c r="A158" i="37"/>
  <c r="B158" i="37"/>
  <c r="A159" i="37"/>
  <c r="B159" i="37"/>
  <c r="A160" i="37"/>
  <c r="B160" i="37"/>
  <c r="A161" i="37"/>
  <c r="B161" i="37"/>
  <c r="A162" i="37"/>
  <c r="B162" i="37"/>
  <c r="A163" i="37"/>
  <c r="B163" i="37"/>
  <c r="A164" i="37"/>
  <c r="B164" i="37"/>
  <c r="A165" i="37"/>
  <c r="B165" i="37"/>
  <c r="A166" i="37"/>
  <c r="B166" i="37"/>
  <c r="A167" i="37"/>
  <c r="B167" i="37"/>
  <c r="A168" i="37"/>
  <c r="B168" i="37"/>
  <c r="A169" i="37"/>
  <c r="B169" i="37"/>
  <c r="A170" i="37"/>
  <c r="B170" i="37"/>
  <c r="A171" i="37"/>
  <c r="B171" i="37"/>
  <c r="A172" i="37"/>
  <c r="B172" i="37"/>
  <c r="A173" i="37"/>
  <c r="B173" i="37"/>
  <c r="A174" i="37"/>
  <c r="B174" i="37"/>
  <c r="A175" i="37"/>
  <c r="B175" i="37"/>
  <c r="A176" i="37"/>
  <c r="B176" i="37"/>
  <c r="A177" i="37"/>
  <c r="B177" i="37"/>
  <c r="A178" i="37"/>
  <c r="B178" i="37"/>
  <c r="A179" i="37"/>
  <c r="B179" i="37"/>
  <c r="A180" i="37"/>
  <c r="B180" i="37"/>
  <c r="A181" i="37"/>
  <c r="B181" i="37"/>
  <c r="A182" i="37"/>
  <c r="B182" i="37"/>
  <c r="A183" i="37"/>
  <c r="B183" i="37"/>
  <c r="A184" i="37"/>
  <c r="B184" i="37"/>
  <c r="A185" i="37"/>
  <c r="B185" i="37"/>
  <c r="A186" i="37"/>
  <c r="B186" i="37"/>
  <c r="A187" i="37"/>
  <c r="B187" i="37"/>
  <c r="A188" i="37"/>
  <c r="B188" i="37"/>
  <c r="A189" i="37"/>
  <c r="B189" i="37"/>
  <c r="A190" i="37"/>
  <c r="B190" i="37"/>
  <c r="A191" i="37"/>
  <c r="B191" i="37"/>
  <c r="A192" i="37"/>
  <c r="B192" i="37"/>
  <c r="A193" i="37"/>
  <c r="B193" i="37"/>
  <c r="A194" i="37"/>
  <c r="B194" i="37"/>
  <c r="A195" i="37"/>
  <c r="B195" i="37"/>
  <c r="A196" i="37"/>
  <c r="B196" i="37"/>
  <c r="A197" i="37"/>
  <c r="B197" i="37"/>
  <c r="A198" i="37"/>
  <c r="B198" i="37"/>
  <c r="A199" i="37"/>
  <c r="B199" i="37"/>
  <c r="A200" i="37"/>
  <c r="B200" i="37"/>
  <c r="A201" i="37"/>
  <c r="B201" i="37"/>
  <c r="A202" i="37"/>
  <c r="B202" i="37"/>
  <c r="A203" i="37"/>
  <c r="B203" i="37"/>
  <c r="A204" i="37"/>
  <c r="B204" i="37"/>
  <c r="A205" i="37"/>
  <c r="B205" i="37"/>
  <c r="A206" i="37"/>
  <c r="B206" i="37"/>
  <c r="A207" i="37"/>
  <c r="B207" i="37"/>
  <c r="A208" i="37"/>
  <c r="B208" i="37"/>
  <c r="A209" i="37"/>
  <c r="B209" i="37"/>
  <c r="A210" i="37"/>
  <c r="B210" i="37"/>
  <c r="A211" i="37"/>
  <c r="B211" i="37"/>
  <c r="A212" i="37"/>
  <c r="B212" i="37"/>
  <c r="A213" i="37"/>
  <c r="B213" i="37"/>
  <c r="A214" i="37"/>
  <c r="B214" i="37"/>
  <c r="A215" i="37"/>
  <c r="B215" i="37"/>
  <c r="A216" i="37"/>
  <c r="B216" i="37"/>
  <c r="A217" i="37"/>
  <c r="B217" i="37"/>
  <c r="A218" i="37"/>
  <c r="B218" i="37"/>
  <c r="A219" i="37"/>
  <c r="B219" i="37"/>
  <c r="A220" i="37"/>
  <c r="B220" i="37"/>
  <c r="A221" i="37"/>
  <c r="B221" i="37"/>
  <c r="A222" i="37"/>
  <c r="B222" i="37"/>
  <c r="A223" i="37"/>
  <c r="B223" i="37"/>
  <c r="A224" i="37"/>
  <c r="B224" i="37"/>
  <c r="A225" i="37"/>
  <c r="B225" i="37"/>
  <c r="A226" i="37"/>
  <c r="B226" i="37"/>
  <c r="A227" i="37"/>
  <c r="B227" i="37"/>
  <c r="A228" i="37"/>
  <c r="B228" i="37"/>
  <c r="A229" i="37"/>
  <c r="B229" i="37"/>
  <c r="A230" i="37"/>
  <c r="B230" i="37"/>
  <c r="A231" i="37"/>
  <c r="B231" i="37"/>
  <c r="A232" i="37"/>
  <c r="B232" i="37"/>
  <c r="A233" i="37"/>
  <c r="B233" i="37"/>
  <c r="A234" i="37"/>
  <c r="B234" i="37"/>
  <c r="A235" i="37"/>
  <c r="B235" i="37"/>
  <c r="A236" i="37"/>
  <c r="B236" i="37"/>
  <c r="A237" i="37"/>
  <c r="B237" i="37"/>
  <c r="A238" i="37"/>
  <c r="B238" i="37"/>
  <c r="A239" i="37"/>
  <c r="B239" i="37"/>
  <c r="A240" i="37"/>
  <c r="B240" i="37"/>
  <c r="A241" i="37"/>
  <c r="B241" i="37"/>
  <c r="A242" i="37"/>
  <c r="B242" i="37"/>
  <c r="A243" i="37"/>
  <c r="B243" i="37"/>
  <c r="A244" i="37"/>
  <c r="B244" i="37"/>
  <c r="A245" i="37"/>
  <c r="B245" i="37"/>
  <c r="A246" i="37"/>
  <c r="B246" i="37"/>
  <c r="A247" i="37"/>
  <c r="B247" i="37"/>
  <c r="A248" i="37"/>
  <c r="B248" i="37"/>
  <c r="A249" i="37"/>
  <c r="B249" i="37"/>
  <c r="A250" i="37"/>
  <c r="B250" i="37"/>
  <c r="A251" i="37"/>
  <c r="B251" i="37"/>
  <c r="A252" i="37"/>
  <c r="B252" i="37"/>
  <c r="A253" i="37"/>
  <c r="B253" i="37"/>
  <c r="A254" i="37"/>
  <c r="B254" i="37"/>
  <c r="A255" i="37"/>
  <c r="B255" i="37"/>
  <c r="A256" i="37"/>
  <c r="B256" i="37"/>
  <c r="A257" i="37"/>
  <c r="B257" i="37"/>
  <c r="A258" i="37"/>
  <c r="B258" i="37"/>
  <c r="A259" i="37"/>
  <c r="B259" i="37"/>
  <c r="A260" i="37"/>
  <c r="B260" i="37"/>
  <c r="A261" i="37"/>
  <c r="B261" i="37"/>
  <c r="A262" i="37"/>
  <c r="B262" i="37"/>
  <c r="A263" i="37"/>
  <c r="B263" i="37"/>
  <c r="A264" i="37"/>
  <c r="B264" i="37"/>
  <c r="A265" i="37"/>
  <c r="B265" i="37"/>
  <c r="A266" i="37"/>
  <c r="B266" i="37"/>
  <c r="A267" i="37"/>
  <c r="B267" i="37"/>
  <c r="A268" i="37"/>
  <c r="B268" i="37"/>
  <c r="A269" i="37"/>
  <c r="B269" i="37"/>
  <c r="A270" i="37"/>
  <c r="B270" i="37"/>
  <c r="A271" i="37"/>
  <c r="B271" i="37"/>
  <c r="A272" i="37"/>
  <c r="B272" i="37"/>
  <c r="A273" i="37"/>
  <c r="B273" i="37"/>
  <c r="A274" i="37"/>
  <c r="B274" i="37"/>
  <c r="A275" i="37"/>
  <c r="B275" i="37"/>
  <c r="A276" i="37"/>
  <c r="B276" i="37"/>
  <c r="A277" i="37"/>
  <c r="B277" i="37"/>
  <c r="A278" i="37"/>
  <c r="B278" i="37"/>
  <c r="A279" i="37"/>
  <c r="B279" i="37"/>
  <c r="A280" i="37"/>
  <c r="B280" i="37"/>
  <c r="A281" i="37"/>
  <c r="B281" i="37"/>
  <c r="A282" i="37"/>
  <c r="B282" i="37"/>
  <c r="A283" i="37"/>
  <c r="B283" i="37"/>
  <c r="A284" i="37"/>
  <c r="B284" i="37"/>
  <c r="A285" i="37"/>
  <c r="B285" i="37"/>
  <c r="A286" i="37"/>
  <c r="B286" i="37"/>
  <c r="A287" i="37"/>
  <c r="B287" i="37"/>
  <c r="A288" i="37"/>
  <c r="B288" i="37"/>
  <c r="A289" i="37"/>
  <c r="B289" i="37"/>
  <c r="A290" i="37"/>
  <c r="B290" i="37"/>
  <c r="A291" i="37"/>
  <c r="B291" i="37"/>
  <c r="A292" i="37"/>
  <c r="B292" i="37"/>
  <c r="A293" i="37"/>
  <c r="B293" i="37"/>
  <c r="A294" i="37"/>
  <c r="B294" i="37"/>
  <c r="A295" i="37"/>
  <c r="B295" i="37"/>
  <c r="A296" i="37"/>
  <c r="B296" i="37"/>
  <c r="A297" i="37"/>
  <c r="B297" i="37"/>
  <c r="A298" i="37"/>
  <c r="B298" i="37"/>
  <c r="A299" i="37"/>
  <c r="B299" i="37"/>
  <c r="A300" i="37"/>
  <c r="B300" i="37"/>
  <c r="A301" i="37"/>
  <c r="B301" i="37"/>
  <c r="A302" i="37"/>
  <c r="B302" i="37"/>
  <c r="A303" i="37"/>
  <c r="B303" i="37"/>
  <c r="A304" i="37"/>
  <c r="B304" i="37"/>
  <c r="A305" i="37"/>
  <c r="B305" i="37"/>
  <c r="A306" i="37"/>
  <c r="B306" i="37"/>
  <c r="A307" i="37"/>
  <c r="B307" i="37"/>
  <c r="A308" i="37"/>
  <c r="B308" i="37"/>
  <c r="A309" i="37"/>
  <c r="B309" i="37"/>
  <c r="A310" i="37"/>
  <c r="B310" i="37"/>
  <c r="A311" i="37"/>
  <c r="B311" i="37"/>
  <c r="A312" i="37"/>
  <c r="B312" i="37"/>
  <c r="A313" i="37"/>
  <c r="B313" i="37"/>
  <c r="A314" i="37"/>
  <c r="B314" i="37"/>
  <c r="A315" i="37"/>
  <c r="B315" i="37"/>
  <c r="A316" i="37"/>
  <c r="B316" i="37"/>
  <c r="A317" i="37"/>
  <c r="B317" i="37"/>
  <c r="A318" i="37"/>
  <c r="B318" i="37"/>
  <c r="A319" i="37"/>
  <c r="B319" i="37"/>
  <c r="A320" i="37"/>
  <c r="B320" i="37"/>
  <c r="A321" i="37"/>
  <c r="B321" i="37"/>
  <c r="A322" i="37"/>
  <c r="B322" i="37"/>
  <c r="B5" i="37"/>
  <c r="A5" i="37"/>
  <c r="C9" i="36"/>
  <c r="C10" i="36"/>
  <c r="C11" i="36"/>
  <c r="C12" i="36"/>
  <c r="C13" i="36"/>
  <c r="C14" i="36"/>
  <c r="C15" i="36"/>
  <c r="C16" i="36"/>
  <c r="C17" i="36"/>
  <c r="C18" i="36"/>
  <c r="C19" i="36"/>
  <c r="C20" i="36"/>
  <c r="C21" i="36"/>
  <c r="C22" i="36"/>
  <c r="C23" i="36"/>
  <c r="C24" i="36"/>
  <c r="C25" i="36"/>
  <c r="C26" i="36"/>
  <c r="C27" i="36"/>
  <c r="C28" i="36"/>
  <c r="C29" i="36"/>
  <c r="C30" i="36"/>
  <c r="C31" i="36"/>
  <c r="C32" i="36"/>
  <c r="C33" i="36"/>
  <c r="C34" i="36"/>
  <c r="C35" i="36"/>
  <c r="C36" i="36"/>
  <c r="C37" i="36"/>
  <c r="C38" i="36"/>
  <c r="C39" i="36"/>
  <c r="C40" i="36"/>
  <c r="C41" i="36"/>
  <c r="C42" i="36"/>
  <c r="C43" i="36"/>
  <c r="C44" i="36"/>
  <c r="C45" i="36"/>
  <c r="C46" i="36"/>
  <c r="C47" i="36"/>
  <c r="C48" i="36"/>
  <c r="C49" i="36"/>
  <c r="C50" i="36"/>
  <c r="C51" i="36"/>
  <c r="C52" i="36"/>
  <c r="C53" i="36"/>
  <c r="C54" i="36"/>
  <c r="C55" i="36"/>
  <c r="C56" i="36"/>
  <c r="C57" i="36"/>
  <c r="C58" i="36"/>
  <c r="C59" i="36"/>
  <c r="C60" i="36"/>
  <c r="C61" i="36"/>
  <c r="C62" i="36"/>
  <c r="C63" i="36"/>
  <c r="C64" i="36"/>
  <c r="C65" i="36"/>
  <c r="C66" i="36"/>
  <c r="C67" i="36"/>
  <c r="C68" i="36"/>
  <c r="C69" i="36"/>
  <c r="C70" i="36"/>
  <c r="C71" i="36"/>
  <c r="C72" i="36"/>
  <c r="C73" i="36"/>
  <c r="C74" i="36"/>
  <c r="C75" i="36"/>
  <c r="C76" i="36"/>
  <c r="C77" i="36"/>
  <c r="C78" i="36"/>
  <c r="C79" i="36"/>
  <c r="C80" i="36"/>
  <c r="C81" i="36"/>
  <c r="C82" i="36"/>
  <c r="C83" i="36"/>
  <c r="C84" i="36"/>
  <c r="C85" i="36"/>
  <c r="C86" i="36"/>
  <c r="C87" i="36"/>
  <c r="C88" i="36"/>
  <c r="C89" i="36"/>
  <c r="C90" i="36"/>
  <c r="C91" i="36"/>
  <c r="C92" i="36"/>
  <c r="C93" i="36"/>
  <c r="C94" i="36"/>
  <c r="C95" i="36"/>
  <c r="C96" i="36"/>
  <c r="C97" i="36"/>
  <c r="C98" i="36"/>
  <c r="C99" i="36"/>
  <c r="C100" i="36"/>
  <c r="C101" i="36"/>
  <c r="C102" i="36"/>
  <c r="C103" i="36"/>
  <c r="C104" i="36"/>
  <c r="C105" i="36"/>
  <c r="C106" i="36"/>
  <c r="C107" i="36"/>
  <c r="C108" i="36"/>
  <c r="C109" i="36"/>
  <c r="C110"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C140" i="36"/>
  <c r="C141" i="36"/>
  <c r="C142" i="36"/>
  <c r="C143" i="36"/>
  <c r="C144" i="36"/>
  <c r="C145" i="36"/>
  <c r="C146" i="36"/>
  <c r="C147" i="36"/>
  <c r="C148" i="36"/>
  <c r="C149" i="36"/>
  <c r="C150" i="36"/>
  <c r="C151" i="36"/>
  <c r="C152" i="36"/>
  <c r="C153" i="36"/>
  <c r="C154" i="36"/>
  <c r="C155" i="36"/>
  <c r="C156" i="36"/>
  <c r="C157" i="36"/>
  <c r="C158" i="36"/>
  <c r="C159" i="36"/>
  <c r="C160" i="36"/>
  <c r="C161" i="36"/>
  <c r="C162" i="36"/>
  <c r="C163" i="36"/>
  <c r="C164" i="36"/>
  <c r="C165" i="36"/>
  <c r="C166" i="36"/>
  <c r="C167" i="36"/>
  <c r="C168" i="36"/>
  <c r="C169" i="36"/>
  <c r="C170" i="36"/>
  <c r="C171" i="36"/>
  <c r="C172" i="36"/>
  <c r="C173" i="36"/>
  <c r="C174" i="36"/>
  <c r="C175" i="36"/>
  <c r="C176" i="36"/>
  <c r="C177" i="36"/>
  <c r="C178" i="36"/>
  <c r="C179" i="36"/>
  <c r="C180" i="36"/>
  <c r="C181" i="36"/>
  <c r="C182" i="36"/>
  <c r="C183" i="36"/>
  <c r="C184" i="36"/>
  <c r="C185" i="36"/>
  <c r="C186" i="36"/>
  <c r="C187" i="36"/>
  <c r="C188" i="36"/>
  <c r="C189" i="36"/>
  <c r="C190" i="36"/>
  <c r="C191" i="36"/>
  <c r="C192" i="36"/>
  <c r="C193" i="36"/>
  <c r="C194" i="36"/>
  <c r="C195" i="36"/>
  <c r="C196" i="36"/>
  <c r="C197" i="36"/>
  <c r="C198" i="36"/>
  <c r="C199" i="36"/>
  <c r="C200" i="36"/>
  <c r="C201" i="36"/>
  <c r="C202" i="36"/>
  <c r="C203" i="36"/>
  <c r="C204" i="36"/>
  <c r="C205" i="36"/>
  <c r="C206" i="36"/>
  <c r="C207" i="36"/>
  <c r="C208" i="36"/>
  <c r="C209" i="36"/>
  <c r="C210" i="36"/>
  <c r="C211" i="36"/>
  <c r="C212" i="36"/>
  <c r="C213" i="36"/>
  <c r="C214" i="36"/>
  <c r="C215" i="36"/>
  <c r="C216" i="36"/>
  <c r="C217" i="36"/>
  <c r="C218" i="36"/>
  <c r="C219" i="36"/>
  <c r="C220" i="36"/>
  <c r="C221" i="36"/>
  <c r="C222" i="36"/>
  <c r="C223" i="36"/>
  <c r="C224" i="36"/>
  <c r="C225" i="36"/>
  <c r="C226" i="36"/>
  <c r="C227" i="36"/>
  <c r="C228" i="36"/>
  <c r="C229" i="36"/>
  <c r="C230" i="36"/>
  <c r="C231" i="36"/>
  <c r="C232" i="36"/>
  <c r="C233" i="36"/>
  <c r="C234" i="36"/>
  <c r="C235" i="36"/>
  <c r="C236" i="36"/>
  <c r="C237" i="36"/>
  <c r="C238" i="36"/>
  <c r="C239" i="36"/>
  <c r="C240" i="36"/>
  <c r="C241" i="36"/>
  <c r="C242" i="36"/>
  <c r="C243" i="36"/>
  <c r="C244" i="36"/>
  <c r="C245" i="36"/>
  <c r="C246" i="36"/>
  <c r="C247" i="36"/>
  <c r="C248" i="36"/>
  <c r="C249" i="36"/>
  <c r="C250" i="36"/>
  <c r="C251" i="36"/>
  <c r="C252" i="36"/>
  <c r="C253" i="36"/>
  <c r="C254" i="36"/>
  <c r="C255" i="36"/>
  <c r="C256" i="36"/>
  <c r="C257" i="36"/>
  <c r="C258" i="36"/>
  <c r="C259" i="36"/>
  <c r="C260" i="36"/>
  <c r="C261" i="36"/>
  <c r="C262" i="36"/>
  <c r="C263" i="36"/>
  <c r="C264" i="36"/>
  <c r="C265" i="36"/>
  <c r="C266" i="36"/>
  <c r="C267" i="36"/>
  <c r="C268" i="36"/>
  <c r="C269" i="36"/>
  <c r="C270" i="36"/>
  <c r="C271" i="36"/>
  <c r="C272" i="36"/>
  <c r="C273" i="36"/>
  <c r="C274" i="36"/>
  <c r="C275" i="36"/>
  <c r="C276" i="36"/>
  <c r="C277" i="36"/>
  <c r="C278" i="36"/>
  <c r="C279" i="36"/>
  <c r="C280" i="36"/>
  <c r="C281" i="36"/>
  <c r="C282" i="36"/>
  <c r="C283" i="36"/>
  <c r="C284" i="36"/>
  <c r="C285" i="36"/>
  <c r="C286" i="36"/>
  <c r="C287" i="36"/>
  <c r="C288" i="36"/>
  <c r="C289" i="36"/>
  <c r="C290" i="36"/>
  <c r="C291" i="36"/>
  <c r="C292" i="36"/>
  <c r="C293" i="36"/>
  <c r="C294" i="36"/>
  <c r="C295" i="36"/>
  <c r="C296" i="36"/>
  <c r="C297" i="36"/>
  <c r="C298" i="36"/>
  <c r="C299" i="36"/>
  <c r="C300" i="36"/>
  <c r="C301" i="36"/>
  <c r="C302" i="36"/>
  <c r="C303" i="36"/>
  <c r="C304" i="36"/>
  <c r="C305" i="36"/>
  <c r="C306" i="36"/>
  <c r="C307" i="36"/>
  <c r="C308" i="36"/>
  <c r="C309" i="36"/>
  <c r="C310" i="36"/>
  <c r="C311" i="36"/>
  <c r="C312" i="36"/>
  <c r="C313" i="36"/>
  <c r="C314" i="36"/>
  <c r="C315" i="36"/>
  <c r="C316" i="36"/>
  <c r="C317" i="36"/>
  <c r="C318" i="36"/>
  <c r="C319" i="36"/>
  <c r="C320" i="36"/>
  <c r="C321" i="36"/>
  <c r="C322" i="36"/>
  <c r="C323" i="36"/>
  <c r="C324" i="36"/>
  <c r="C325" i="36"/>
  <c r="C8" i="36"/>
  <c r="A9" i="36"/>
  <c r="B9" i="36"/>
  <c r="A10" i="36"/>
  <c r="B10" i="36"/>
  <c r="A11" i="36"/>
  <c r="B11" i="36"/>
  <c r="A12" i="36"/>
  <c r="B12" i="36"/>
  <c r="A13" i="36"/>
  <c r="B13" i="36"/>
  <c r="A14" i="36"/>
  <c r="B14" i="36"/>
  <c r="A15" i="36"/>
  <c r="B15" i="36"/>
  <c r="A16" i="36"/>
  <c r="B16" i="36"/>
  <c r="A17" i="36"/>
  <c r="B17" i="36"/>
  <c r="A18" i="36"/>
  <c r="B18" i="36"/>
  <c r="A19" i="36"/>
  <c r="B19" i="36"/>
  <c r="A20" i="36"/>
  <c r="B20" i="36"/>
  <c r="A21" i="36"/>
  <c r="B21" i="36"/>
  <c r="A22" i="36"/>
  <c r="B22" i="36"/>
  <c r="A23" i="36"/>
  <c r="B23" i="36"/>
  <c r="A24" i="36"/>
  <c r="B24" i="36"/>
  <c r="A25" i="36"/>
  <c r="B25" i="36"/>
  <c r="A26" i="36"/>
  <c r="B26" i="36"/>
  <c r="A27" i="36"/>
  <c r="B27" i="36"/>
  <c r="A28" i="36"/>
  <c r="B28" i="36"/>
  <c r="A29" i="36"/>
  <c r="B29" i="36"/>
  <c r="A30" i="36"/>
  <c r="B30" i="36"/>
  <c r="A31" i="36"/>
  <c r="B31" i="36"/>
  <c r="A32" i="36"/>
  <c r="B32" i="36"/>
  <c r="A33" i="36"/>
  <c r="B33" i="36"/>
  <c r="A34" i="36"/>
  <c r="B34" i="36"/>
  <c r="A35" i="36"/>
  <c r="B35" i="36"/>
  <c r="A36" i="36"/>
  <c r="B36" i="36"/>
  <c r="A37" i="36"/>
  <c r="B37" i="36"/>
  <c r="A38" i="36"/>
  <c r="B38" i="36"/>
  <c r="A39" i="36"/>
  <c r="B39" i="36"/>
  <c r="A40" i="36"/>
  <c r="B40" i="36"/>
  <c r="A41" i="36"/>
  <c r="B41" i="36"/>
  <c r="A42" i="36"/>
  <c r="B42" i="36"/>
  <c r="A43" i="36"/>
  <c r="B43" i="36"/>
  <c r="A44" i="36"/>
  <c r="B44" i="36"/>
  <c r="A45" i="36"/>
  <c r="B45" i="36"/>
  <c r="A46" i="36"/>
  <c r="B46" i="36"/>
  <c r="A47" i="36"/>
  <c r="B47" i="36"/>
  <c r="A48" i="36"/>
  <c r="B48" i="36"/>
  <c r="A49" i="36"/>
  <c r="B49" i="36"/>
  <c r="A50" i="36"/>
  <c r="B50" i="36"/>
  <c r="A51" i="36"/>
  <c r="B51" i="36"/>
  <c r="A52" i="36"/>
  <c r="B52" i="36"/>
  <c r="A53" i="36"/>
  <c r="B53" i="36"/>
  <c r="A54" i="36"/>
  <c r="B54" i="36"/>
  <c r="A55" i="36"/>
  <c r="B55" i="36"/>
  <c r="A56" i="36"/>
  <c r="B56" i="36"/>
  <c r="A57" i="36"/>
  <c r="B57" i="36"/>
  <c r="A58" i="36"/>
  <c r="B58" i="36"/>
  <c r="A59" i="36"/>
  <c r="B59" i="36"/>
  <c r="A60" i="36"/>
  <c r="B60" i="36"/>
  <c r="A61" i="36"/>
  <c r="B61" i="36"/>
  <c r="A62" i="36"/>
  <c r="B62" i="36"/>
  <c r="A63" i="36"/>
  <c r="B63" i="36"/>
  <c r="A64" i="36"/>
  <c r="B64" i="36"/>
  <c r="A65" i="36"/>
  <c r="B65" i="36"/>
  <c r="A66" i="36"/>
  <c r="B66" i="36"/>
  <c r="A67" i="36"/>
  <c r="B67" i="36"/>
  <c r="A68" i="36"/>
  <c r="B68" i="36"/>
  <c r="A69" i="36"/>
  <c r="B69" i="36"/>
  <c r="A70" i="36"/>
  <c r="B70" i="36"/>
  <c r="A71" i="36"/>
  <c r="B71" i="36"/>
  <c r="A72" i="36"/>
  <c r="B72" i="36"/>
  <c r="A73" i="36"/>
  <c r="B73" i="36"/>
  <c r="A74" i="36"/>
  <c r="B74" i="36"/>
  <c r="A75" i="36"/>
  <c r="B75" i="36"/>
  <c r="A76" i="36"/>
  <c r="B76" i="36"/>
  <c r="A77" i="36"/>
  <c r="B77" i="36"/>
  <c r="A78" i="36"/>
  <c r="B78" i="36"/>
  <c r="A79" i="36"/>
  <c r="B79" i="36"/>
  <c r="A80" i="36"/>
  <c r="B80" i="36"/>
  <c r="A81" i="36"/>
  <c r="B81" i="36"/>
  <c r="A82" i="36"/>
  <c r="B82" i="36"/>
  <c r="A83" i="36"/>
  <c r="B83" i="36"/>
  <c r="A84" i="36"/>
  <c r="B84" i="36"/>
  <c r="A85" i="36"/>
  <c r="B85" i="36"/>
  <c r="A86" i="36"/>
  <c r="B86" i="36"/>
  <c r="A87" i="36"/>
  <c r="B87" i="36"/>
  <c r="A88" i="36"/>
  <c r="B88" i="36"/>
  <c r="A89" i="36"/>
  <c r="B89" i="36"/>
  <c r="A90" i="36"/>
  <c r="B90" i="36"/>
  <c r="A91" i="36"/>
  <c r="B91" i="36"/>
  <c r="A92" i="36"/>
  <c r="B92" i="36"/>
  <c r="A93" i="36"/>
  <c r="B93" i="36"/>
  <c r="A94" i="36"/>
  <c r="B94" i="36"/>
  <c r="A95" i="36"/>
  <c r="B95" i="36"/>
  <c r="A96" i="36"/>
  <c r="B96" i="36"/>
  <c r="A97" i="36"/>
  <c r="B97" i="36"/>
  <c r="A98" i="36"/>
  <c r="B98" i="36"/>
  <c r="A99" i="36"/>
  <c r="B99" i="36"/>
  <c r="A100" i="36"/>
  <c r="B100" i="36"/>
  <c r="A101" i="36"/>
  <c r="B101" i="36"/>
  <c r="A102" i="36"/>
  <c r="B102" i="36"/>
  <c r="A103" i="36"/>
  <c r="B103" i="36"/>
  <c r="A104" i="36"/>
  <c r="B104" i="36"/>
  <c r="A105" i="36"/>
  <c r="B105" i="36"/>
  <c r="A106" i="36"/>
  <c r="B106" i="36"/>
  <c r="A107" i="36"/>
  <c r="B107" i="36"/>
  <c r="A108" i="36"/>
  <c r="B108" i="36"/>
  <c r="A109" i="36"/>
  <c r="B109" i="36"/>
  <c r="A110" i="36"/>
  <c r="B110" i="36"/>
  <c r="A111" i="36"/>
  <c r="B111" i="36"/>
  <c r="A112" i="36"/>
  <c r="B112" i="36"/>
  <c r="A113" i="36"/>
  <c r="B113" i="36"/>
  <c r="A114" i="36"/>
  <c r="B114" i="36"/>
  <c r="A115" i="36"/>
  <c r="B115" i="36"/>
  <c r="A116" i="36"/>
  <c r="B116" i="36"/>
  <c r="A117" i="36"/>
  <c r="B117" i="36"/>
  <c r="A118" i="36"/>
  <c r="B118" i="36"/>
  <c r="A119" i="36"/>
  <c r="B119" i="36"/>
  <c r="A120" i="36"/>
  <c r="B120" i="36"/>
  <c r="A121" i="36"/>
  <c r="B121" i="36"/>
  <c r="A122" i="36"/>
  <c r="B122" i="36"/>
  <c r="A123" i="36"/>
  <c r="B123" i="36"/>
  <c r="A124" i="36"/>
  <c r="B124" i="36"/>
  <c r="A125" i="36"/>
  <c r="B125" i="36"/>
  <c r="A126" i="36"/>
  <c r="B126" i="36"/>
  <c r="A127" i="36"/>
  <c r="B127" i="36"/>
  <c r="A128" i="36"/>
  <c r="B128" i="36"/>
  <c r="A129" i="36"/>
  <c r="B129" i="36"/>
  <c r="A130" i="36"/>
  <c r="B130" i="36"/>
  <c r="A131" i="36"/>
  <c r="B131" i="36"/>
  <c r="A132" i="36"/>
  <c r="B132" i="36"/>
  <c r="A133" i="36"/>
  <c r="B133" i="36"/>
  <c r="A134" i="36"/>
  <c r="B134" i="36"/>
  <c r="A135" i="36"/>
  <c r="B135" i="36"/>
  <c r="A136" i="36"/>
  <c r="B136" i="36"/>
  <c r="A137" i="36"/>
  <c r="B137" i="36"/>
  <c r="A138" i="36"/>
  <c r="B138" i="36"/>
  <c r="A139" i="36"/>
  <c r="B139" i="36"/>
  <c r="A140" i="36"/>
  <c r="B140" i="36"/>
  <c r="A141" i="36"/>
  <c r="B141" i="36"/>
  <c r="A142" i="36"/>
  <c r="B142" i="36"/>
  <c r="A143" i="36"/>
  <c r="B143" i="36"/>
  <c r="A144" i="36"/>
  <c r="B144" i="36"/>
  <c r="A145" i="36"/>
  <c r="B145" i="36"/>
  <c r="A146" i="36"/>
  <c r="B146" i="36"/>
  <c r="A147" i="36"/>
  <c r="B147" i="36"/>
  <c r="A148" i="36"/>
  <c r="B148" i="36"/>
  <c r="A149" i="36"/>
  <c r="B149" i="36"/>
  <c r="A150" i="36"/>
  <c r="B150" i="36"/>
  <c r="A151" i="36"/>
  <c r="B151" i="36"/>
  <c r="A152" i="36"/>
  <c r="B152" i="36"/>
  <c r="A153" i="36"/>
  <c r="B153" i="36"/>
  <c r="A154" i="36"/>
  <c r="B154" i="36"/>
  <c r="A155" i="36"/>
  <c r="B155" i="36"/>
  <c r="A156" i="36"/>
  <c r="B156" i="36"/>
  <c r="A157" i="36"/>
  <c r="B157" i="36"/>
  <c r="A158" i="36"/>
  <c r="B158" i="36"/>
  <c r="A159" i="36"/>
  <c r="B159" i="36"/>
  <c r="A160" i="36"/>
  <c r="B160" i="36"/>
  <c r="A161" i="36"/>
  <c r="B161" i="36"/>
  <c r="A162" i="36"/>
  <c r="B162" i="36"/>
  <c r="A163" i="36"/>
  <c r="B163" i="36"/>
  <c r="A164" i="36"/>
  <c r="B164" i="36"/>
  <c r="A165" i="36"/>
  <c r="B165" i="36"/>
  <c r="A166" i="36"/>
  <c r="B166" i="36"/>
  <c r="A167" i="36"/>
  <c r="B167" i="36"/>
  <c r="A168" i="36"/>
  <c r="B168" i="36"/>
  <c r="A169" i="36"/>
  <c r="B169" i="36"/>
  <c r="A170" i="36"/>
  <c r="B170" i="36"/>
  <c r="A171" i="36"/>
  <c r="B171" i="36"/>
  <c r="A172" i="36"/>
  <c r="B172" i="36"/>
  <c r="A173" i="36"/>
  <c r="B173" i="36"/>
  <c r="A174" i="36"/>
  <c r="B174" i="36"/>
  <c r="A175" i="36"/>
  <c r="B175" i="36"/>
  <c r="A176" i="36"/>
  <c r="B176" i="36"/>
  <c r="A177" i="36"/>
  <c r="B177" i="36"/>
  <c r="A178" i="36"/>
  <c r="B178" i="36"/>
  <c r="A179" i="36"/>
  <c r="B179" i="36"/>
  <c r="A180" i="36"/>
  <c r="B180" i="36"/>
  <c r="A181" i="36"/>
  <c r="B181" i="36"/>
  <c r="A182" i="36"/>
  <c r="B182" i="36"/>
  <c r="A183" i="36"/>
  <c r="B183" i="36"/>
  <c r="A184" i="36"/>
  <c r="B184" i="36"/>
  <c r="A185" i="36"/>
  <c r="B185" i="36"/>
  <c r="A186" i="36"/>
  <c r="B186" i="36"/>
  <c r="A187" i="36"/>
  <c r="B187" i="36"/>
  <c r="A188" i="36"/>
  <c r="B188" i="36"/>
  <c r="A189" i="36"/>
  <c r="B189" i="36"/>
  <c r="A190" i="36"/>
  <c r="B190" i="36"/>
  <c r="A191" i="36"/>
  <c r="B191" i="36"/>
  <c r="A192" i="36"/>
  <c r="B192" i="36"/>
  <c r="A193" i="36"/>
  <c r="B193" i="36"/>
  <c r="A194" i="36"/>
  <c r="B194" i="36"/>
  <c r="A195" i="36"/>
  <c r="B195" i="36"/>
  <c r="A196" i="36"/>
  <c r="B196" i="36"/>
  <c r="A197" i="36"/>
  <c r="B197" i="36"/>
  <c r="A198" i="36"/>
  <c r="B198" i="36"/>
  <c r="A199" i="36"/>
  <c r="B199" i="36"/>
  <c r="A200" i="36"/>
  <c r="B200" i="36"/>
  <c r="A201" i="36"/>
  <c r="B201" i="36"/>
  <c r="A202" i="36"/>
  <c r="B202" i="36"/>
  <c r="A203" i="36"/>
  <c r="B203" i="36"/>
  <c r="A204" i="36"/>
  <c r="B204" i="36"/>
  <c r="A205" i="36"/>
  <c r="B205" i="36"/>
  <c r="A206" i="36"/>
  <c r="B206" i="36"/>
  <c r="A207" i="36"/>
  <c r="B207" i="36"/>
  <c r="A208" i="36"/>
  <c r="B208" i="36"/>
  <c r="A209" i="36"/>
  <c r="B209" i="36"/>
  <c r="A210" i="36"/>
  <c r="B210" i="36"/>
  <c r="A211" i="36"/>
  <c r="B211" i="36"/>
  <c r="A212" i="36"/>
  <c r="B212" i="36"/>
  <c r="A213" i="36"/>
  <c r="B213" i="36"/>
  <c r="A214" i="36"/>
  <c r="B214" i="36"/>
  <c r="A215" i="36"/>
  <c r="B215" i="36"/>
  <c r="A216" i="36"/>
  <c r="B216" i="36"/>
  <c r="A217" i="36"/>
  <c r="B217" i="36"/>
  <c r="A218" i="36"/>
  <c r="B218" i="36"/>
  <c r="A219" i="36"/>
  <c r="B219" i="36"/>
  <c r="A220" i="36"/>
  <c r="B220" i="36"/>
  <c r="A221" i="36"/>
  <c r="B221" i="36"/>
  <c r="A222" i="36"/>
  <c r="B222" i="36"/>
  <c r="A223" i="36"/>
  <c r="B223" i="36"/>
  <c r="A224" i="36"/>
  <c r="B224" i="36"/>
  <c r="A225" i="36"/>
  <c r="B225" i="36"/>
  <c r="A226" i="36"/>
  <c r="B226" i="36"/>
  <c r="A227" i="36"/>
  <c r="B227" i="36"/>
  <c r="A228" i="36"/>
  <c r="B228" i="36"/>
  <c r="A229" i="36"/>
  <c r="B229" i="36"/>
  <c r="A230" i="36"/>
  <c r="B230" i="36"/>
  <c r="A231" i="36"/>
  <c r="B231" i="36"/>
  <c r="A232" i="36"/>
  <c r="B232" i="36"/>
  <c r="A233" i="36"/>
  <c r="B233" i="36"/>
  <c r="A234" i="36"/>
  <c r="B234" i="36"/>
  <c r="A235" i="36"/>
  <c r="B235" i="36"/>
  <c r="A236" i="36"/>
  <c r="B236" i="36"/>
  <c r="A237" i="36"/>
  <c r="B237" i="36"/>
  <c r="A238" i="36"/>
  <c r="B238" i="36"/>
  <c r="A239" i="36"/>
  <c r="B239" i="36"/>
  <c r="A240" i="36"/>
  <c r="B240" i="36"/>
  <c r="A241" i="36"/>
  <c r="B241" i="36"/>
  <c r="A242" i="36"/>
  <c r="B242" i="36"/>
  <c r="A243" i="36"/>
  <c r="B243" i="36"/>
  <c r="A244" i="36"/>
  <c r="B244" i="36"/>
  <c r="A245" i="36"/>
  <c r="B245" i="36"/>
  <c r="A246" i="36"/>
  <c r="B246" i="36"/>
  <c r="A247" i="36"/>
  <c r="B247" i="36"/>
  <c r="A248" i="36"/>
  <c r="B248" i="36"/>
  <c r="A249" i="36"/>
  <c r="B249" i="36"/>
  <c r="A250" i="36"/>
  <c r="B250" i="36"/>
  <c r="A251" i="36"/>
  <c r="B251" i="36"/>
  <c r="A252" i="36"/>
  <c r="B252" i="36"/>
  <c r="A253" i="36"/>
  <c r="B253" i="36"/>
  <c r="A254" i="36"/>
  <c r="B254" i="36"/>
  <c r="A255" i="36"/>
  <c r="B255" i="36"/>
  <c r="A256" i="36"/>
  <c r="B256" i="36"/>
  <c r="A257" i="36"/>
  <c r="B257" i="36"/>
  <c r="A258" i="36"/>
  <c r="B258" i="36"/>
  <c r="A259" i="36"/>
  <c r="B259" i="36"/>
  <c r="A260" i="36"/>
  <c r="B260" i="36"/>
  <c r="A261" i="36"/>
  <c r="B261" i="36"/>
  <c r="A262" i="36"/>
  <c r="B262" i="36"/>
  <c r="A263" i="36"/>
  <c r="B263" i="36"/>
  <c r="A264" i="36"/>
  <c r="B264" i="36"/>
  <c r="A265" i="36"/>
  <c r="B265" i="36"/>
  <c r="A266" i="36"/>
  <c r="B266" i="36"/>
  <c r="A267" i="36"/>
  <c r="B267" i="36"/>
  <c r="A268" i="36"/>
  <c r="B268" i="36"/>
  <c r="A269" i="36"/>
  <c r="B269" i="36"/>
  <c r="A270" i="36"/>
  <c r="B270" i="36"/>
  <c r="A271" i="36"/>
  <c r="B271" i="36"/>
  <c r="A272" i="36"/>
  <c r="B272" i="36"/>
  <c r="A273" i="36"/>
  <c r="B273" i="36"/>
  <c r="A274" i="36"/>
  <c r="B274" i="36"/>
  <c r="A275" i="36"/>
  <c r="B275" i="36"/>
  <c r="A276" i="36"/>
  <c r="B276" i="36"/>
  <c r="A277" i="36"/>
  <c r="B277" i="36"/>
  <c r="A278" i="36"/>
  <c r="B278" i="36"/>
  <c r="A279" i="36"/>
  <c r="B279" i="36"/>
  <c r="A280" i="36"/>
  <c r="B280" i="36"/>
  <c r="A281" i="36"/>
  <c r="B281" i="36"/>
  <c r="A282" i="36"/>
  <c r="B282" i="36"/>
  <c r="A283" i="36"/>
  <c r="B283" i="36"/>
  <c r="A284" i="36"/>
  <c r="B284" i="36"/>
  <c r="A285" i="36"/>
  <c r="B285" i="36"/>
  <c r="A286" i="36"/>
  <c r="B286" i="36"/>
  <c r="A287" i="36"/>
  <c r="B287" i="36"/>
  <c r="A288" i="36"/>
  <c r="B288" i="36"/>
  <c r="A289" i="36"/>
  <c r="B289" i="36"/>
  <c r="A290" i="36"/>
  <c r="B290" i="36"/>
  <c r="A291" i="36"/>
  <c r="B291" i="36"/>
  <c r="A292" i="36"/>
  <c r="B292" i="36"/>
  <c r="A293" i="36"/>
  <c r="B293" i="36"/>
  <c r="A294" i="36"/>
  <c r="B294" i="36"/>
  <c r="A295" i="36"/>
  <c r="B295" i="36"/>
  <c r="A296" i="36"/>
  <c r="B296" i="36"/>
  <c r="A297" i="36"/>
  <c r="B297" i="36"/>
  <c r="A298" i="36"/>
  <c r="B298" i="36"/>
  <c r="A299" i="36"/>
  <c r="B299" i="36"/>
  <c r="A300" i="36"/>
  <c r="B300" i="36"/>
  <c r="A301" i="36"/>
  <c r="B301" i="36"/>
  <c r="A302" i="36"/>
  <c r="B302" i="36"/>
  <c r="A303" i="36"/>
  <c r="B303" i="36"/>
  <c r="A304" i="36"/>
  <c r="B304" i="36"/>
  <c r="A305" i="36"/>
  <c r="B305" i="36"/>
  <c r="A306" i="36"/>
  <c r="B306" i="36"/>
  <c r="A307" i="36"/>
  <c r="B307" i="36"/>
  <c r="A308" i="36"/>
  <c r="B308" i="36"/>
  <c r="A309" i="36"/>
  <c r="B309" i="36"/>
  <c r="A310" i="36"/>
  <c r="B310" i="36"/>
  <c r="A311" i="36"/>
  <c r="B311" i="36"/>
  <c r="A312" i="36"/>
  <c r="B312" i="36"/>
  <c r="A313" i="36"/>
  <c r="B313" i="36"/>
  <c r="A314" i="36"/>
  <c r="B314" i="36"/>
  <c r="A315" i="36"/>
  <c r="B315" i="36"/>
  <c r="A316" i="36"/>
  <c r="B316" i="36"/>
  <c r="A317" i="36"/>
  <c r="B317" i="36"/>
  <c r="A318" i="36"/>
  <c r="B318" i="36"/>
  <c r="A319" i="36"/>
  <c r="B319" i="36"/>
  <c r="A320" i="36"/>
  <c r="B320" i="36"/>
  <c r="A321" i="36"/>
  <c r="B321" i="36"/>
  <c r="A322" i="36"/>
  <c r="B322" i="36"/>
  <c r="A323" i="36"/>
  <c r="B323" i="36"/>
  <c r="A324" i="36"/>
  <c r="B324" i="36"/>
  <c r="A325" i="36"/>
  <c r="B325" i="36"/>
  <c r="B8" i="36"/>
  <c r="A8" i="36"/>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11" i="9"/>
  <c r="A12" i="9"/>
  <c r="B12" i="9"/>
  <c r="A13" i="9"/>
  <c r="B13" i="9"/>
  <c r="A14" i="9"/>
  <c r="B14" i="9"/>
  <c r="A15" i="9"/>
  <c r="B15" i="9"/>
  <c r="A16" i="9"/>
  <c r="B16" i="9"/>
  <c r="A17" i="9"/>
  <c r="B17" i="9"/>
  <c r="A18" i="9"/>
  <c r="B18" i="9"/>
  <c r="A19" i="9"/>
  <c r="B19" i="9"/>
  <c r="A20" i="9"/>
  <c r="B20" i="9"/>
  <c r="A21" i="9"/>
  <c r="B21" i="9"/>
  <c r="A22" i="9"/>
  <c r="B22" i="9"/>
  <c r="A23" i="9"/>
  <c r="B23" i="9"/>
  <c r="A24" i="9"/>
  <c r="B24" i="9"/>
  <c r="A25" i="9"/>
  <c r="B25" i="9"/>
  <c r="A26" i="9"/>
  <c r="B26" i="9"/>
  <c r="A27" i="9"/>
  <c r="B27" i="9"/>
  <c r="A28" i="9"/>
  <c r="B28" i="9"/>
  <c r="A29" i="9"/>
  <c r="B29" i="9"/>
  <c r="A30" i="9"/>
  <c r="B30" i="9"/>
  <c r="A31" i="9"/>
  <c r="B31" i="9"/>
  <c r="A32" i="9"/>
  <c r="B32" i="9"/>
  <c r="A33" i="9"/>
  <c r="B33" i="9"/>
  <c r="A34" i="9"/>
  <c r="B34" i="9"/>
  <c r="A35" i="9"/>
  <c r="B35" i="9"/>
  <c r="A36" i="9"/>
  <c r="B36" i="9"/>
  <c r="A37" i="9"/>
  <c r="B37" i="9"/>
  <c r="A38" i="9"/>
  <c r="B38" i="9"/>
  <c r="A39" i="9"/>
  <c r="B39" i="9"/>
  <c r="A40" i="9"/>
  <c r="B40" i="9"/>
  <c r="A41" i="9"/>
  <c r="B41" i="9"/>
  <c r="A42" i="9"/>
  <c r="B42" i="9"/>
  <c r="A43" i="9"/>
  <c r="B43" i="9"/>
  <c r="A44" i="9"/>
  <c r="B44" i="9"/>
  <c r="A45" i="9"/>
  <c r="B45" i="9"/>
  <c r="A46" i="9"/>
  <c r="B46" i="9"/>
  <c r="A47" i="9"/>
  <c r="B47" i="9"/>
  <c r="A48" i="9"/>
  <c r="B48" i="9"/>
  <c r="A49" i="9"/>
  <c r="B49" i="9"/>
  <c r="A50" i="9"/>
  <c r="B50" i="9"/>
  <c r="A51" i="9"/>
  <c r="B51" i="9"/>
  <c r="A52" i="9"/>
  <c r="B52" i="9"/>
  <c r="A53" i="9"/>
  <c r="B53" i="9"/>
  <c r="A54" i="9"/>
  <c r="B54" i="9"/>
  <c r="A55" i="9"/>
  <c r="B55" i="9"/>
  <c r="A56" i="9"/>
  <c r="B56" i="9"/>
  <c r="A57" i="9"/>
  <c r="B57" i="9"/>
  <c r="A58" i="9"/>
  <c r="B58" i="9"/>
  <c r="A59" i="9"/>
  <c r="B59" i="9"/>
  <c r="A60" i="9"/>
  <c r="B60" i="9"/>
  <c r="A61" i="9"/>
  <c r="B61" i="9"/>
  <c r="A62" i="9"/>
  <c r="B62" i="9"/>
  <c r="A63" i="9"/>
  <c r="B63" i="9"/>
  <c r="A64" i="9"/>
  <c r="B64" i="9"/>
  <c r="A65" i="9"/>
  <c r="B65" i="9"/>
  <c r="A66" i="9"/>
  <c r="B66" i="9"/>
  <c r="A67" i="9"/>
  <c r="B67" i="9"/>
  <c r="A68" i="9"/>
  <c r="B68" i="9"/>
  <c r="A69" i="9"/>
  <c r="B69" i="9"/>
  <c r="A70" i="9"/>
  <c r="B70" i="9"/>
  <c r="A71" i="9"/>
  <c r="B71" i="9"/>
  <c r="A72" i="9"/>
  <c r="B72" i="9"/>
  <c r="A73" i="9"/>
  <c r="B73" i="9"/>
  <c r="A74" i="9"/>
  <c r="B74" i="9"/>
  <c r="A75" i="9"/>
  <c r="B75" i="9"/>
  <c r="A76" i="9"/>
  <c r="B76" i="9"/>
  <c r="A77" i="9"/>
  <c r="B77" i="9"/>
  <c r="A78" i="9"/>
  <c r="B78" i="9"/>
  <c r="A79" i="9"/>
  <c r="B79" i="9"/>
  <c r="A80" i="9"/>
  <c r="B80" i="9"/>
  <c r="A81" i="9"/>
  <c r="B81" i="9"/>
  <c r="A82" i="9"/>
  <c r="B82" i="9"/>
  <c r="A83" i="9"/>
  <c r="B83" i="9"/>
  <c r="A84" i="9"/>
  <c r="B84" i="9"/>
  <c r="A85" i="9"/>
  <c r="B85" i="9"/>
  <c r="A86" i="9"/>
  <c r="B86" i="9"/>
  <c r="A87" i="9"/>
  <c r="B87" i="9"/>
  <c r="A88" i="9"/>
  <c r="B88" i="9"/>
  <c r="A89" i="9"/>
  <c r="B89" i="9"/>
  <c r="A90" i="9"/>
  <c r="B90" i="9"/>
  <c r="A91" i="9"/>
  <c r="B91" i="9"/>
  <c r="A92" i="9"/>
  <c r="B92" i="9"/>
  <c r="A93" i="9"/>
  <c r="B93" i="9"/>
  <c r="A94" i="9"/>
  <c r="B94" i="9"/>
  <c r="A95" i="9"/>
  <c r="B95" i="9"/>
  <c r="A96" i="9"/>
  <c r="B96" i="9"/>
  <c r="A97" i="9"/>
  <c r="B97" i="9"/>
  <c r="A98" i="9"/>
  <c r="B98" i="9"/>
  <c r="A99" i="9"/>
  <c r="B99" i="9"/>
  <c r="A100" i="9"/>
  <c r="B100" i="9"/>
  <c r="A101" i="9"/>
  <c r="B101" i="9"/>
  <c r="A102" i="9"/>
  <c r="B102" i="9"/>
  <c r="A103" i="9"/>
  <c r="B103" i="9"/>
  <c r="A104" i="9"/>
  <c r="B104" i="9"/>
  <c r="A105" i="9"/>
  <c r="B105" i="9"/>
  <c r="A106" i="9"/>
  <c r="B106" i="9"/>
  <c r="A107" i="9"/>
  <c r="B107" i="9"/>
  <c r="A108" i="9"/>
  <c r="B108" i="9"/>
  <c r="A109" i="9"/>
  <c r="B109" i="9"/>
  <c r="A110" i="9"/>
  <c r="B110" i="9"/>
  <c r="A111" i="9"/>
  <c r="B111" i="9"/>
  <c r="A112" i="9"/>
  <c r="B112" i="9"/>
  <c r="A113" i="9"/>
  <c r="B113" i="9"/>
  <c r="A114" i="9"/>
  <c r="B114" i="9"/>
  <c r="A115" i="9"/>
  <c r="B115" i="9"/>
  <c r="A116" i="9"/>
  <c r="B116" i="9"/>
  <c r="A117" i="9"/>
  <c r="B117" i="9"/>
  <c r="A118" i="9"/>
  <c r="B118" i="9"/>
  <c r="A119" i="9"/>
  <c r="B119" i="9"/>
  <c r="A120" i="9"/>
  <c r="B120" i="9"/>
  <c r="A121" i="9"/>
  <c r="B121" i="9"/>
  <c r="A122" i="9"/>
  <c r="B122" i="9"/>
  <c r="A123" i="9"/>
  <c r="B123" i="9"/>
  <c r="A124" i="9"/>
  <c r="B124" i="9"/>
  <c r="A125" i="9"/>
  <c r="B125" i="9"/>
  <c r="A126" i="9"/>
  <c r="B126" i="9"/>
  <c r="A127" i="9"/>
  <c r="B127" i="9"/>
  <c r="A128" i="9"/>
  <c r="B128" i="9"/>
  <c r="A129" i="9"/>
  <c r="B129" i="9"/>
  <c r="A130" i="9"/>
  <c r="B130" i="9"/>
  <c r="A131" i="9"/>
  <c r="B131" i="9"/>
  <c r="A132" i="9"/>
  <c r="B132" i="9"/>
  <c r="A133" i="9"/>
  <c r="B133" i="9"/>
  <c r="A134" i="9"/>
  <c r="B134" i="9"/>
  <c r="A135" i="9"/>
  <c r="B135" i="9"/>
  <c r="A136" i="9"/>
  <c r="B136" i="9"/>
  <c r="A137" i="9"/>
  <c r="B137" i="9"/>
  <c r="A138" i="9"/>
  <c r="B138" i="9"/>
  <c r="A139" i="9"/>
  <c r="B139" i="9"/>
  <c r="A140" i="9"/>
  <c r="B140" i="9"/>
  <c r="A141" i="9"/>
  <c r="B141" i="9"/>
  <c r="A142" i="9"/>
  <c r="B142" i="9"/>
  <c r="A143" i="9"/>
  <c r="B143" i="9"/>
  <c r="A144" i="9"/>
  <c r="B144" i="9"/>
  <c r="A145" i="9"/>
  <c r="B145" i="9"/>
  <c r="A146" i="9"/>
  <c r="B146" i="9"/>
  <c r="A147" i="9"/>
  <c r="B147" i="9"/>
  <c r="A148" i="9"/>
  <c r="B148" i="9"/>
  <c r="A149" i="9"/>
  <c r="B149" i="9"/>
  <c r="A150" i="9"/>
  <c r="B150" i="9"/>
  <c r="A151" i="9"/>
  <c r="B151" i="9"/>
  <c r="A152" i="9"/>
  <c r="B152" i="9"/>
  <c r="A153" i="9"/>
  <c r="B153" i="9"/>
  <c r="A154" i="9"/>
  <c r="B154" i="9"/>
  <c r="A155" i="9"/>
  <c r="B155" i="9"/>
  <c r="A156" i="9"/>
  <c r="B156" i="9"/>
  <c r="A157" i="9"/>
  <c r="B157" i="9"/>
  <c r="A158" i="9"/>
  <c r="B158" i="9"/>
  <c r="A159" i="9"/>
  <c r="B159" i="9"/>
  <c r="A160" i="9"/>
  <c r="B160" i="9"/>
  <c r="A161" i="9"/>
  <c r="B161" i="9"/>
  <c r="A162" i="9"/>
  <c r="B162" i="9"/>
  <c r="A163" i="9"/>
  <c r="B163" i="9"/>
  <c r="A164" i="9"/>
  <c r="B164" i="9"/>
  <c r="A165" i="9"/>
  <c r="B165" i="9"/>
  <c r="A166" i="9"/>
  <c r="B166" i="9"/>
  <c r="A167" i="9"/>
  <c r="B167" i="9"/>
  <c r="A168" i="9"/>
  <c r="B168" i="9"/>
  <c r="A169" i="9"/>
  <c r="B169" i="9"/>
  <c r="A170" i="9"/>
  <c r="B170" i="9"/>
  <c r="A171" i="9"/>
  <c r="B171" i="9"/>
  <c r="A172" i="9"/>
  <c r="B172" i="9"/>
  <c r="A173" i="9"/>
  <c r="B173" i="9"/>
  <c r="A174" i="9"/>
  <c r="B174" i="9"/>
  <c r="A175" i="9"/>
  <c r="B175" i="9"/>
  <c r="A176" i="9"/>
  <c r="B176" i="9"/>
  <c r="A177" i="9"/>
  <c r="B177" i="9"/>
  <c r="A178" i="9"/>
  <c r="B178" i="9"/>
  <c r="A179" i="9"/>
  <c r="B179" i="9"/>
  <c r="A180" i="9"/>
  <c r="B180" i="9"/>
  <c r="A181" i="9"/>
  <c r="B181" i="9"/>
  <c r="A182" i="9"/>
  <c r="B182" i="9"/>
  <c r="A183" i="9"/>
  <c r="B183" i="9"/>
  <c r="A184" i="9"/>
  <c r="B184" i="9"/>
  <c r="A185" i="9"/>
  <c r="B185" i="9"/>
  <c r="A186" i="9"/>
  <c r="B186" i="9"/>
  <c r="A187" i="9"/>
  <c r="B187" i="9"/>
  <c r="A188" i="9"/>
  <c r="B188" i="9"/>
  <c r="A189" i="9"/>
  <c r="B189" i="9"/>
  <c r="A190" i="9"/>
  <c r="B190" i="9"/>
  <c r="A191" i="9"/>
  <c r="B191" i="9"/>
  <c r="A192" i="9"/>
  <c r="B192" i="9"/>
  <c r="A193" i="9"/>
  <c r="B193" i="9"/>
  <c r="A194" i="9"/>
  <c r="B194" i="9"/>
  <c r="A195" i="9"/>
  <c r="B195" i="9"/>
  <c r="A196" i="9"/>
  <c r="B196" i="9"/>
  <c r="A197" i="9"/>
  <c r="B197" i="9"/>
  <c r="A198" i="9"/>
  <c r="B198" i="9"/>
  <c r="A199" i="9"/>
  <c r="B199" i="9"/>
  <c r="A200" i="9"/>
  <c r="B200" i="9"/>
  <c r="A201" i="9"/>
  <c r="B201" i="9"/>
  <c r="A202" i="9"/>
  <c r="B202" i="9"/>
  <c r="A203" i="9"/>
  <c r="B203" i="9"/>
  <c r="A204" i="9"/>
  <c r="B204" i="9"/>
  <c r="A205" i="9"/>
  <c r="B205" i="9"/>
  <c r="A206" i="9"/>
  <c r="B206" i="9"/>
  <c r="A207" i="9"/>
  <c r="B207" i="9"/>
  <c r="A208" i="9"/>
  <c r="B208" i="9"/>
  <c r="A209" i="9"/>
  <c r="B209" i="9"/>
  <c r="A210" i="9"/>
  <c r="B210" i="9"/>
  <c r="A211" i="9"/>
  <c r="B211" i="9"/>
  <c r="A212" i="9"/>
  <c r="B212" i="9"/>
  <c r="A213" i="9"/>
  <c r="B213" i="9"/>
  <c r="A214" i="9"/>
  <c r="B214" i="9"/>
  <c r="A215" i="9"/>
  <c r="B215" i="9"/>
  <c r="A216" i="9"/>
  <c r="B216" i="9"/>
  <c r="A217" i="9"/>
  <c r="B217" i="9"/>
  <c r="A218" i="9"/>
  <c r="B218" i="9"/>
  <c r="A219" i="9"/>
  <c r="B219" i="9"/>
  <c r="A220" i="9"/>
  <c r="B220" i="9"/>
  <c r="A221" i="9"/>
  <c r="B221" i="9"/>
  <c r="A222" i="9"/>
  <c r="B222" i="9"/>
  <c r="A223" i="9"/>
  <c r="B223" i="9"/>
  <c r="A224" i="9"/>
  <c r="B224" i="9"/>
  <c r="A225" i="9"/>
  <c r="B225" i="9"/>
  <c r="A226" i="9"/>
  <c r="B226" i="9"/>
  <c r="A227" i="9"/>
  <c r="B227" i="9"/>
  <c r="A228" i="9"/>
  <c r="B228" i="9"/>
  <c r="A229" i="9"/>
  <c r="B229" i="9"/>
  <c r="A230" i="9"/>
  <c r="B230" i="9"/>
  <c r="A231" i="9"/>
  <c r="B231" i="9"/>
  <c r="A232" i="9"/>
  <c r="B232" i="9"/>
  <c r="A233" i="9"/>
  <c r="B233" i="9"/>
  <c r="A234" i="9"/>
  <c r="B234" i="9"/>
  <c r="A235" i="9"/>
  <c r="B235" i="9"/>
  <c r="A236" i="9"/>
  <c r="B236" i="9"/>
  <c r="A237" i="9"/>
  <c r="B237" i="9"/>
  <c r="A238" i="9"/>
  <c r="B238" i="9"/>
  <c r="A239" i="9"/>
  <c r="B239" i="9"/>
  <c r="A240" i="9"/>
  <c r="B240" i="9"/>
  <c r="A241" i="9"/>
  <c r="B241" i="9"/>
  <c r="A242" i="9"/>
  <c r="B242" i="9"/>
  <c r="A243" i="9"/>
  <c r="B243" i="9"/>
  <c r="A244" i="9"/>
  <c r="B244" i="9"/>
  <c r="A245" i="9"/>
  <c r="B245" i="9"/>
  <c r="A246" i="9"/>
  <c r="B246" i="9"/>
  <c r="A247" i="9"/>
  <c r="B247" i="9"/>
  <c r="A248" i="9"/>
  <c r="B248" i="9"/>
  <c r="A249" i="9"/>
  <c r="B249" i="9"/>
  <c r="A250" i="9"/>
  <c r="B250" i="9"/>
  <c r="A251" i="9"/>
  <c r="B251" i="9"/>
  <c r="A252" i="9"/>
  <c r="B252" i="9"/>
  <c r="A253" i="9"/>
  <c r="B253" i="9"/>
  <c r="A254" i="9"/>
  <c r="B254" i="9"/>
  <c r="A255" i="9"/>
  <c r="B255" i="9"/>
  <c r="A256" i="9"/>
  <c r="B256" i="9"/>
  <c r="A257" i="9"/>
  <c r="B257" i="9"/>
  <c r="A258" i="9"/>
  <c r="B258" i="9"/>
  <c r="A259" i="9"/>
  <c r="B259" i="9"/>
  <c r="A260" i="9"/>
  <c r="B260" i="9"/>
  <c r="A261" i="9"/>
  <c r="B261" i="9"/>
  <c r="A262" i="9"/>
  <c r="B262" i="9"/>
  <c r="A263" i="9"/>
  <c r="B263" i="9"/>
  <c r="A264" i="9"/>
  <c r="B264" i="9"/>
  <c r="A265" i="9"/>
  <c r="B265" i="9"/>
  <c r="A266" i="9"/>
  <c r="B266" i="9"/>
  <c r="A267" i="9"/>
  <c r="B267" i="9"/>
  <c r="A268" i="9"/>
  <c r="B268" i="9"/>
  <c r="A269" i="9"/>
  <c r="B269" i="9"/>
  <c r="A270" i="9"/>
  <c r="B270" i="9"/>
  <c r="A271" i="9"/>
  <c r="B271" i="9"/>
  <c r="A272" i="9"/>
  <c r="B272" i="9"/>
  <c r="A273" i="9"/>
  <c r="B273" i="9"/>
  <c r="A274" i="9"/>
  <c r="B274" i="9"/>
  <c r="A275" i="9"/>
  <c r="B275" i="9"/>
  <c r="A276" i="9"/>
  <c r="B276" i="9"/>
  <c r="A277" i="9"/>
  <c r="B277" i="9"/>
  <c r="A278" i="9"/>
  <c r="B278" i="9"/>
  <c r="A279" i="9"/>
  <c r="B279" i="9"/>
  <c r="A280" i="9"/>
  <c r="B280" i="9"/>
  <c r="A281" i="9"/>
  <c r="B281" i="9"/>
  <c r="A282" i="9"/>
  <c r="B282" i="9"/>
  <c r="A283" i="9"/>
  <c r="B283" i="9"/>
  <c r="A284" i="9"/>
  <c r="B284" i="9"/>
  <c r="A285" i="9"/>
  <c r="B285" i="9"/>
  <c r="A286" i="9"/>
  <c r="B286" i="9"/>
  <c r="A287" i="9"/>
  <c r="B287" i="9"/>
  <c r="A288" i="9"/>
  <c r="B288" i="9"/>
  <c r="A289" i="9"/>
  <c r="B289" i="9"/>
  <c r="A290" i="9"/>
  <c r="B290" i="9"/>
  <c r="A291" i="9"/>
  <c r="B291" i="9"/>
  <c r="A292" i="9"/>
  <c r="B292" i="9"/>
  <c r="A293" i="9"/>
  <c r="B293" i="9"/>
  <c r="A294" i="9"/>
  <c r="B294" i="9"/>
  <c r="A295" i="9"/>
  <c r="B295" i="9"/>
  <c r="A296" i="9"/>
  <c r="B296" i="9"/>
  <c r="A297" i="9"/>
  <c r="B297" i="9"/>
  <c r="A298" i="9"/>
  <c r="B298" i="9"/>
  <c r="A299" i="9"/>
  <c r="B299" i="9"/>
  <c r="A300" i="9"/>
  <c r="B300" i="9"/>
  <c r="A301" i="9"/>
  <c r="B301" i="9"/>
  <c r="A302" i="9"/>
  <c r="B302" i="9"/>
  <c r="A303" i="9"/>
  <c r="B303" i="9"/>
  <c r="A304" i="9"/>
  <c r="B304" i="9"/>
  <c r="A305" i="9"/>
  <c r="B305" i="9"/>
  <c r="A306" i="9"/>
  <c r="B306" i="9"/>
  <c r="A307" i="9"/>
  <c r="B307" i="9"/>
  <c r="A308" i="9"/>
  <c r="B308" i="9"/>
  <c r="A309" i="9"/>
  <c r="B309" i="9"/>
  <c r="A310" i="9"/>
  <c r="B310" i="9"/>
  <c r="A311" i="9"/>
  <c r="B311" i="9"/>
  <c r="A312" i="9"/>
  <c r="B312" i="9"/>
  <c r="A313" i="9"/>
  <c r="B313" i="9"/>
  <c r="A314" i="9"/>
  <c r="B314" i="9"/>
  <c r="A315" i="9"/>
  <c r="B315" i="9"/>
  <c r="A316" i="9"/>
  <c r="B316" i="9"/>
  <c r="A317" i="9"/>
  <c r="B317" i="9"/>
  <c r="A318" i="9"/>
  <c r="B318" i="9"/>
  <c r="A319" i="9"/>
  <c r="B319" i="9"/>
  <c r="A320" i="9"/>
  <c r="B320" i="9"/>
  <c r="A321" i="9"/>
  <c r="B321" i="9"/>
  <c r="A322" i="9"/>
  <c r="B322" i="9"/>
  <c r="A323" i="9"/>
  <c r="B323" i="9"/>
  <c r="A324" i="9"/>
  <c r="B324" i="9"/>
  <c r="A325" i="9"/>
  <c r="B325" i="9"/>
  <c r="A326" i="9"/>
  <c r="B326" i="9"/>
  <c r="A327" i="9"/>
  <c r="B327" i="9"/>
  <c r="A328" i="9"/>
  <c r="B328" i="9"/>
  <c r="B11" i="9"/>
  <c r="A11" i="9"/>
  <c r="K6" i="13" l="1"/>
  <c r="D334" i="34"/>
  <c r="B323" i="37"/>
  <c r="C323" i="37"/>
  <c r="C326" i="36"/>
  <c r="B326" i="36"/>
  <c r="B323" i="12"/>
  <c r="B323" i="39"/>
  <c r="B324" i="13"/>
  <c r="B334" i="34"/>
  <c r="C329" i="9"/>
  <c r="B329" i="9"/>
  <c r="H3" i="33" l="1"/>
  <c r="I3" i="33"/>
  <c r="J3" i="33"/>
  <c r="G3" i="33"/>
  <c r="J4" i="33"/>
  <c r="H4" i="33"/>
  <c r="I4" i="33"/>
  <c r="G4" i="33"/>
  <c r="C4" i="32" l="1"/>
  <c r="A6" i="33"/>
  <c r="B6" i="33"/>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306" i="33"/>
  <c r="B306" i="33"/>
  <c r="A307" i="33"/>
  <c r="B307" i="33"/>
  <c r="A308" i="33"/>
  <c r="B308" i="33"/>
  <c r="A309" i="33"/>
  <c r="B309" i="33"/>
  <c r="A310" i="33"/>
  <c r="B310" i="33"/>
  <c r="A311" i="33"/>
  <c r="B311" i="33"/>
  <c r="A312" i="33"/>
  <c r="B312" i="33"/>
  <c r="A313" i="33"/>
  <c r="B313" i="33"/>
  <c r="A314" i="33"/>
  <c r="B314" i="33"/>
  <c r="A315" i="33"/>
  <c r="B315" i="33"/>
  <c r="A316" i="33"/>
  <c r="B316" i="33"/>
  <c r="A317" i="33"/>
  <c r="B317" i="33"/>
  <c r="A318" i="33"/>
  <c r="B318" i="33"/>
  <c r="A319" i="33"/>
  <c r="B319" i="33"/>
  <c r="A320" i="33"/>
  <c r="B320" i="33"/>
  <c r="A321" i="33"/>
  <c r="B321" i="33"/>
  <c r="A322" i="33"/>
  <c r="B322" i="33"/>
  <c r="B5" i="33"/>
  <c r="A5" i="33"/>
  <c r="A6" i="32"/>
  <c r="B6" i="32"/>
  <c r="A7" i="32"/>
  <c r="B7" i="32"/>
  <c r="A8" i="32"/>
  <c r="B8" i="32"/>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0" i="32"/>
  <c r="B160" i="32"/>
  <c r="A161" i="32"/>
  <c r="B161" i="32"/>
  <c r="A162" i="32"/>
  <c r="B162" i="32"/>
  <c r="A163" i="32"/>
  <c r="B163" i="32"/>
  <c r="A164" i="32"/>
  <c r="B164" i="32"/>
  <c r="A165" i="32"/>
  <c r="B165" i="32"/>
  <c r="A166" i="32"/>
  <c r="B166" i="32"/>
  <c r="A167" i="32"/>
  <c r="B167" i="32"/>
  <c r="A168" i="32"/>
  <c r="B168" i="32"/>
  <c r="A169" i="32"/>
  <c r="B169" i="32"/>
  <c r="A170" i="32"/>
  <c r="B170" i="32"/>
  <c r="A171" i="32"/>
  <c r="B171" i="32"/>
  <c r="A172" i="32"/>
  <c r="B172" i="32"/>
  <c r="A173" i="32"/>
  <c r="B173" i="32"/>
  <c r="A174" i="32"/>
  <c r="B174" i="32"/>
  <c r="A175" i="32"/>
  <c r="B175" i="32"/>
  <c r="A176" i="32"/>
  <c r="B176" i="32"/>
  <c r="A177" i="32"/>
  <c r="B177" i="32"/>
  <c r="A178" i="32"/>
  <c r="B178" i="32"/>
  <c r="A179" i="32"/>
  <c r="B179" i="32"/>
  <c r="A180" i="32"/>
  <c r="B180" i="32"/>
  <c r="A181" i="32"/>
  <c r="B181" i="32"/>
  <c r="A182" i="32"/>
  <c r="B182" i="32"/>
  <c r="A183" i="32"/>
  <c r="B183" i="32"/>
  <c r="A184" i="32"/>
  <c r="B184" i="32"/>
  <c r="A185" i="32"/>
  <c r="B185" i="32"/>
  <c r="A186" i="32"/>
  <c r="B186" i="32"/>
  <c r="A187" i="32"/>
  <c r="B187" i="32"/>
  <c r="A188" i="32"/>
  <c r="B188" i="32"/>
  <c r="A189" i="32"/>
  <c r="B189" i="32"/>
  <c r="A190" i="32"/>
  <c r="B190" i="32"/>
  <c r="A191" i="32"/>
  <c r="B191" i="32"/>
  <c r="A192" i="32"/>
  <c r="B192" i="32"/>
  <c r="A193" i="32"/>
  <c r="B193" i="32"/>
  <c r="A194" i="32"/>
  <c r="B194" i="32"/>
  <c r="A195" i="32"/>
  <c r="B195" i="32"/>
  <c r="A196" i="32"/>
  <c r="B196" i="32"/>
  <c r="A197" i="32"/>
  <c r="B197" i="32"/>
  <c r="A198" i="32"/>
  <c r="B198" i="32"/>
  <c r="A199" i="32"/>
  <c r="B199" i="32"/>
  <c r="A200" i="32"/>
  <c r="B200" i="32"/>
  <c r="A201" i="32"/>
  <c r="B201" i="32"/>
  <c r="A202" i="32"/>
  <c r="B202" i="32"/>
  <c r="A203" i="32"/>
  <c r="B203" i="32"/>
  <c r="A204" i="32"/>
  <c r="B204" i="32"/>
  <c r="A205" i="32"/>
  <c r="B205" i="32"/>
  <c r="A206" i="32"/>
  <c r="B206" i="32"/>
  <c r="A207" i="32"/>
  <c r="B207" i="32"/>
  <c r="A208" i="32"/>
  <c r="B208" i="32"/>
  <c r="A209" i="32"/>
  <c r="B209" i="32"/>
  <c r="A210" i="32"/>
  <c r="B210" i="32"/>
  <c r="A211" i="32"/>
  <c r="B211" i="32"/>
  <c r="A212" i="32"/>
  <c r="B212" i="32"/>
  <c r="A213" i="32"/>
  <c r="B213" i="32"/>
  <c r="A214" i="32"/>
  <c r="B214" i="32"/>
  <c r="A215" i="32"/>
  <c r="B215" i="32"/>
  <c r="A216" i="32"/>
  <c r="B216" i="32"/>
  <c r="A217" i="32"/>
  <c r="B217" i="32"/>
  <c r="A218" i="32"/>
  <c r="B218" i="32"/>
  <c r="A219" i="32"/>
  <c r="B219" i="32"/>
  <c r="A220" i="32"/>
  <c r="B220" i="32"/>
  <c r="A221" i="32"/>
  <c r="B221" i="32"/>
  <c r="A222" i="32"/>
  <c r="B222" i="32"/>
  <c r="A223" i="32"/>
  <c r="B223" i="32"/>
  <c r="A224" i="32"/>
  <c r="B224" i="32"/>
  <c r="A225" i="32"/>
  <c r="B225" i="32"/>
  <c r="A226" i="32"/>
  <c r="B226" i="32"/>
  <c r="A227" i="32"/>
  <c r="B227" i="32"/>
  <c r="A228" i="32"/>
  <c r="B228" i="32"/>
  <c r="A229" i="32"/>
  <c r="B229" i="32"/>
  <c r="A230" i="32"/>
  <c r="B230" i="32"/>
  <c r="A231" i="32"/>
  <c r="B231" i="32"/>
  <c r="A232" i="32"/>
  <c r="B232" i="32"/>
  <c r="A233" i="32"/>
  <c r="B233" i="32"/>
  <c r="A234" i="32"/>
  <c r="B234" i="32"/>
  <c r="A235" i="32"/>
  <c r="B235" i="32"/>
  <c r="A236" i="32"/>
  <c r="B236" i="32"/>
  <c r="A237" i="32"/>
  <c r="B237" i="32"/>
  <c r="A238" i="32"/>
  <c r="B238" i="32"/>
  <c r="A239" i="32"/>
  <c r="B239" i="32"/>
  <c r="A240" i="32"/>
  <c r="B240" i="32"/>
  <c r="A241" i="32"/>
  <c r="B241" i="32"/>
  <c r="A242" i="32"/>
  <c r="B242" i="32"/>
  <c r="A243" i="32"/>
  <c r="B243" i="32"/>
  <c r="A244" i="32"/>
  <c r="B244" i="32"/>
  <c r="A245" i="32"/>
  <c r="B245" i="32"/>
  <c r="A246" i="32"/>
  <c r="B246" i="32"/>
  <c r="A247" i="32"/>
  <c r="B247" i="32"/>
  <c r="A248" i="32"/>
  <c r="B248" i="32"/>
  <c r="A249" i="32"/>
  <c r="B249" i="32"/>
  <c r="A250" i="32"/>
  <c r="B250" i="32"/>
  <c r="A251" i="32"/>
  <c r="B251" i="32"/>
  <c r="A252" i="32"/>
  <c r="B252" i="32"/>
  <c r="A253" i="32"/>
  <c r="B253" i="32"/>
  <c r="A254" i="32"/>
  <c r="B254" i="32"/>
  <c r="A255" i="32"/>
  <c r="B255" i="32"/>
  <c r="A256" i="32"/>
  <c r="B256" i="32"/>
  <c r="A257" i="32"/>
  <c r="B257" i="32"/>
  <c r="A258" i="32"/>
  <c r="B258" i="32"/>
  <c r="A259" i="32"/>
  <c r="B259" i="32"/>
  <c r="A260" i="32"/>
  <c r="B260" i="32"/>
  <c r="A261" i="32"/>
  <c r="B261" i="32"/>
  <c r="A262" i="32"/>
  <c r="B262" i="32"/>
  <c r="A263" i="32"/>
  <c r="B263" i="32"/>
  <c r="A264" i="32"/>
  <c r="B264" i="32"/>
  <c r="A265" i="32"/>
  <c r="B265" i="32"/>
  <c r="A266" i="32"/>
  <c r="B266" i="32"/>
  <c r="A267" i="32"/>
  <c r="B267" i="32"/>
  <c r="A268" i="32"/>
  <c r="B268" i="32"/>
  <c r="A269" i="32"/>
  <c r="B269" i="32"/>
  <c r="A270" i="32"/>
  <c r="B270" i="32"/>
  <c r="A271" i="32"/>
  <c r="B271" i="32"/>
  <c r="A272" i="32"/>
  <c r="B272" i="32"/>
  <c r="A273" i="32"/>
  <c r="B273" i="32"/>
  <c r="A274" i="32"/>
  <c r="B274" i="32"/>
  <c r="A275" i="32"/>
  <c r="B275" i="32"/>
  <c r="A276" i="32"/>
  <c r="B276" i="32"/>
  <c r="A277" i="32"/>
  <c r="B277" i="32"/>
  <c r="A278" i="32"/>
  <c r="B278" i="32"/>
  <c r="A279" i="32"/>
  <c r="B279" i="32"/>
  <c r="A280" i="32"/>
  <c r="B280" i="32"/>
  <c r="A281" i="32"/>
  <c r="B281" i="32"/>
  <c r="A282" i="32"/>
  <c r="B282" i="32"/>
  <c r="A283" i="32"/>
  <c r="B283" i="32"/>
  <c r="A284" i="32"/>
  <c r="B284" i="32"/>
  <c r="A285" i="32"/>
  <c r="B285" i="32"/>
  <c r="A286" i="32"/>
  <c r="B286" i="32"/>
  <c r="A287" i="32"/>
  <c r="B287" i="32"/>
  <c r="A288" i="32"/>
  <c r="B288" i="32"/>
  <c r="A289" i="32"/>
  <c r="B289" i="32"/>
  <c r="A290" i="32"/>
  <c r="B290" i="32"/>
  <c r="A291" i="32"/>
  <c r="B291" i="32"/>
  <c r="A292" i="32"/>
  <c r="B292" i="32"/>
  <c r="A293" i="32"/>
  <c r="B293" i="32"/>
  <c r="A294" i="32"/>
  <c r="B294" i="32"/>
  <c r="A295" i="32"/>
  <c r="B295" i="32"/>
  <c r="A296" i="32"/>
  <c r="B296" i="32"/>
  <c r="A297" i="32"/>
  <c r="B297" i="32"/>
  <c r="A298" i="32"/>
  <c r="B298" i="32"/>
  <c r="A299" i="32"/>
  <c r="B299" i="32"/>
  <c r="A300" i="32"/>
  <c r="B300" i="32"/>
  <c r="A301" i="32"/>
  <c r="B301" i="32"/>
  <c r="A302" i="32"/>
  <c r="B302" i="32"/>
  <c r="A303" i="32"/>
  <c r="B303" i="32"/>
  <c r="A304" i="32"/>
  <c r="B304" i="32"/>
  <c r="A305" i="32"/>
  <c r="B305" i="32"/>
  <c r="A306" i="32"/>
  <c r="B306" i="32"/>
  <c r="A307" i="32"/>
  <c r="B307" i="32"/>
  <c r="A308" i="32"/>
  <c r="B308" i="32"/>
  <c r="A309" i="32"/>
  <c r="B309" i="32"/>
  <c r="A310" i="32"/>
  <c r="B310" i="32"/>
  <c r="A311" i="32"/>
  <c r="B311" i="32"/>
  <c r="A312" i="32"/>
  <c r="B312" i="32"/>
  <c r="A313" i="32"/>
  <c r="B313" i="32"/>
  <c r="A314" i="32"/>
  <c r="B314" i="32"/>
  <c r="A315" i="32"/>
  <c r="B315" i="32"/>
  <c r="A316" i="32"/>
  <c r="B316" i="32"/>
  <c r="A317" i="32"/>
  <c r="B317" i="32"/>
  <c r="A318" i="32"/>
  <c r="B318" i="32"/>
  <c r="A319" i="32"/>
  <c r="B319" i="32"/>
  <c r="A320" i="32"/>
  <c r="B320" i="32"/>
  <c r="A321" i="32"/>
  <c r="B321" i="32"/>
  <c r="A322" i="32"/>
  <c r="B322" i="32"/>
  <c r="B5" i="32"/>
  <c r="A5" i="32"/>
  <c r="A8" i="19"/>
  <c r="A7" i="52" s="1"/>
  <c r="B8" i="19"/>
  <c r="B7" i="52" s="1"/>
  <c r="A9" i="19"/>
  <c r="A8" i="52" s="1"/>
  <c r="B9" i="19"/>
  <c r="B8" i="52" s="1"/>
  <c r="A10" i="19"/>
  <c r="A9" i="52" s="1"/>
  <c r="B10" i="19"/>
  <c r="B9" i="52" s="1"/>
  <c r="A11" i="19"/>
  <c r="A10" i="52" s="1"/>
  <c r="B11" i="19"/>
  <c r="B10" i="52" s="1"/>
  <c r="A12" i="19"/>
  <c r="A11" i="52" s="1"/>
  <c r="B12" i="19"/>
  <c r="B11" i="52" s="1"/>
  <c r="A13" i="19"/>
  <c r="A12" i="52" s="1"/>
  <c r="B13" i="19"/>
  <c r="B12" i="52" s="1"/>
  <c r="A14" i="19"/>
  <c r="A13" i="52" s="1"/>
  <c r="B14" i="19"/>
  <c r="B13" i="52" s="1"/>
  <c r="A15" i="19"/>
  <c r="A14" i="52" s="1"/>
  <c r="B15" i="19"/>
  <c r="B14" i="52" s="1"/>
  <c r="A16" i="19"/>
  <c r="A15" i="52" s="1"/>
  <c r="B16" i="19"/>
  <c r="B15" i="52" s="1"/>
  <c r="A17" i="19"/>
  <c r="A16" i="52" s="1"/>
  <c r="B17" i="19"/>
  <c r="B16" i="52" s="1"/>
  <c r="A18" i="19"/>
  <c r="A17" i="52" s="1"/>
  <c r="B18" i="19"/>
  <c r="B17" i="52" s="1"/>
  <c r="A19" i="19"/>
  <c r="A18" i="52" s="1"/>
  <c r="B19" i="19"/>
  <c r="B18" i="52" s="1"/>
  <c r="A20" i="19"/>
  <c r="A19" i="52" s="1"/>
  <c r="B20" i="19"/>
  <c r="B19" i="52" s="1"/>
  <c r="A21" i="19"/>
  <c r="A20" i="52" s="1"/>
  <c r="B21" i="19"/>
  <c r="B20" i="52" s="1"/>
  <c r="A22" i="19"/>
  <c r="A21" i="52" s="1"/>
  <c r="B22" i="19"/>
  <c r="B21" i="52" s="1"/>
  <c r="A23" i="19"/>
  <c r="A22" i="52" s="1"/>
  <c r="B23" i="19"/>
  <c r="B22" i="52" s="1"/>
  <c r="A24" i="19"/>
  <c r="A23" i="52" s="1"/>
  <c r="B24" i="19"/>
  <c r="B23" i="52" s="1"/>
  <c r="A25" i="19"/>
  <c r="A24" i="52" s="1"/>
  <c r="B25" i="19"/>
  <c r="B24" i="52" s="1"/>
  <c r="A26" i="19"/>
  <c r="A25" i="52" s="1"/>
  <c r="B26" i="19"/>
  <c r="B25" i="52" s="1"/>
  <c r="A27" i="19"/>
  <c r="A26" i="52" s="1"/>
  <c r="B27" i="19"/>
  <c r="B26" i="52" s="1"/>
  <c r="A28" i="19"/>
  <c r="A27" i="52" s="1"/>
  <c r="B28" i="19"/>
  <c r="B27" i="52" s="1"/>
  <c r="A29" i="19"/>
  <c r="A28" i="52" s="1"/>
  <c r="B29" i="19"/>
  <c r="B28" i="52" s="1"/>
  <c r="A30" i="19"/>
  <c r="A29" i="52" s="1"/>
  <c r="B30" i="19"/>
  <c r="B29" i="52" s="1"/>
  <c r="A31" i="19"/>
  <c r="A30" i="52" s="1"/>
  <c r="B31" i="19"/>
  <c r="B30" i="52" s="1"/>
  <c r="A32" i="19"/>
  <c r="A31" i="52" s="1"/>
  <c r="B32" i="19"/>
  <c r="B31" i="52" s="1"/>
  <c r="A33" i="19"/>
  <c r="A32" i="52" s="1"/>
  <c r="B33" i="19"/>
  <c r="B32" i="52" s="1"/>
  <c r="A34" i="19"/>
  <c r="A33" i="52" s="1"/>
  <c r="B34" i="19"/>
  <c r="B33" i="52" s="1"/>
  <c r="A35" i="19"/>
  <c r="A34" i="52" s="1"/>
  <c r="B35" i="19"/>
  <c r="B34" i="52" s="1"/>
  <c r="A36" i="19"/>
  <c r="A35" i="52" s="1"/>
  <c r="B36" i="19"/>
  <c r="B35" i="52" s="1"/>
  <c r="A37" i="19"/>
  <c r="A36" i="52" s="1"/>
  <c r="B37" i="19"/>
  <c r="B36" i="52" s="1"/>
  <c r="A38" i="19"/>
  <c r="A37" i="52" s="1"/>
  <c r="B38" i="19"/>
  <c r="B37" i="52" s="1"/>
  <c r="A39" i="19"/>
  <c r="A38" i="52" s="1"/>
  <c r="B39" i="19"/>
  <c r="B38" i="52" s="1"/>
  <c r="A40" i="19"/>
  <c r="A39" i="52" s="1"/>
  <c r="B40" i="19"/>
  <c r="B39" i="52" s="1"/>
  <c r="A41" i="19"/>
  <c r="A40" i="52" s="1"/>
  <c r="B41" i="19"/>
  <c r="B40" i="52" s="1"/>
  <c r="A42" i="19"/>
  <c r="A41" i="52" s="1"/>
  <c r="B42" i="19"/>
  <c r="B41" i="52" s="1"/>
  <c r="A43" i="19"/>
  <c r="A42" i="52" s="1"/>
  <c r="B43" i="19"/>
  <c r="B42" i="52" s="1"/>
  <c r="A44" i="19"/>
  <c r="A43" i="52" s="1"/>
  <c r="B44" i="19"/>
  <c r="B43" i="52" s="1"/>
  <c r="A45" i="19"/>
  <c r="A44" i="52" s="1"/>
  <c r="B45" i="19"/>
  <c r="B44" i="52" s="1"/>
  <c r="A46" i="19"/>
  <c r="A45" i="52" s="1"/>
  <c r="B46" i="19"/>
  <c r="B45" i="52" s="1"/>
  <c r="A47" i="19"/>
  <c r="A46" i="52" s="1"/>
  <c r="B47" i="19"/>
  <c r="B46" i="52" s="1"/>
  <c r="A48" i="19"/>
  <c r="A47" i="52" s="1"/>
  <c r="B48" i="19"/>
  <c r="B47" i="52" s="1"/>
  <c r="A49" i="19"/>
  <c r="A48" i="52" s="1"/>
  <c r="B49" i="19"/>
  <c r="B48" i="52" s="1"/>
  <c r="A50" i="19"/>
  <c r="A49" i="52" s="1"/>
  <c r="B50" i="19"/>
  <c r="B49" i="52" s="1"/>
  <c r="A51" i="19"/>
  <c r="A50" i="52" s="1"/>
  <c r="B51" i="19"/>
  <c r="B50" i="52" s="1"/>
  <c r="A52" i="19"/>
  <c r="A51" i="52" s="1"/>
  <c r="B52" i="19"/>
  <c r="B51" i="52" s="1"/>
  <c r="A53" i="19"/>
  <c r="A52" i="52" s="1"/>
  <c r="B53" i="19"/>
  <c r="B52" i="52" s="1"/>
  <c r="A54" i="19"/>
  <c r="A53" i="52" s="1"/>
  <c r="B54" i="19"/>
  <c r="B53" i="52" s="1"/>
  <c r="A55" i="19"/>
  <c r="A54" i="52" s="1"/>
  <c r="B55" i="19"/>
  <c r="B54" i="52" s="1"/>
  <c r="A56" i="19"/>
  <c r="A55" i="52" s="1"/>
  <c r="B56" i="19"/>
  <c r="B55" i="52" s="1"/>
  <c r="A57" i="19"/>
  <c r="A56" i="52" s="1"/>
  <c r="B57" i="19"/>
  <c r="B56" i="52" s="1"/>
  <c r="A58" i="19"/>
  <c r="A57" i="52" s="1"/>
  <c r="B58" i="19"/>
  <c r="B57" i="52" s="1"/>
  <c r="A59" i="19"/>
  <c r="A58" i="52" s="1"/>
  <c r="B59" i="19"/>
  <c r="B58" i="52" s="1"/>
  <c r="A60" i="19"/>
  <c r="A59" i="52" s="1"/>
  <c r="B60" i="19"/>
  <c r="B59" i="52" s="1"/>
  <c r="A61" i="19"/>
  <c r="A60" i="52" s="1"/>
  <c r="B61" i="19"/>
  <c r="B60" i="52" s="1"/>
  <c r="A62" i="19"/>
  <c r="A61" i="52" s="1"/>
  <c r="B62" i="19"/>
  <c r="B61" i="52" s="1"/>
  <c r="A63" i="19"/>
  <c r="A62" i="52" s="1"/>
  <c r="B63" i="19"/>
  <c r="B62" i="52" s="1"/>
  <c r="A64" i="19"/>
  <c r="A63" i="52" s="1"/>
  <c r="B64" i="19"/>
  <c r="B63" i="52" s="1"/>
  <c r="A65" i="19"/>
  <c r="A64" i="52" s="1"/>
  <c r="B65" i="19"/>
  <c r="B64" i="52" s="1"/>
  <c r="A66" i="19"/>
  <c r="A65" i="52" s="1"/>
  <c r="B66" i="19"/>
  <c r="B65" i="52" s="1"/>
  <c r="A67" i="19"/>
  <c r="A66" i="52" s="1"/>
  <c r="B67" i="19"/>
  <c r="B66" i="52" s="1"/>
  <c r="A68" i="19"/>
  <c r="A67" i="52" s="1"/>
  <c r="B68" i="19"/>
  <c r="B67" i="52" s="1"/>
  <c r="A69" i="19"/>
  <c r="A68" i="52" s="1"/>
  <c r="B69" i="19"/>
  <c r="B68" i="52" s="1"/>
  <c r="A70" i="19"/>
  <c r="A69" i="52" s="1"/>
  <c r="B70" i="19"/>
  <c r="B69" i="52" s="1"/>
  <c r="A71" i="19"/>
  <c r="A70" i="52" s="1"/>
  <c r="B71" i="19"/>
  <c r="B70" i="52" s="1"/>
  <c r="A72" i="19"/>
  <c r="A71" i="52" s="1"/>
  <c r="B72" i="19"/>
  <c r="B71" i="52" s="1"/>
  <c r="A73" i="19"/>
  <c r="A72" i="52" s="1"/>
  <c r="B73" i="19"/>
  <c r="B72" i="52" s="1"/>
  <c r="A74" i="19"/>
  <c r="A73" i="52" s="1"/>
  <c r="B74" i="19"/>
  <c r="B73" i="52" s="1"/>
  <c r="A75" i="19"/>
  <c r="A74" i="52" s="1"/>
  <c r="B75" i="19"/>
  <c r="B74" i="52" s="1"/>
  <c r="A76" i="19"/>
  <c r="A75" i="52" s="1"/>
  <c r="B76" i="19"/>
  <c r="B75" i="52" s="1"/>
  <c r="A77" i="19"/>
  <c r="A76" i="52" s="1"/>
  <c r="B77" i="19"/>
  <c r="B76" i="52" s="1"/>
  <c r="A78" i="19"/>
  <c r="A77" i="52" s="1"/>
  <c r="B78" i="19"/>
  <c r="B77" i="52" s="1"/>
  <c r="A79" i="19"/>
  <c r="A78" i="52" s="1"/>
  <c r="B79" i="19"/>
  <c r="B78" i="52" s="1"/>
  <c r="A80" i="19"/>
  <c r="A79" i="52" s="1"/>
  <c r="B80" i="19"/>
  <c r="B79" i="52" s="1"/>
  <c r="A81" i="19"/>
  <c r="A80" i="52" s="1"/>
  <c r="B81" i="19"/>
  <c r="B80" i="52" s="1"/>
  <c r="A82" i="19"/>
  <c r="A81" i="52" s="1"/>
  <c r="B82" i="19"/>
  <c r="B81" i="52" s="1"/>
  <c r="A83" i="19"/>
  <c r="A82" i="52" s="1"/>
  <c r="B83" i="19"/>
  <c r="B82" i="52" s="1"/>
  <c r="A84" i="19"/>
  <c r="A83" i="52" s="1"/>
  <c r="B84" i="19"/>
  <c r="B83" i="52" s="1"/>
  <c r="A85" i="19"/>
  <c r="A84" i="52" s="1"/>
  <c r="B85" i="19"/>
  <c r="B84" i="52" s="1"/>
  <c r="A86" i="19"/>
  <c r="A85" i="52" s="1"/>
  <c r="B86" i="19"/>
  <c r="B85" i="52" s="1"/>
  <c r="A87" i="19"/>
  <c r="A86" i="52" s="1"/>
  <c r="B87" i="19"/>
  <c r="B86" i="52" s="1"/>
  <c r="A88" i="19"/>
  <c r="A87" i="52" s="1"/>
  <c r="B88" i="19"/>
  <c r="B87" i="52" s="1"/>
  <c r="A89" i="19"/>
  <c r="A88" i="52" s="1"/>
  <c r="B89" i="19"/>
  <c r="B88" i="52" s="1"/>
  <c r="A90" i="19"/>
  <c r="A89" i="52" s="1"/>
  <c r="B90" i="19"/>
  <c r="B89" i="52" s="1"/>
  <c r="A91" i="19"/>
  <c r="A90" i="52" s="1"/>
  <c r="B91" i="19"/>
  <c r="B90" i="52" s="1"/>
  <c r="A92" i="19"/>
  <c r="A91" i="52" s="1"/>
  <c r="B92" i="19"/>
  <c r="B91" i="52" s="1"/>
  <c r="A93" i="19"/>
  <c r="A92" i="52" s="1"/>
  <c r="B93" i="19"/>
  <c r="B92" i="52" s="1"/>
  <c r="A94" i="19"/>
  <c r="A93" i="52" s="1"/>
  <c r="B94" i="19"/>
  <c r="B93" i="52" s="1"/>
  <c r="A95" i="19"/>
  <c r="A94" i="52" s="1"/>
  <c r="B95" i="19"/>
  <c r="B94" i="52" s="1"/>
  <c r="A96" i="19"/>
  <c r="A95" i="52" s="1"/>
  <c r="B96" i="19"/>
  <c r="B95" i="52" s="1"/>
  <c r="A97" i="19"/>
  <c r="A96" i="52" s="1"/>
  <c r="B97" i="19"/>
  <c r="B96" i="52" s="1"/>
  <c r="A98" i="19"/>
  <c r="A97" i="52" s="1"/>
  <c r="B98" i="19"/>
  <c r="B97" i="52" s="1"/>
  <c r="A99" i="19"/>
  <c r="A98" i="52" s="1"/>
  <c r="B99" i="19"/>
  <c r="B98" i="52" s="1"/>
  <c r="A100" i="19"/>
  <c r="A99" i="52" s="1"/>
  <c r="B100" i="19"/>
  <c r="B99" i="52" s="1"/>
  <c r="A101" i="19"/>
  <c r="A100" i="52" s="1"/>
  <c r="B101" i="19"/>
  <c r="B100" i="52" s="1"/>
  <c r="A102" i="19"/>
  <c r="A101" i="52" s="1"/>
  <c r="B102" i="19"/>
  <c r="B101" i="52" s="1"/>
  <c r="A103" i="19"/>
  <c r="A102" i="52" s="1"/>
  <c r="B103" i="19"/>
  <c r="B102" i="52" s="1"/>
  <c r="A104" i="19"/>
  <c r="A103" i="52" s="1"/>
  <c r="B104" i="19"/>
  <c r="B103" i="52" s="1"/>
  <c r="A105" i="19"/>
  <c r="A104" i="52" s="1"/>
  <c r="B105" i="19"/>
  <c r="B104" i="52" s="1"/>
  <c r="A106" i="19"/>
  <c r="A105" i="52" s="1"/>
  <c r="B106" i="19"/>
  <c r="B105" i="52" s="1"/>
  <c r="A107" i="19"/>
  <c r="A106" i="52" s="1"/>
  <c r="B107" i="19"/>
  <c r="B106" i="52" s="1"/>
  <c r="A108" i="19"/>
  <c r="A107" i="52" s="1"/>
  <c r="B108" i="19"/>
  <c r="B107" i="52" s="1"/>
  <c r="A109" i="19"/>
  <c r="A108" i="52" s="1"/>
  <c r="B109" i="19"/>
  <c r="B108" i="52" s="1"/>
  <c r="A110" i="19"/>
  <c r="A109" i="52" s="1"/>
  <c r="B110" i="19"/>
  <c r="B109" i="52" s="1"/>
  <c r="A111" i="19"/>
  <c r="A110" i="52" s="1"/>
  <c r="B111" i="19"/>
  <c r="B110" i="52" s="1"/>
  <c r="A112" i="19"/>
  <c r="A111" i="52" s="1"/>
  <c r="B112" i="19"/>
  <c r="B111" i="52" s="1"/>
  <c r="A113" i="19"/>
  <c r="A112" i="52" s="1"/>
  <c r="B113" i="19"/>
  <c r="B112" i="52" s="1"/>
  <c r="A114" i="19"/>
  <c r="A113" i="52" s="1"/>
  <c r="B114" i="19"/>
  <c r="B113" i="52" s="1"/>
  <c r="A115" i="19"/>
  <c r="A114" i="52" s="1"/>
  <c r="B115" i="19"/>
  <c r="B114" i="52" s="1"/>
  <c r="A116" i="19"/>
  <c r="A115" i="52" s="1"/>
  <c r="B116" i="19"/>
  <c r="B115" i="52" s="1"/>
  <c r="A117" i="19"/>
  <c r="A116" i="52" s="1"/>
  <c r="B117" i="19"/>
  <c r="B116" i="52" s="1"/>
  <c r="A118" i="19"/>
  <c r="A117" i="52" s="1"/>
  <c r="B118" i="19"/>
  <c r="B117" i="52" s="1"/>
  <c r="A119" i="19"/>
  <c r="A118" i="52" s="1"/>
  <c r="B119" i="19"/>
  <c r="B118" i="52" s="1"/>
  <c r="A120" i="19"/>
  <c r="A119" i="52" s="1"/>
  <c r="B120" i="19"/>
  <c r="B119" i="52" s="1"/>
  <c r="A121" i="19"/>
  <c r="A120" i="52" s="1"/>
  <c r="B121" i="19"/>
  <c r="B120" i="52" s="1"/>
  <c r="A122" i="19"/>
  <c r="A121" i="52" s="1"/>
  <c r="B122" i="19"/>
  <c r="B121" i="52" s="1"/>
  <c r="A123" i="19"/>
  <c r="A122" i="52" s="1"/>
  <c r="B123" i="19"/>
  <c r="B122" i="52" s="1"/>
  <c r="A124" i="19"/>
  <c r="A123" i="52" s="1"/>
  <c r="B124" i="19"/>
  <c r="B123" i="52" s="1"/>
  <c r="A125" i="19"/>
  <c r="A124" i="52" s="1"/>
  <c r="B125" i="19"/>
  <c r="B124" i="52" s="1"/>
  <c r="A126" i="19"/>
  <c r="A125" i="52" s="1"/>
  <c r="B126" i="19"/>
  <c r="B125" i="52" s="1"/>
  <c r="A127" i="19"/>
  <c r="A126" i="52" s="1"/>
  <c r="B127" i="19"/>
  <c r="B126" i="52" s="1"/>
  <c r="A128" i="19"/>
  <c r="A127" i="52" s="1"/>
  <c r="B128" i="19"/>
  <c r="B127" i="52" s="1"/>
  <c r="A129" i="19"/>
  <c r="A128" i="52" s="1"/>
  <c r="B129" i="19"/>
  <c r="B128" i="52" s="1"/>
  <c r="A130" i="19"/>
  <c r="A129" i="52" s="1"/>
  <c r="B130" i="19"/>
  <c r="B129" i="52" s="1"/>
  <c r="A131" i="19"/>
  <c r="A130" i="52" s="1"/>
  <c r="B131" i="19"/>
  <c r="B130" i="52" s="1"/>
  <c r="A132" i="19"/>
  <c r="A131" i="52" s="1"/>
  <c r="B132" i="19"/>
  <c r="B131" i="52" s="1"/>
  <c r="A133" i="19"/>
  <c r="A132" i="52" s="1"/>
  <c r="B133" i="19"/>
  <c r="B132" i="52" s="1"/>
  <c r="A134" i="19"/>
  <c r="A133" i="52" s="1"/>
  <c r="B134" i="19"/>
  <c r="B133" i="52" s="1"/>
  <c r="A135" i="19"/>
  <c r="A134" i="52" s="1"/>
  <c r="B135" i="19"/>
  <c r="B134" i="52" s="1"/>
  <c r="A136" i="19"/>
  <c r="A135" i="52" s="1"/>
  <c r="B136" i="19"/>
  <c r="B135" i="52" s="1"/>
  <c r="A137" i="19"/>
  <c r="A136" i="52" s="1"/>
  <c r="B137" i="19"/>
  <c r="B136" i="52" s="1"/>
  <c r="A138" i="19"/>
  <c r="A137" i="52" s="1"/>
  <c r="B138" i="19"/>
  <c r="B137" i="52" s="1"/>
  <c r="A139" i="19"/>
  <c r="A138" i="52" s="1"/>
  <c r="B139" i="19"/>
  <c r="B138" i="52" s="1"/>
  <c r="A140" i="19"/>
  <c r="A139" i="52" s="1"/>
  <c r="B140" i="19"/>
  <c r="B139" i="52" s="1"/>
  <c r="A141" i="19"/>
  <c r="A140" i="52" s="1"/>
  <c r="B141" i="19"/>
  <c r="B140" i="52" s="1"/>
  <c r="A142" i="19"/>
  <c r="A141" i="52" s="1"/>
  <c r="B142" i="19"/>
  <c r="B141" i="52" s="1"/>
  <c r="A143" i="19"/>
  <c r="A142" i="52" s="1"/>
  <c r="B143" i="19"/>
  <c r="B142" i="52" s="1"/>
  <c r="A144" i="19"/>
  <c r="A143" i="52" s="1"/>
  <c r="B144" i="19"/>
  <c r="B143" i="52" s="1"/>
  <c r="A145" i="19"/>
  <c r="A144" i="52" s="1"/>
  <c r="B145" i="19"/>
  <c r="B144" i="52" s="1"/>
  <c r="A146" i="19"/>
  <c r="A145" i="52" s="1"/>
  <c r="B146" i="19"/>
  <c r="B145" i="52" s="1"/>
  <c r="A147" i="19"/>
  <c r="A146" i="52" s="1"/>
  <c r="B147" i="19"/>
  <c r="B146" i="52" s="1"/>
  <c r="A148" i="19"/>
  <c r="A147" i="52" s="1"/>
  <c r="B148" i="19"/>
  <c r="B147" i="52" s="1"/>
  <c r="A149" i="19"/>
  <c r="A148" i="52" s="1"/>
  <c r="B149" i="19"/>
  <c r="B148" i="52" s="1"/>
  <c r="A150" i="19"/>
  <c r="A149" i="52" s="1"/>
  <c r="B150" i="19"/>
  <c r="B149" i="52" s="1"/>
  <c r="A151" i="19"/>
  <c r="A150" i="52" s="1"/>
  <c r="B151" i="19"/>
  <c r="B150" i="52" s="1"/>
  <c r="A152" i="19"/>
  <c r="A151" i="52" s="1"/>
  <c r="B152" i="19"/>
  <c r="B151" i="52" s="1"/>
  <c r="A153" i="19"/>
  <c r="A152" i="52" s="1"/>
  <c r="B153" i="19"/>
  <c r="B152" i="52" s="1"/>
  <c r="A154" i="19"/>
  <c r="A153" i="52" s="1"/>
  <c r="B154" i="19"/>
  <c r="B153" i="52" s="1"/>
  <c r="A155" i="19"/>
  <c r="A154" i="52" s="1"/>
  <c r="B155" i="19"/>
  <c r="B154" i="52" s="1"/>
  <c r="A156" i="19"/>
  <c r="A155" i="52" s="1"/>
  <c r="B156" i="19"/>
  <c r="B155" i="52" s="1"/>
  <c r="A157" i="19"/>
  <c r="A156" i="52" s="1"/>
  <c r="B157" i="19"/>
  <c r="B156" i="52" s="1"/>
  <c r="A158" i="19"/>
  <c r="A157" i="52" s="1"/>
  <c r="B158" i="19"/>
  <c r="B157" i="52" s="1"/>
  <c r="A159" i="19"/>
  <c r="A158" i="52" s="1"/>
  <c r="B159" i="19"/>
  <c r="B158" i="52" s="1"/>
  <c r="A160" i="19"/>
  <c r="A159" i="52" s="1"/>
  <c r="B160" i="19"/>
  <c r="B159" i="52" s="1"/>
  <c r="A161" i="19"/>
  <c r="A160" i="52" s="1"/>
  <c r="B161" i="19"/>
  <c r="B160" i="52" s="1"/>
  <c r="A162" i="19"/>
  <c r="A161" i="52" s="1"/>
  <c r="B162" i="19"/>
  <c r="B161" i="52" s="1"/>
  <c r="A163" i="19"/>
  <c r="A162" i="52" s="1"/>
  <c r="B163" i="19"/>
  <c r="B162" i="52" s="1"/>
  <c r="A164" i="19"/>
  <c r="A163" i="52" s="1"/>
  <c r="B164" i="19"/>
  <c r="B163" i="52" s="1"/>
  <c r="A165" i="19"/>
  <c r="A164" i="52" s="1"/>
  <c r="B165" i="19"/>
  <c r="B164" i="52" s="1"/>
  <c r="A166" i="19"/>
  <c r="A165" i="52" s="1"/>
  <c r="B166" i="19"/>
  <c r="B165" i="52" s="1"/>
  <c r="A167" i="19"/>
  <c r="A166" i="52" s="1"/>
  <c r="B167" i="19"/>
  <c r="B166" i="52" s="1"/>
  <c r="A168" i="19"/>
  <c r="A167" i="52" s="1"/>
  <c r="B168" i="19"/>
  <c r="B167" i="52" s="1"/>
  <c r="A169" i="19"/>
  <c r="A168" i="52" s="1"/>
  <c r="B169" i="19"/>
  <c r="B168" i="52" s="1"/>
  <c r="A170" i="19"/>
  <c r="A169" i="52" s="1"/>
  <c r="B170" i="19"/>
  <c r="B169" i="52" s="1"/>
  <c r="A171" i="19"/>
  <c r="A170" i="52" s="1"/>
  <c r="B171" i="19"/>
  <c r="B170" i="52" s="1"/>
  <c r="A172" i="19"/>
  <c r="A171" i="52" s="1"/>
  <c r="B172" i="19"/>
  <c r="B171" i="52" s="1"/>
  <c r="A173" i="19"/>
  <c r="A172" i="52" s="1"/>
  <c r="B173" i="19"/>
  <c r="B172" i="52" s="1"/>
  <c r="A174" i="19"/>
  <c r="A173" i="52" s="1"/>
  <c r="B174" i="19"/>
  <c r="B173" i="52" s="1"/>
  <c r="A175" i="19"/>
  <c r="A174" i="52" s="1"/>
  <c r="B175" i="19"/>
  <c r="B174" i="52" s="1"/>
  <c r="A176" i="19"/>
  <c r="A175" i="52" s="1"/>
  <c r="B176" i="19"/>
  <c r="B175" i="52" s="1"/>
  <c r="A177" i="19"/>
  <c r="A176" i="52" s="1"/>
  <c r="B177" i="19"/>
  <c r="B176" i="52" s="1"/>
  <c r="A178" i="19"/>
  <c r="A177" i="52" s="1"/>
  <c r="B178" i="19"/>
  <c r="B177" i="52" s="1"/>
  <c r="A179" i="19"/>
  <c r="A178" i="52" s="1"/>
  <c r="B179" i="19"/>
  <c r="B178" i="52" s="1"/>
  <c r="A180" i="19"/>
  <c r="A179" i="52" s="1"/>
  <c r="B180" i="19"/>
  <c r="B179" i="52" s="1"/>
  <c r="A181" i="19"/>
  <c r="A180" i="52" s="1"/>
  <c r="B181" i="19"/>
  <c r="B180" i="52" s="1"/>
  <c r="A182" i="19"/>
  <c r="A181" i="52" s="1"/>
  <c r="B182" i="19"/>
  <c r="B181" i="52" s="1"/>
  <c r="A183" i="19"/>
  <c r="A182" i="52" s="1"/>
  <c r="B183" i="19"/>
  <c r="B182" i="52" s="1"/>
  <c r="A184" i="19"/>
  <c r="A183" i="52" s="1"/>
  <c r="B184" i="19"/>
  <c r="B183" i="52" s="1"/>
  <c r="A185" i="19"/>
  <c r="A184" i="52" s="1"/>
  <c r="B185" i="19"/>
  <c r="B184" i="52" s="1"/>
  <c r="A186" i="19"/>
  <c r="A185" i="52" s="1"/>
  <c r="B186" i="19"/>
  <c r="B185" i="52" s="1"/>
  <c r="A187" i="19"/>
  <c r="A186" i="52" s="1"/>
  <c r="B187" i="19"/>
  <c r="B186" i="52" s="1"/>
  <c r="A188" i="19"/>
  <c r="A187" i="52" s="1"/>
  <c r="B188" i="19"/>
  <c r="B187" i="52" s="1"/>
  <c r="A189" i="19"/>
  <c r="A188" i="52" s="1"/>
  <c r="B189" i="19"/>
  <c r="B188" i="52" s="1"/>
  <c r="A190" i="19"/>
  <c r="A189" i="52" s="1"/>
  <c r="B190" i="19"/>
  <c r="B189" i="52" s="1"/>
  <c r="A191" i="19"/>
  <c r="A190" i="52" s="1"/>
  <c r="B191" i="19"/>
  <c r="B190" i="52" s="1"/>
  <c r="A192" i="19"/>
  <c r="A191" i="52" s="1"/>
  <c r="B192" i="19"/>
  <c r="B191" i="52" s="1"/>
  <c r="A193" i="19"/>
  <c r="A192" i="52" s="1"/>
  <c r="B193" i="19"/>
  <c r="B192" i="52" s="1"/>
  <c r="A194" i="19"/>
  <c r="A193" i="52" s="1"/>
  <c r="B194" i="19"/>
  <c r="B193" i="52" s="1"/>
  <c r="A195" i="19"/>
  <c r="A194" i="52" s="1"/>
  <c r="B195" i="19"/>
  <c r="B194" i="52" s="1"/>
  <c r="A196" i="19"/>
  <c r="A195" i="52" s="1"/>
  <c r="B196" i="19"/>
  <c r="B195" i="52" s="1"/>
  <c r="A197" i="19"/>
  <c r="A196" i="52" s="1"/>
  <c r="B197" i="19"/>
  <c r="B196" i="52" s="1"/>
  <c r="A198" i="19"/>
  <c r="A197" i="52" s="1"/>
  <c r="B198" i="19"/>
  <c r="B197" i="52" s="1"/>
  <c r="A199" i="19"/>
  <c r="A198" i="52" s="1"/>
  <c r="B199" i="19"/>
  <c r="B198" i="52" s="1"/>
  <c r="A200" i="19"/>
  <c r="A199" i="52" s="1"/>
  <c r="B200" i="19"/>
  <c r="B199" i="52" s="1"/>
  <c r="A201" i="19"/>
  <c r="A200" i="52" s="1"/>
  <c r="B201" i="19"/>
  <c r="B200" i="52" s="1"/>
  <c r="A202" i="19"/>
  <c r="A201" i="52" s="1"/>
  <c r="B202" i="19"/>
  <c r="B201" i="52" s="1"/>
  <c r="A203" i="19"/>
  <c r="A202" i="52" s="1"/>
  <c r="B203" i="19"/>
  <c r="B202" i="52" s="1"/>
  <c r="A204" i="19"/>
  <c r="A203" i="52" s="1"/>
  <c r="B204" i="19"/>
  <c r="B203" i="52" s="1"/>
  <c r="A205" i="19"/>
  <c r="A204" i="52" s="1"/>
  <c r="B205" i="19"/>
  <c r="B204" i="52" s="1"/>
  <c r="A206" i="19"/>
  <c r="A205" i="52" s="1"/>
  <c r="B206" i="19"/>
  <c r="B205" i="52" s="1"/>
  <c r="A207" i="19"/>
  <c r="A206" i="52" s="1"/>
  <c r="B207" i="19"/>
  <c r="B206" i="52" s="1"/>
  <c r="A208" i="19"/>
  <c r="A207" i="52" s="1"/>
  <c r="B208" i="19"/>
  <c r="B207" i="52" s="1"/>
  <c r="A209" i="19"/>
  <c r="A208" i="52" s="1"/>
  <c r="B209" i="19"/>
  <c r="B208" i="52" s="1"/>
  <c r="A210" i="19"/>
  <c r="A209" i="52" s="1"/>
  <c r="B210" i="19"/>
  <c r="B209" i="52" s="1"/>
  <c r="A211" i="19"/>
  <c r="A210" i="52" s="1"/>
  <c r="B211" i="19"/>
  <c r="B210" i="52" s="1"/>
  <c r="A212" i="19"/>
  <c r="A211" i="52" s="1"/>
  <c r="B212" i="19"/>
  <c r="B211" i="52" s="1"/>
  <c r="A213" i="19"/>
  <c r="A212" i="52" s="1"/>
  <c r="B213" i="19"/>
  <c r="B212" i="52" s="1"/>
  <c r="A214" i="19"/>
  <c r="A213" i="52" s="1"/>
  <c r="B214" i="19"/>
  <c r="B213" i="52" s="1"/>
  <c r="A215" i="19"/>
  <c r="A214" i="52" s="1"/>
  <c r="B215" i="19"/>
  <c r="B214" i="52" s="1"/>
  <c r="A216" i="19"/>
  <c r="A215" i="52" s="1"/>
  <c r="B216" i="19"/>
  <c r="B215" i="52" s="1"/>
  <c r="A217" i="19"/>
  <c r="A216" i="52" s="1"/>
  <c r="B217" i="19"/>
  <c r="B216" i="52" s="1"/>
  <c r="A218" i="19"/>
  <c r="A217" i="52" s="1"/>
  <c r="B218" i="19"/>
  <c r="B217" i="52" s="1"/>
  <c r="A219" i="19"/>
  <c r="A218" i="52" s="1"/>
  <c r="B219" i="19"/>
  <c r="B218" i="52" s="1"/>
  <c r="A220" i="19"/>
  <c r="A219" i="52" s="1"/>
  <c r="B220" i="19"/>
  <c r="B219" i="52" s="1"/>
  <c r="A221" i="19"/>
  <c r="A220" i="52" s="1"/>
  <c r="B221" i="19"/>
  <c r="B220" i="52" s="1"/>
  <c r="A222" i="19"/>
  <c r="A221" i="52" s="1"/>
  <c r="B222" i="19"/>
  <c r="B221" i="52" s="1"/>
  <c r="A223" i="19"/>
  <c r="A222" i="52" s="1"/>
  <c r="B223" i="19"/>
  <c r="B222" i="52" s="1"/>
  <c r="A224" i="19"/>
  <c r="A223" i="52" s="1"/>
  <c r="B224" i="19"/>
  <c r="B223" i="52" s="1"/>
  <c r="A225" i="19"/>
  <c r="A224" i="52" s="1"/>
  <c r="B225" i="19"/>
  <c r="B224" i="52" s="1"/>
  <c r="A226" i="19"/>
  <c r="A225" i="52" s="1"/>
  <c r="B226" i="19"/>
  <c r="B225" i="52" s="1"/>
  <c r="A227" i="19"/>
  <c r="A226" i="52" s="1"/>
  <c r="B227" i="19"/>
  <c r="B226" i="52" s="1"/>
  <c r="A228" i="19"/>
  <c r="A227" i="52" s="1"/>
  <c r="B228" i="19"/>
  <c r="B227" i="52" s="1"/>
  <c r="A229" i="19"/>
  <c r="A228" i="52" s="1"/>
  <c r="B229" i="19"/>
  <c r="B228" i="52" s="1"/>
  <c r="A230" i="19"/>
  <c r="A229" i="52" s="1"/>
  <c r="B230" i="19"/>
  <c r="B229" i="52" s="1"/>
  <c r="A231" i="19"/>
  <c r="A230" i="52" s="1"/>
  <c r="B231" i="19"/>
  <c r="B230" i="52" s="1"/>
  <c r="A232" i="19"/>
  <c r="A231" i="52" s="1"/>
  <c r="B232" i="19"/>
  <c r="B231" i="52" s="1"/>
  <c r="A233" i="19"/>
  <c r="A232" i="52" s="1"/>
  <c r="B233" i="19"/>
  <c r="B232" i="52" s="1"/>
  <c r="A234" i="19"/>
  <c r="A233" i="52" s="1"/>
  <c r="B234" i="19"/>
  <c r="B233" i="52" s="1"/>
  <c r="A235" i="19"/>
  <c r="A234" i="52" s="1"/>
  <c r="B235" i="19"/>
  <c r="B234" i="52" s="1"/>
  <c r="A236" i="19"/>
  <c r="A235" i="52" s="1"/>
  <c r="B236" i="19"/>
  <c r="B235" i="52" s="1"/>
  <c r="A237" i="19"/>
  <c r="A236" i="52" s="1"/>
  <c r="B237" i="19"/>
  <c r="B236" i="52" s="1"/>
  <c r="A238" i="19"/>
  <c r="A237" i="52" s="1"/>
  <c r="B238" i="19"/>
  <c r="B237" i="52" s="1"/>
  <c r="A239" i="19"/>
  <c r="A238" i="52" s="1"/>
  <c r="B239" i="19"/>
  <c r="B238" i="52" s="1"/>
  <c r="A240" i="19"/>
  <c r="A239" i="52" s="1"/>
  <c r="B240" i="19"/>
  <c r="B239" i="52" s="1"/>
  <c r="A241" i="19"/>
  <c r="A240" i="52" s="1"/>
  <c r="B241" i="19"/>
  <c r="B240" i="52" s="1"/>
  <c r="A242" i="19"/>
  <c r="A241" i="52" s="1"/>
  <c r="B242" i="19"/>
  <c r="B241" i="52" s="1"/>
  <c r="A243" i="19"/>
  <c r="A242" i="52" s="1"/>
  <c r="B243" i="19"/>
  <c r="B242" i="52" s="1"/>
  <c r="A244" i="19"/>
  <c r="A243" i="52" s="1"/>
  <c r="B244" i="19"/>
  <c r="B243" i="52" s="1"/>
  <c r="A245" i="19"/>
  <c r="A244" i="52" s="1"/>
  <c r="B245" i="19"/>
  <c r="B244" i="52" s="1"/>
  <c r="A246" i="19"/>
  <c r="A245" i="52" s="1"/>
  <c r="B246" i="19"/>
  <c r="B245" i="52" s="1"/>
  <c r="A247" i="19"/>
  <c r="A246" i="52" s="1"/>
  <c r="B247" i="19"/>
  <c r="B246" i="52" s="1"/>
  <c r="A248" i="19"/>
  <c r="A247" i="52" s="1"/>
  <c r="B248" i="19"/>
  <c r="B247" i="52" s="1"/>
  <c r="A249" i="19"/>
  <c r="A248" i="52" s="1"/>
  <c r="B249" i="19"/>
  <c r="B248" i="52" s="1"/>
  <c r="A250" i="19"/>
  <c r="A249" i="52" s="1"/>
  <c r="B250" i="19"/>
  <c r="B249" i="52" s="1"/>
  <c r="A251" i="19"/>
  <c r="A250" i="52" s="1"/>
  <c r="B251" i="19"/>
  <c r="B250" i="52" s="1"/>
  <c r="A252" i="19"/>
  <c r="A251" i="52" s="1"/>
  <c r="B252" i="19"/>
  <c r="B251" i="52" s="1"/>
  <c r="A253" i="19"/>
  <c r="A252" i="52" s="1"/>
  <c r="B253" i="19"/>
  <c r="B252" i="52" s="1"/>
  <c r="A254" i="19"/>
  <c r="A253" i="52" s="1"/>
  <c r="B254" i="19"/>
  <c r="B253" i="52" s="1"/>
  <c r="A255" i="19"/>
  <c r="A254" i="52" s="1"/>
  <c r="B255" i="19"/>
  <c r="B254" i="52" s="1"/>
  <c r="A256" i="19"/>
  <c r="A255" i="52" s="1"/>
  <c r="B256" i="19"/>
  <c r="B255" i="52" s="1"/>
  <c r="A257" i="19"/>
  <c r="A256" i="52" s="1"/>
  <c r="B257" i="19"/>
  <c r="B256" i="52" s="1"/>
  <c r="A258" i="19"/>
  <c r="A257" i="52" s="1"/>
  <c r="B258" i="19"/>
  <c r="B257" i="52" s="1"/>
  <c r="A259" i="19"/>
  <c r="A258" i="52" s="1"/>
  <c r="B259" i="19"/>
  <c r="B258" i="52" s="1"/>
  <c r="A260" i="19"/>
  <c r="A259" i="52" s="1"/>
  <c r="B260" i="19"/>
  <c r="B259" i="52" s="1"/>
  <c r="A261" i="19"/>
  <c r="A260" i="52" s="1"/>
  <c r="B261" i="19"/>
  <c r="B260" i="52" s="1"/>
  <c r="A262" i="19"/>
  <c r="A261" i="52" s="1"/>
  <c r="B262" i="19"/>
  <c r="B261" i="52" s="1"/>
  <c r="A263" i="19"/>
  <c r="A262" i="52" s="1"/>
  <c r="B263" i="19"/>
  <c r="B262" i="52" s="1"/>
  <c r="A264" i="19"/>
  <c r="A263" i="52" s="1"/>
  <c r="B264" i="19"/>
  <c r="B263" i="52" s="1"/>
  <c r="A265" i="19"/>
  <c r="A264" i="52" s="1"/>
  <c r="B265" i="19"/>
  <c r="B264" i="52" s="1"/>
  <c r="A266" i="19"/>
  <c r="A265" i="52" s="1"/>
  <c r="B266" i="19"/>
  <c r="B265" i="52" s="1"/>
  <c r="A267" i="19"/>
  <c r="A266" i="52" s="1"/>
  <c r="B267" i="19"/>
  <c r="B266" i="52" s="1"/>
  <c r="A268" i="19"/>
  <c r="A267" i="52" s="1"/>
  <c r="B268" i="19"/>
  <c r="B267" i="52" s="1"/>
  <c r="A269" i="19"/>
  <c r="A268" i="52" s="1"/>
  <c r="B269" i="19"/>
  <c r="B268" i="52" s="1"/>
  <c r="A270" i="19"/>
  <c r="A269" i="52" s="1"/>
  <c r="B270" i="19"/>
  <c r="B269" i="52" s="1"/>
  <c r="A271" i="19"/>
  <c r="A270" i="52" s="1"/>
  <c r="B271" i="19"/>
  <c r="B270" i="52" s="1"/>
  <c r="A272" i="19"/>
  <c r="A271" i="52" s="1"/>
  <c r="B272" i="19"/>
  <c r="B271" i="52" s="1"/>
  <c r="A273" i="19"/>
  <c r="A272" i="52" s="1"/>
  <c r="B273" i="19"/>
  <c r="B272" i="52" s="1"/>
  <c r="A274" i="19"/>
  <c r="A273" i="52" s="1"/>
  <c r="B274" i="19"/>
  <c r="B273" i="52" s="1"/>
  <c r="A275" i="19"/>
  <c r="A274" i="52" s="1"/>
  <c r="B275" i="19"/>
  <c r="B274" i="52" s="1"/>
  <c r="A276" i="19"/>
  <c r="A275" i="52" s="1"/>
  <c r="B276" i="19"/>
  <c r="B275" i="52" s="1"/>
  <c r="A277" i="19"/>
  <c r="A276" i="52" s="1"/>
  <c r="B277" i="19"/>
  <c r="B276" i="52" s="1"/>
  <c r="A278" i="19"/>
  <c r="A277" i="52" s="1"/>
  <c r="B278" i="19"/>
  <c r="B277" i="52" s="1"/>
  <c r="A279" i="19"/>
  <c r="A278" i="52" s="1"/>
  <c r="B279" i="19"/>
  <c r="B278" i="52" s="1"/>
  <c r="A280" i="19"/>
  <c r="A279" i="52" s="1"/>
  <c r="B280" i="19"/>
  <c r="B279" i="52" s="1"/>
  <c r="A281" i="19"/>
  <c r="A280" i="52" s="1"/>
  <c r="B281" i="19"/>
  <c r="B280" i="52" s="1"/>
  <c r="A282" i="19"/>
  <c r="A281" i="52" s="1"/>
  <c r="B282" i="19"/>
  <c r="B281" i="52" s="1"/>
  <c r="A283" i="19"/>
  <c r="A282" i="52" s="1"/>
  <c r="B283" i="19"/>
  <c r="B282" i="52" s="1"/>
  <c r="A284" i="19"/>
  <c r="A283" i="52" s="1"/>
  <c r="B284" i="19"/>
  <c r="B283" i="52" s="1"/>
  <c r="A285" i="19"/>
  <c r="A284" i="52" s="1"/>
  <c r="B285" i="19"/>
  <c r="B284" i="52" s="1"/>
  <c r="A286" i="19"/>
  <c r="A285" i="52" s="1"/>
  <c r="B286" i="19"/>
  <c r="B285" i="52" s="1"/>
  <c r="A287" i="19"/>
  <c r="A286" i="52" s="1"/>
  <c r="B287" i="19"/>
  <c r="B286" i="52" s="1"/>
  <c r="A288" i="19"/>
  <c r="A287" i="52" s="1"/>
  <c r="B288" i="19"/>
  <c r="B287" i="52" s="1"/>
  <c r="A289" i="19"/>
  <c r="A288" i="52" s="1"/>
  <c r="B289" i="19"/>
  <c r="B288" i="52" s="1"/>
  <c r="A290" i="19"/>
  <c r="A289" i="52" s="1"/>
  <c r="B290" i="19"/>
  <c r="B289" i="52" s="1"/>
  <c r="A291" i="19"/>
  <c r="A290" i="52" s="1"/>
  <c r="B291" i="19"/>
  <c r="B290" i="52" s="1"/>
  <c r="A292" i="19"/>
  <c r="A291" i="52" s="1"/>
  <c r="B292" i="19"/>
  <c r="B291" i="52" s="1"/>
  <c r="A293" i="19"/>
  <c r="A292" i="52" s="1"/>
  <c r="B293" i="19"/>
  <c r="B292" i="52" s="1"/>
  <c r="A294" i="19"/>
  <c r="A293" i="52" s="1"/>
  <c r="B294" i="19"/>
  <c r="B293" i="52" s="1"/>
  <c r="A295" i="19"/>
  <c r="A294" i="52" s="1"/>
  <c r="B295" i="19"/>
  <c r="B294" i="52" s="1"/>
  <c r="A296" i="19"/>
  <c r="A295" i="52" s="1"/>
  <c r="B296" i="19"/>
  <c r="B295" i="52" s="1"/>
  <c r="A297" i="19"/>
  <c r="A296" i="52" s="1"/>
  <c r="B297" i="19"/>
  <c r="B296" i="52" s="1"/>
  <c r="A298" i="19"/>
  <c r="A297" i="52" s="1"/>
  <c r="B298" i="19"/>
  <c r="B297" i="52" s="1"/>
  <c r="A299" i="19"/>
  <c r="A298" i="52" s="1"/>
  <c r="B299" i="19"/>
  <c r="B298" i="52" s="1"/>
  <c r="A300" i="19"/>
  <c r="A299" i="52" s="1"/>
  <c r="B300" i="19"/>
  <c r="B299" i="52" s="1"/>
  <c r="A301" i="19"/>
  <c r="A300" i="52" s="1"/>
  <c r="B301" i="19"/>
  <c r="B300" i="52" s="1"/>
  <c r="A302" i="19"/>
  <c r="A301" i="52" s="1"/>
  <c r="B302" i="19"/>
  <c r="B301" i="52" s="1"/>
  <c r="A303" i="19"/>
  <c r="A302" i="52" s="1"/>
  <c r="B303" i="19"/>
  <c r="B302" i="52" s="1"/>
  <c r="A304" i="19"/>
  <c r="A303" i="52" s="1"/>
  <c r="B304" i="19"/>
  <c r="B303" i="52" s="1"/>
  <c r="A305" i="19"/>
  <c r="A304" i="52" s="1"/>
  <c r="B305" i="19"/>
  <c r="B304" i="52" s="1"/>
  <c r="A306" i="19"/>
  <c r="A305" i="52" s="1"/>
  <c r="B306" i="19"/>
  <c r="B305" i="52" s="1"/>
  <c r="A307" i="19"/>
  <c r="A306" i="52" s="1"/>
  <c r="B307" i="19"/>
  <c r="B306" i="52" s="1"/>
  <c r="A308" i="19"/>
  <c r="A307" i="52" s="1"/>
  <c r="B308" i="19"/>
  <c r="B307" i="52" s="1"/>
  <c r="A309" i="19"/>
  <c r="A308" i="52" s="1"/>
  <c r="B309" i="19"/>
  <c r="B308" i="52" s="1"/>
  <c r="A310" i="19"/>
  <c r="A309" i="52" s="1"/>
  <c r="B310" i="19"/>
  <c r="B309" i="52" s="1"/>
  <c r="A311" i="19"/>
  <c r="A310" i="52" s="1"/>
  <c r="B311" i="19"/>
  <c r="B310" i="52" s="1"/>
  <c r="A312" i="19"/>
  <c r="A311" i="52" s="1"/>
  <c r="B312" i="19"/>
  <c r="B311" i="52" s="1"/>
  <c r="A313" i="19"/>
  <c r="A312" i="52" s="1"/>
  <c r="B313" i="19"/>
  <c r="B312" i="52" s="1"/>
  <c r="A314" i="19"/>
  <c r="A313" i="52" s="1"/>
  <c r="B314" i="19"/>
  <c r="B313" i="52" s="1"/>
  <c r="A315" i="19"/>
  <c r="A314" i="52" s="1"/>
  <c r="B315" i="19"/>
  <c r="B314" i="52" s="1"/>
  <c r="A316" i="19"/>
  <c r="A315" i="52" s="1"/>
  <c r="B316" i="19"/>
  <c r="B315" i="52" s="1"/>
  <c r="A317" i="19"/>
  <c r="A316" i="52" s="1"/>
  <c r="B317" i="19"/>
  <c r="B316" i="52" s="1"/>
  <c r="A318" i="19"/>
  <c r="A317" i="52" s="1"/>
  <c r="B318" i="19"/>
  <c r="B317" i="52" s="1"/>
  <c r="A319" i="19"/>
  <c r="A318" i="52" s="1"/>
  <c r="B319" i="19"/>
  <c r="B318" i="52" s="1"/>
  <c r="A320" i="19"/>
  <c r="A319" i="52" s="1"/>
  <c r="B320" i="19"/>
  <c r="B319" i="52" s="1"/>
  <c r="A321" i="19"/>
  <c r="A320" i="52" s="1"/>
  <c r="B321" i="19"/>
  <c r="B320" i="52" s="1"/>
  <c r="A322" i="19"/>
  <c r="A321" i="52" s="1"/>
  <c r="B322" i="19"/>
  <c r="B321" i="52" s="1"/>
  <c r="A323" i="19"/>
  <c r="A322" i="52" s="1"/>
  <c r="B323" i="19"/>
  <c r="B322" i="52" s="1"/>
  <c r="A324" i="19"/>
  <c r="A323" i="52" s="1"/>
  <c r="B324" i="19"/>
  <c r="B323" i="52" s="1"/>
  <c r="B7" i="19"/>
  <c r="B6" i="52" s="1"/>
  <c r="A7" i="19"/>
  <c r="A6" i="52" s="1"/>
  <c r="A2" i="19"/>
  <c r="A2" i="42"/>
  <c r="P7" i="19"/>
  <c r="O7" i="19" s="1"/>
  <c r="N7" i="19"/>
  <c r="H7" i="19"/>
  <c r="AK325" i="42"/>
  <c r="AJ325" i="42"/>
  <c r="AI325" i="42"/>
  <c r="AH325" i="42"/>
  <c r="AG325" i="42"/>
  <c r="AF325" i="42"/>
  <c r="AE325" i="42"/>
  <c r="AD325" i="42"/>
  <c r="AC325" i="42"/>
  <c r="AB325" i="42"/>
  <c r="AA325" i="42"/>
  <c r="Z325" i="42"/>
  <c r="Y325" i="42"/>
  <c r="V325" i="42"/>
  <c r="T325" i="42"/>
  <c r="S325" i="42"/>
  <c r="R325" i="42"/>
  <c r="Q325" i="42"/>
  <c r="P325" i="42"/>
  <c r="O325" i="42"/>
  <c r="N325" i="42"/>
  <c r="AO325" i="42"/>
  <c r="AP325" i="42"/>
  <c r="AQ325" i="42"/>
  <c r="J325" i="42"/>
  <c r="K325" i="42"/>
  <c r="L325" i="42"/>
  <c r="I325" i="42"/>
  <c r="E325" i="42"/>
  <c r="B325" i="42"/>
  <c r="F59" i="48" l="1"/>
  <c r="E59" i="48"/>
  <c r="D59" i="48"/>
  <c r="C59" i="48" s="1"/>
  <c r="B324" i="52"/>
  <c r="B323" i="32"/>
  <c r="B325" i="19"/>
  <c r="B323" i="33"/>
  <c r="E4" i="37" l="1"/>
  <c r="E7" i="36"/>
  <c r="D25" i="40"/>
  <c r="F7" i="36" s="1"/>
  <c r="E25" i="40"/>
  <c r="G7" i="36" s="1"/>
  <c r="F25" i="40"/>
  <c r="H7" i="36" s="1"/>
  <c r="G25" i="40"/>
  <c r="I7" i="36" s="1"/>
  <c r="H25" i="40"/>
  <c r="J7" i="36" s="1"/>
  <c r="D7" i="36"/>
  <c r="C4" i="9" l="1"/>
  <c r="N325" i="19"/>
  <c r="C165" i="32"/>
  <c r="E165" i="32" s="1"/>
  <c r="C86" i="32"/>
  <c r="E86" i="32" s="1"/>
  <c r="V7" i="19"/>
  <c r="C84" i="32"/>
  <c r="E84" i="32" s="1"/>
  <c r="C151" i="32"/>
  <c r="E151" i="32" s="1"/>
  <c r="C169" i="32"/>
  <c r="E169" i="32" s="1"/>
  <c r="C176" i="32"/>
  <c r="E176" i="32" s="1"/>
  <c r="C224" i="32"/>
  <c r="E224" i="32" s="1"/>
  <c r="C301" i="32"/>
  <c r="E301" i="32" s="1"/>
  <c r="AL292" i="42"/>
  <c r="AL217" i="42"/>
  <c r="AL27" i="42"/>
  <c r="AL32" i="42"/>
  <c r="AL46" i="42"/>
  <c r="AL103" i="42"/>
  <c r="AL104" i="42"/>
  <c r="AL179" i="42"/>
  <c r="AL189" i="42"/>
  <c r="AL221" i="42"/>
  <c r="AL226" i="42"/>
  <c r="AL232" i="42"/>
  <c r="AL303" i="42"/>
  <c r="AL9" i="42"/>
  <c r="AL10" i="42"/>
  <c r="AL11" i="42"/>
  <c r="AL12" i="42"/>
  <c r="AL13" i="42"/>
  <c r="AL14" i="42"/>
  <c r="AL15" i="42"/>
  <c r="AL16" i="42"/>
  <c r="AL17" i="42"/>
  <c r="AL18" i="42"/>
  <c r="AL19" i="42"/>
  <c r="AL20" i="42"/>
  <c r="AL21" i="42"/>
  <c r="AL22" i="42"/>
  <c r="AL23" i="42"/>
  <c r="AL24" i="42"/>
  <c r="AL25" i="42"/>
  <c r="AL26" i="42"/>
  <c r="AL28" i="42"/>
  <c r="AL29" i="42"/>
  <c r="AL30" i="42"/>
  <c r="AL31" i="42"/>
  <c r="AL33" i="42"/>
  <c r="AL34" i="42"/>
  <c r="AL35" i="42"/>
  <c r="AL36" i="42"/>
  <c r="AL37" i="42"/>
  <c r="AL38" i="42"/>
  <c r="AL39" i="42"/>
  <c r="AL40" i="42"/>
  <c r="AL41" i="42"/>
  <c r="AL42" i="42"/>
  <c r="AL43" i="42"/>
  <c r="AL44" i="42"/>
  <c r="AL45" i="42"/>
  <c r="AL47" i="42"/>
  <c r="AL48" i="42"/>
  <c r="AL50" i="42"/>
  <c r="AL51" i="42"/>
  <c r="AL52" i="42"/>
  <c r="AL53" i="42"/>
  <c r="AL54" i="42"/>
  <c r="AL55" i="42"/>
  <c r="AL56" i="42"/>
  <c r="AL57" i="42"/>
  <c r="AL58" i="42"/>
  <c r="AL59" i="42"/>
  <c r="AL60" i="42"/>
  <c r="AL61" i="42"/>
  <c r="AL62" i="42"/>
  <c r="AL63" i="42"/>
  <c r="AL64" i="42"/>
  <c r="AL65" i="42"/>
  <c r="AL66" i="42"/>
  <c r="AL67" i="42"/>
  <c r="AL68" i="42"/>
  <c r="AL69" i="42"/>
  <c r="AL70" i="42"/>
  <c r="AL71" i="42"/>
  <c r="AL72" i="42"/>
  <c r="AL73" i="42"/>
  <c r="AL74" i="42"/>
  <c r="AL75" i="42"/>
  <c r="AL76" i="42"/>
  <c r="AL77" i="42"/>
  <c r="AL78" i="42"/>
  <c r="AL79" i="42"/>
  <c r="AL80" i="42"/>
  <c r="AL81" i="42"/>
  <c r="AL82" i="42"/>
  <c r="AL83" i="42"/>
  <c r="AL84" i="42"/>
  <c r="AL85" i="42"/>
  <c r="AL86" i="42"/>
  <c r="AL87" i="42"/>
  <c r="AL88" i="42"/>
  <c r="AL89" i="42"/>
  <c r="AL90" i="42"/>
  <c r="AL91" i="42"/>
  <c r="AL92" i="42"/>
  <c r="AL93" i="42"/>
  <c r="AL94" i="42"/>
  <c r="AL95" i="42"/>
  <c r="AL96" i="42"/>
  <c r="AL97" i="42"/>
  <c r="AL98" i="42"/>
  <c r="AL99" i="42"/>
  <c r="AL100" i="42"/>
  <c r="AL101" i="42"/>
  <c r="AL102" i="42"/>
  <c r="AL105" i="42"/>
  <c r="AL106" i="42"/>
  <c r="AL107" i="42"/>
  <c r="AL108" i="42"/>
  <c r="AL109" i="42"/>
  <c r="AL110" i="42"/>
  <c r="AL111" i="42"/>
  <c r="AL112" i="42"/>
  <c r="AL113" i="42"/>
  <c r="AL114" i="42"/>
  <c r="AL115" i="42"/>
  <c r="AL116" i="42"/>
  <c r="AL117" i="42"/>
  <c r="AL118" i="42"/>
  <c r="AL119" i="42"/>
  <c r="AL120" i="42"/>
  <c r="AL121" i="42"/>
  <c r="AL122" i="42"/>
  <c r="AL123" i="42"/>
  <c r="AL124" i="42"/>
  <c r="AL125" i="42"/>
  <c r="AL126" i="42"/>
  <c r="AL127" i="42"/>
  <c r="AL128" i="42"/>
  <c r="AL129" i="42"/>
  <c r="AL130" i="42"/>
  <c r="AL131" i="42"/>
  <c r="AL132" i="42"/>
  <c r="AL133" i="42"/>
  <c r="AL134" i="42"/>
  <c r="AL135" i="42"/>
  <c r="AL136" i="42"/>
  <c r="AL137" i="42"/>
  <c r="AL138" i="42"/>
  <c r="AL139" i="42"/>
  <c r="AL140" i="42"/>
  <c r="AL141" i="42"/>
  <c r="AL142" i="42"/>
  <c r="AL143" i="42"/>
  <c r="AL144" i="42"/>
  <c r="AL145" i="42"/>
  <c r="AL146" i="42"/>
  <c r="AL147" i="42"/>
  <c r="AL148" i="42"/>
  <c r="AL149" i="42"/>
  <c r="AL150" i="42"/>
  <c r="AL151" i="42"/>
  <c r="AL152" i="42"/>
  <c r="AL153" i="42"/>
  <c r="AL154" i="42"/>
  <c r="AL155" i="42"/>
  <c r="AL156" i="42"/>
  <c r="AL157" i="42"/>
  <c r="AL158" i="42"/>
  <c r="AL159" i="42"/>
  <c r="AL160" i="42"/>
  <c r="AL161" i="42"/>
  <c r="AL162" i="42"/>
  <c r="AL163" i="42"/>
  <c r="AL164" i="42"/>
  <c r="AL165" i="42"/>
  <c r="AL166" i="42"/>
  <c r="AL167" i="42"/>
  <c r="AL168" i="42"/>
  <c r="AL169" i="42"/>
  <c r="AL170" i="42"/>
  <c r="AL171" i="42"/>
  <c r="AL172" i="42"/>
  <c r="AL173" i="42"/>
  <c r="AL174" i="42"/>
  <c r="AL175" i="42"/>
  <c r="AL176" i="42"/>
  <c r="AL177" i="42"/>
  <c r="AL178" i="42"/>
  <c r="AL180" i="42"/>
  <c r="AL181" i="42"/>
  <c r="AL182" i="42"/>
  <c r="AL183" i="42"/>
  <c r="AL184" i="42"/>
  <c r="AL185" i="42"/>
  <c r="AL186" i="42"/>
  <c r="AL187" i="42"/>
  <c r="AL188" i="42"/>
  <c r="AL190" i="42"/>
  <c r="AL191" i="42"/>
  <c r="AL192" i="42"/>
  <c r="AL193" i="42"/>
  <c r="AL194" i="42"/>
  <c r="AL195" i="42"/>
  <c r="AL196" i="42"/>
  <c r="AL197" i="42"/>
  <c r="AL198" i="42"/>
  <c r="AL199" i="42"/>
  <c r="AL200" i="42"/>
  <c r="AL201" i="42"/>
  <c r="AL202" i="42"/>
  <c r="AL203" i="42"/>
  <c r="AL204" i="42"/>
  <c r="AL205" i="42"/>
  <c r="AL206" i="42"/>
  <c r="AL208" i="42"/>
  <c r="AL209" i="42"/>
  <c r="AL210" i="42"/>
  <c r="AL211" i="42"/>
  <c r="AL212" i="42"/>
  <c r="AL213" i="42"/>
  <c r="AL214" i="42"/>
  <c r="AL215" i="42"/>
  <c r="AL216" i="42"/>
  <c r="AL218" i="42"/>
  <c r="AL219" i="42"/>
  <c r="AL220" i="42"/>
  <c r="AL222" i="42"/>
  <c r="AL223" i="42"/>
  <c r="AL224" i="42"/>
  <c r="AL225" i="42"/>
  <c r="AL227" i="42"/>
  <c r="AL228" i="42"/>
  <c r="AL229" i="42"/>
  <c r="AL230" i="42"/>
  <c r="AL231" i="42"/>
  <c r="AL233" i="42"/>
  <c r="AL234" i="42"/>
  <c r="AL235" i="42"/>
  <c r="AL236" i="42"/>
  <c r="AL237" i="42"/>
  <c r="AL238" i="42"/>
  <c r="AL239" i="42"/>
  <c r="AL240" i="42"/>
  <c r="AL241" i="42"/>
  <c r="AL242" i="42"/>
  <c r="AL243" i="42"/>
  <c r="AL244" i="42"/>
  <c r="AL245" i="42"/>
  <c r="AL246" i="42"/>
  <c r="AL247" i="42"/>
  <c r="AL248" i="42"/>
  <c r="AL249" i="42"/>
  <c r="AL250" i="42"/>
  <c r="AL251" i="42"/>
  <c r="AL252" i="42"/>
  <c r="AL253" i="42"/>
  <c r="AL254" i="42"/>
  <c r="AL255" i="42"/>
  <c r="AL256" i="42"/>
  <c r="AL257" i="42"/>
  <c r="AL258" i="42"/>
  <c r="AL259" i="42"/>
  <c r="AL260" i="42"/>
  <c r="AL261" i="42"/>
  <c r="AL262" i="42"/>
  <c r="AL263" i="42"/>
  <c r="AL264" i="42"/>
  <c r="AL265" i="42"/>
  <c r="AL266" i="42"/>
  <c r="AL267" i="42"/>
  <c r="AL268" i="42"/>
  <c r="AL269" i="42"/>
  <c r="AL270" i="42"/>
  <c r="AL271" i="42"/>
  <c r="AL272" i="42"/>
  <c r="AL273" i="42"/>
  <c r="AL274" i="42"/>
  <c r="AL275" i="42"/>
  <c r="AL276" i="42"/>
  <c r="AL277" i="42"/>
  <c r="AL278" i="42"/>
  <c r="AL279" i="42"/>
  <c r="AL280" i="42"/>
  <c r="AL281" i="42"/>
  <c r="AL282" i="42"/>
  <c r="AL283" i="42"/>
  <c r="AL284" i="42"/>
  <c r="AL285" i="42"/>
  <c r="AL286" i="42"/>
  <c r="AL287" i="42"/>
  <c r="AL288" i="42"/>
  <c r="AL289" i="42"/>
  <c r="AL290" i="42"/>
  <c r="AL291" i="42"/>
  <c r="AL293" i="42"/>
  <c r="AL294" i="42"/>
  <c r="AL295" i="42"/>
  <c r="AL296" i="42"/>
  <c r="AL297" i="42"/>
  <c r="AL298" i="42"/>
  <c r="AL299" i="42"/>
  <c r="AL300" i="42"/>
  <c r="AL301" i="42"/>
  <c r="AL302" i="42"/>
  <c r="AL304" i="42"/>
  <c r="AL305" i="42"/>
  <c r="AL306" i="42"/>
  <c r="AL307" i="42"/>
  <c r="AL308" i="42"/>
  <c r="AL309" i="42"/>
  <c r="AL310" i="42"/>
  <c r="AL311" i="42"/>
  <c r="AL312" i="42"/>
  <c r="AL313" i="42"/>
  <c r="AL314" i="42"/>
  <c r="AL315" i="42"/>
  <c r="AL316" i="42"/>
  <c r="AL317" i="42"/>
  <c r="AL318" i="42"/>
  <c r="AL319" i="42"/>
  <c r="AL320" i="42"/>
  <c r="AL321" i="42"/>
  <c r="AL322" i="42"/>
  <c r="AL324" i="42"/>
  <c r="C7" i="19"/>
  <c r="D7" i="19"/>
  <c r="E7" i="19"/>
  <c r="F7" i="19"/>
  <c r="I7" i="19"/>
  <c r="J7" i="19"/>
  <c r="K7" i="19"/>
  <c r="L7" i="19"/>
  <c r="M7" i="19"/>
  <c r="S7" i="19"/>
  <c r="E11" i="49"/>
  <c r="E15" i="49"/>
  <c r="E19" i="49"/>
  <c r="E23" i="49"/>
  <c r="E24" i="49"/>
  <c r="E27" i="49"/>
  <c r="E28" i="49"/>
  <c r="E31" i="49"/>
  <c r="E35" i="49"/>
  <c r="E39" i="49"/>
  <c r="E43" i="49"/>
  <c r="E55" i="49"/>
  <c r="E63" i="49"/>
  <c r="E67" i="49"/>
  <c r="E71" i="49"/>
  <c r="E75" i="49"/>
  <c r="E79" i="49"/>
  <c r="E83" i="49"/>
  <c r="E86" i="49"/>
  <c r="E87" i="49"/>
  <c r="E91" i="49"/>
  <c r="E95" i="49"/>
  <c r="E96" i="49"/>
  <c r="E99" i="49"/>
  <c r="E103" i="49"/>
  <c r="E107" i="49"/>
  <c r="E111" i="49"/>
  <c r="E115" i="49"/>
  <c r="E118" i="49"/>
  <c r="E119" i="49"/>
  <c r="E120" i="49"/>
  <c r="E121" i="49"/>
  <c r="E123" i="49"/>
  <c r="E127" i="49"/>
  <c r="E128" i="49"/>
  <c r="E131" i="49"/>
  <c r="E132" i="49"/>
  <c r="E134" i="49"/>
  <c r="E136" i="49"/>
  <c r="E139" i="49"/>
  <c r="E142" i="49"/>
  <c r="E143" i="49"/>
  <c r="E146" i="49"/>
  <c r="E149" i="49"/>
  <c r="E152" i="49"/>
  <c r="E164" i="49"/>
  <c r="E167" i="49"/>
  <c r="E168" i="49"/>
  <c r="E171" i="49"/>
  <c r="E172" i="49"/>
  <c r="E174" i="49"/>
  <c r="E175" i="49"/>
  <c r="E177" i="49"/>
  <c r="E185" i="49"/>
  <c r="E188" i="49"/>
  <c r="E200" i="49"/>
  <c r="E201" i="49"/>
  <c r="E202" i="49"/>
  <c r="E204" i="49"/>
  <c r="E220" i="49"/>
  <c r="E224" i="49"/>
  <c r="E225" i="49"/>
  <c r="E227" i="49"/>
  <c r="E228" i="49"/>
  <c r="E233" i="49"/>
  <c r="E235" i="49"/>
  <c r="E240" i="49"/>
  <c r="E244" i="49"/>
  <c r="E248" i="49"/>
  <c r="E251" i="49"/>
  <c r="E252" i="49"/>
  <c r="E253" i="49"/>
  <c r="E254" i="49"/>
  <c r="E264" i="49"/>
  <c r="E265" i="49"/>
  <c r="E269" i="49"/>
  <c r="E277" i="49"/>
  <c r="E278" i="49"/>
  <c r="E284" i="49"/>
  <c r="E296" i="49"/>
  <c r="E297" i="49"/>
  <c r="E301" i="49"/>
  <c r="E304" i="49"/>
  <c r="E306" i="49"/>
  <c r="E310" i="49"/>
  <c r="E313" i="49"/>
  <c r="E321" i="49"/>
  <c r="E322" i="49"/>
  <c r="W7" i="19"/>
  <c r="X7" i="19"/>
  <c r="Z7" i="19"/>
  <c r="D4" i="32"/>
  <c r="AR7" i="19"/>
  <c r="D6" i="49" s="1"/>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0"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8" i="49"/>
  <c r="D219"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3" i="49"/>
  <c r="D244"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D314" i="49"/>
  <c r="D315" i="49"/>
  <c r="D316" i="49"/>
  <c r="D317" i="49"/>
  <c r="D318" i="49"/>
  <c r="D319" i="49"/>
  <c r="D320" i="49"/>
  <c r="D321" i="49"/>
  <c r="D322" i="49"/>
  <c r="D323" i="49"/>
  <c r="H14" i="13"/>
  <c r="K14" i="13" s="1"/>
  <c r="H88" i="13"/>
  <c r="K88" i="13" s="1"/>
  <c r="H168" i="13"/>
  <c r="K168" i="13" s="1"/>
  <c r="E4" i="36"/>
  <c r="G4" i="36"/>
  <c r="G256" i="36" s="1"/>
  <c r="I4" i="36"/>
  <c r="I145" i="36" s="1"/>
  <c r="H4" i="36"/>
  <c r="H172" i="36" s="1"/>
  <c r="G5" i="36"/>
  <c r="C6" i="34"/>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G314" i="11"/>
  <c r="G315" i="11"/>
  <c r="G316" i="11"/>
  <c r="G317" i="11"/>
  <c r="G318" i="11"/>
  <c r="G319" i="11"/>
  <c r="G320" i="11"/>
  <c r="G321" i="11"/>
  <c r="G322" i="11"/>
  <c r="D4" i="36"/>
  <c r="D225" i="36" s="1"/>
  <c r="D5" i="36"/>
  <c r="E5" i="36"/>
  <c r="E185" i="36" s="1"/>
  <c r="F4" i="36"/>
  <c r="F5" i="36"/>
  <c r="H5" i="36"/>
  <c r="J4" i="36"/>
  <c r="I5" i="36"/>
  <c r="I4" i="39"/>
  <c r="H7" i="13"/>
  <c r="K8" i="13"/>
  <c r="H9" i="13"/>
  <c r="K9" i="13" s="1"/>
  <c r="H10" i="13"/>
  <c r="K10" i="13" s="1"/>
  <c r="H11" i="13"/>
  <c r="K11" i="13" s="1"/>
  <c r="H12" i="13"/>
  <c r="K12" i="13" s="1"/>
  <c r="H13" i="13"/>
  <c r="K13" i="13" s="1"/>
  <c r="H15" i="13"/>
  <c r="K15" i="13" s="1"/>
  <c r="H16" i="13"/>
  <c r="K16" i="13" s="1"/>
  <c r="H17" i="13"/>
  <c r="K17" i="13" s="1"/>
  <c r="H18" i="13"/>
  <c r="K18" i="13" s="1"/>
  <c r="H19" i="13"/>
  <c r="K19" i="13" s="1"/>
  <c r="H20" i="13"/>
  <c r="K20" i="13" s="1"/>
  <c r="H21" i="13"/>
  <c r="K21" i="13" s="1"/>
  <c r="H22" i="13"/>
  <c r="K22" i="13" s="1"/>
  <c r="H23" i="13"/>
  <c r="K23" i="13" s="1"/>
  <c r="H24" i="13"/>
  <c r="K24" i="13" s="1"/>
  <c r="H25" i="13"/>
  <c r="K25" i="13" s="1"/>
  <c r="H26" i="13"/>
  <c r="K26" i="13" s="1"/>
  <c r="H27" i="13"/>
  <c r="K27" i="13" s="1"/>
  <c r="H28" i="13"/>
  <c r="K28" i="13" s="1"/>
  <c r="H29" i="13"/>
  <c r="K29" i="13" s="1"/>
  <c r="H30" i="13"/>
  <c r="K30" i="13" s="1"/>
  <c r="H31" i="13"/>
  <c r="K31" i="13" s="1"/>
  <c r="H32" i="13"/>
  <c r="K32" i="13" s="1"/>
  <c r="H33" i="13"/>
  <c r="K33" i="13" s="1"/>
  <c r="H34" i="13"/>
  <c r="K34" i="13" s="1"/>
  <c r="H35" i="13"/>
  <c r="K35" i="13" s="1"/>
  <c r="H36" i="13"/>
  <c r="K36" i="13" s="1"/>
  <c r="H37" i="13"/>
  <c r="K37" i="13" s="1"/>
  <c r="H38" i="13"/>
  <c r="K38" i="13" s="1"/>
  <c r="H39" i="13"/>
  <c r="K39" i="13" s="1"/>
  <c r="H40" i="13"/>
  <c r="K40" i="13" s="1"/>
  <c r="H41" i="13"/>
  <c r="K41" i="13" s="1"/>
  <c r="H42" i="13"/>
  <c r="K42" i="13" s="1"/>
  <c r="H43" i="13"/>
  <c r="K43" i="13" s="1"/>
  <c r="H44" i="13"/>
  <c r="K44" i="13" s="1"/>
  <c r="H45" i="13"/>
  <c r="K45" i="13" s="1"/>
  <c r="H46" i="13"/>
  <c r="K46" i="13" s="1"/>
  <c r="H47" i="13"/>
  <c r="K47" i="13" s="1"/>
  <c r="H48" i="13"/>
  <c r="K48" i="13" s="1"/>
  <c r="H49" i="13"/>
  <c r="K49" i="13" s="1"/>
  <c r="H50" i="13"/>
  <c r="K50" i="13" s="1"/>
  <c r="H51" i="13"/>
  <c r="K51" i="13" s="1"/>
  <c r="H52" i="13"/>
  <c r="K52" i="13" s="1"/>
  <c r="H53" i="13"/>
  <c r="K53" i="13" s="1"/>
  <c r="H54" i="13"/>
  <c r="K54" i="13" s="1"/>
  <c r="H55" i="13"/>
  <c r="K55" i="13" s="1"/>
  <c r="H56" i="13"/>
  <c r="K56" i="13" s="1"/>
  <c r="H57" i="13"/>
  <c r="K57" i="13" s="1"/>
  <c r="H58" i="13"/>
  <c r="K58" i="13" s="1"/>
  <c r="H59" i="13"/>
  <c r="K59" i="13" s="1"/>
  <c r="H60" i="13"/>
  <c r="K60" i="13" s="1"/>
  <c r="H61" i="13"/>
  <c r="K61" i="13" s="1"/>
  <c r="H62" i="13"/>
  <c r="K62" i="13" s="1"/>
  <c r="H63" i="13"/>
  <c r="K63" i="13" s="1"/>
  <c r="H64" i="13"/>
  <c r="K64" i="13" s="1"/>
  <c r="H65" i="13"/>
  <c r="K65" i="13" s="1"/>
  <c r="H66" i="13"/>
  <c r="K66" i="13" s="1"/>
  <c r="H67" i="13"/>
  <c r="K67" i="13" s="1"/>
  <c r="H68" i="13"/>
  <c r="K68" i="13" s="1"/>
  <c r="H69" i="13"/>
  <c r="K69" i="13" s="1"/>
  <c r="H70" i="13"/>
  <c r="K70" i="13" s="1"/>
  <c r="H71" i="13"/>
  <c r="K71" i="13" s="1"/>
  <c r="H72" i="13"/>
  <c r="K72" i="13" s="1"/>
  <c r="H73" i="13"/>
  <c r="K73" i="13" s="1"/>
  <c r="H74" i="13"/>
  <c r="K74" i="13" s="1"/>
  <c r="H75" i="13"/>
  <c r="K75" i="13" s="1"/>
  <c r="H76" i="13"/>
  <c r="K76" i="13" s="1"/>
  <c r="H77" i="13"/>
  <c r="K77" i="13" s="1"/>
  <c r="H78" i="13"/>
  <c r="K78" i="13" s="1"/>
  <c r="H79" i="13"/>
  <c r="K79" i="13" s="1"/>
  <c r="H80" i="13"/>
  <c r="K80" i="13" s="1"/>
  <c r="H81" i="13"/>
  <c r="K81" i="13" s="1"/>
  <c r="H82" i="13"/>
  <c r="K82" i="13" s="1"/>
  <c r="H83" i="13"/>
  <c r="K83" i="13" s="1"/>
  <c r="H84" i="13"/>
  <c r="K84" i="13" s="1"/>
  <c r="H85" i="13"/>
  <c r="K85" i="13" s="1"/>
  <c r="H86" i="13"/>
  <c r="K86" i="13"/>
  <c r="H87" i="13"/>
  <c r="K87" i="13" s="1"/>
  <c r="H89" i="13"/>
  <c r="K89" i="13" s="1"/>
  <c r="H90" i="13"/>
  <c r="K90" i="13"/>
  <c r="H91" i="13"/>
  <c r="K91" i="13" s="1"/>
  <c r="H92" i="13"/>
  <c r="K92" i="13" s="1"/>
  <c r="H93" i="13"/>
  <c r="K93" i="13" s="1"/>
  <c r="H94" i="13"/>
  <c r="K94" i="13" s="1"/>
  <c r="H95" i="13"/>
  <c r="K95" i="13" s="1"/>
  <c r="H96" i="13"/>
  <c r="K96" i="13" s="1"/>
  <c r="H97" i="13"/>
  <c r="K97" i="13"/>
  <c r="H98" i="13"/>
  <c r="K98" i="13" s="1"/>
  <c r="H99" i="13"/>
  <c r="K99" i="13" s="1"/>
  <c r="H100" i="13"/>
  <c r="K100" i="13" s="1"/>
  <c r="H101" i="13"/>
  <c r="K101" i="13" s="1"/>
  <c r="H102" i="13"/>
  <c r="K102" i="13" s="1"/>
  <c r="H103" i="13"/>
  <c r="K103" i="13" s="1"/>
  <c r="H104" i="13"/>
  <c r="K104" i="13" s="1"/>
  <c r="H105" i="13"/>
  <c r="K105" i="13" s="1"/>
  <c r="H106" i="13"/>
  <c r="K106" i="13" s="1"/>
  <c r="H107" i="13"/>
  <c r="K107" i="13" s="1"/>
  <c r="H108" i="13"/>
  <c r="K108" i="13" s="1"/>
  <c r="H109" i="13"/>
  <c r="K109" i="13" s="1"/>
  <c r="H110" i="13"/>
  <c r="K110" i="13" s="1"/>
  <c r="H111" i="13"/>
  <c r="K111" i="13" s="1"/>
  <c r="H112" i="13"/>
  <c r="K112" i="13" s="1"/>
  <c r="H113" i="13"/>
  <c r="K113" i="13" s="1"/>
  <c r="H114" i="13"/>
  <c r="K114" i="13" s="1"/>
  <c r="H115" i="13"/>
  <c r="K115" i="13" s="1"/>
  <c r="H116" i="13"/>
  <c r="K116" i="13" s="1"/>
  <c r="H117" i="13"/>
  <c r="K117" i="13" s="1"/>
  <c r="H118" i="13"/>
  <c r="K118" i="13" s="1"/>
  <c r="H119" i="13"/>
  <c r="K119" i="13" s="1"/>
  <c r="H120" i="13"/>
  <c r="K120" i="13" s="1"/>
  <c r="H121" i="13"/>
  <c r="K121" i="13" s="1"/>
  <c r="H122" i="13"/>
  <c r="K122" i="13" s="1"/>
  <c r="H123" i="13"/>
  <c r="K123" i="13" s="1"/>
  <c r="H124" i="13"/>
  <c r="K124" i="13" s="1"/>
  <c r="H125" i="13"/>
  <c r="K125" i="13" s="1"/>
  <c r="H126" i="13"/>
  <c r="K126" i="13" s="1"/>
  <c r="H127" i="13"/>
  <c r="K127" i="13" s="1"/>
  <c r="H128" i="13"/>
  <c r="K128" i="13" s="1"/>
  <c r="H129" i="13"/>
  <c r="K129" i="13" s="1"/>
  <c r="H130" i="13"/>
  <c r="K130" i="13" s="1"/>
  <c r="H131" i="13"/>
  <c r="K131" i="13" s="1"/>
  <c r="H132" i="13"/>
  <c r="K132" i="13" s="1"/>
  <c r="H133" i="13"/>
  <c r="K133" i="13" s="1"/>
  <c r="H134" i="13"/>
  <c r="K134" i="13" s="1"/>
  <c r="H135" i="13"/>
  <c r="K135" i="13" s="1"/>
  <c r="H136" i="13"/>
  <c r="K136" i="13" s="1"/>
  <c r="H137" i="13"/>
  <c r="K137" i="13" s="1"/>
  <c r="H138" i="13"/>
  <c r="K138" i="13" s="1"/>
  <c r="H139" i="13"/>
  <c r="K139" i="13" s="1"/>
  <c r="H140" i="13"/>
  <c r="K140" i="13" s="1"/>
  <c r="H141" i="13"/>
  <c r="K141" i="13" s="1"/>
  <c r="H142" i="13"/>
  <c r="K142" i="13" s="1"/>
  <c r="H143" i="13"/>
  <c r="K143" i="13" s="1"/>
  <c r="H144" i="13"/>
  <c r="K144" i="13" s="1"/>
  <c r="H145" i="13"/>
  <c r="K145" i="13" s="1"/>
  <c r="H146" i="13"/>
  <c r="K146" i="13" s="1"/>
  <c r="H147" i="13"/>
  <c r="K147" i="13" s="1"/>
  <c r="H148" i="13"/>
  <c r="K148" i="13" s="1"/>
  <c r="H149" i="13"/>
  <c r="K149" i="13" s="1"/>
  <c r="H150" i="13"/>
  <c r="K150" i="13" s="1"/>
  <c r="H151" i="13"/>
  <c r="K151" i="13" s="1"/>
  <c r="H152" i="13"/>
  <c r="K152" i="13" s="1"/>
  <c r="H153" i="13"/>
  <c r="K153" i="13" s="1"/>
  <c r="H154" i="13"/>
  <c r="K154" i="13" s="1"/>
  <c r="H155" i="13"/>
  <c r="K155" i="13" s="1"/>
  <c r="H156" i="13"/>
  <c r="K156" i="13" s="1"/>
  <c r="H157" i="13"/>
  <c r="K157" i="13" s="1"/>
  <c r="H158" i="13"/>
  <c r="K158" i="13" s="1"/>
  <c r="H159" i="13"/>
  <c r="K159" i="13" s="1"/>
  <c r="H160" i="13"/>
  <c r="K160" i="13" s="1"/>
  <c r="H161" i="13"/>
  <c r="K161" i="13" s="1"/>
  <c r="H162" i="13"/>
  <c r="K162" i="13" s="1"/>
  <c r="H163" i="13"/>
  <c r="K163" i="13" s="1"/>
  <c r="H164" i="13"/>
  <c r="K164" i="13" s="1"/>
  <c r="H165" i="13"/>
  <c r="K165" i="13" s="1"/>
  <c r="H166" i="13"/>
  <c r="K166" i="13" s="1"/>
  <c r="H167" i="13"/>
  <c r="K167" i="13" s="1"/>
  <c r="H169" i="13"/>
  <c r="K169" i="13" s="1"/>
  <c r="H170" i="13"/>
  <c r="K170" i="13" s="1"/>
  <c r="H171" i="13"/>
  <c r="K171" i="13" s="1"/>
  <c r="H172" i="13"/>
  <c r="K172" i="13" s="1"/>
  <c r="H173" i="13"/>
  <c r="K173" i="13" s="1"/>
  <c r="H174" i="13"/>
  <c r="K174" i="13" s="1"/>
  <c r="H175" i="13"/>
  <c r="K175" i="13" s="1"/>
  <c r="H176" i="13"/>
  <c r="K176" i="13" s="1"/>
  <c r="H177" i="13"/>
  <c r="K177" i="13" s="1"/>
  <c r="H178" i="13"/>
  <c r="K178" i="13" s="1"/>
  <c r="H179" i="13"/>
  <c r="K179" i="13" s="1"/>
  <c r="H180" i="13"/>
  <c r="K180" i="13" s="1"/>
  <c r="H181" i="13"/>
  <c r="K181" i="13" s="1"/>
  <c r="H182" i="13"/>
  <c r="K182" i="13" s="1"/>
  <c r="H183" i="13"/>
  <c r="K183" i="13" s="1"/>
  <c r="H184" i="13"/>
  <c r="K184" i="13" s="1"/>
  <c r="H185" i="13"/>
  <c r="K185" i="13" s="1"/>
  <c r="H186" i="13"/>
  <c r="K186" i="13" s="1"/>
  <c r="H187" i="13"/>
  <c r="K187" i="13" s="1"/>
  <c r="H188" i="13"/>
  <c r="K188" i="13" s="1"/>
  <c r="H189" i="13"/>
  <c r="K189" i="13" s="1"/>
  <c r="H190" i="13"/>
  <c r="K190" i="13" s="1"/>
  <c r="H191" i="13"/>
  <c r="K191" i="13" s="1"/>
  <c r="H192" i="13"/>
  <c r="K192" i="13" s="1"/>
  <c r="H193" i="13"/>
  <c r="K193" i="13" s="1"/>
  <c r="H194" i="13"/>
  <c r="K194" i="13" s="1"/>
  <c r="H195" i="13"/>
  <c r="K195" i="13" s="1"/>
  <c r="H196" i="13"/>
  <c r="K196" i="13" s="1"/>
  <c r="H197" i="13"/>
  <c r="K197" i="13" s="1"/>
  <c r="H198" i="13"/>
  <c r="K198" i="13" s="1"/>
  <c r="H199" i="13"/>
  <c r="K199" i="13" s="1"/>
  <c r="H200" i="13"/>
  <c r="K200" i="13" s="1"/>
  <c r="H201" i="13"/>
  <c r="K201" i="13" s="1"/>
  <c r="H202" i="13"/>
  <c r="K202" i="13" s="1"/>
  <c r="H203" i="13"/>
  <c r="K203" i="13" s="1"/>
  <c r="H204" i="13"/>
  <c r="K204" i="13" s="1"/>
  <c r="H205" i="13"/>
  <c r="K205" i="13" s="1"/>
  <c r="H206" i="13"/>
  <c r="K206" i="13" s="1"/>
  <c r="H207" i="13"/>
  <c r="K207" i="13" s="1"/>
  <c r="H208" i="13"/>
  <c r="K208" i="13" s="1"/>
  <c r="H209" i="13"/>
  <c r="K209" i="13" s="1"/>
  <c r="H210" i="13"/>
  <c r="K210" i="13" s="1"/>
  <c r="H211" i="13"/>
  <c r="K211" i="13" s="1"/>
  <c r="H212" i="13"/>
  <c r="K212" i="13" s="1"/>
  <c r="H213" i="13"/>
  <c r="K213" i="13" s="1"/>
  <c r="H214" i="13"/>
  <c r="K214" i="13" s="1"/>
  <c r="H215" i="13"/>
  <c r="K215" i="13" s="1"/>
  <c r="H216" i="13"/>
  <c r="K216" i="13" s="1"/>
  <c r="H217" i="13"/>
  <c r="K217" i="13" s="1"/>
  <c r="H218" i="13"/>
  <c r="K218" i="13" s="1"/>
  <c r="H219" i="13"/>
  <c r="K219" i="13" s="1"/>
  <c r="H220" i="13"/>
  <c r="K220" i="13" s="1"/>
  <c r="H221" i="13"/>
  <c r="K221" i="13" s="1"/>
  <c r="H222" i="13"/>
  <c r="K222" i="13" s="1"/>
  <c r="H223" i="13"/>
  <c r="K223" i="13" s="1"/>
  <c r="H224" i="13"/>
  <c r="K224" i="13" s="1"/>
  <c r="H225" i="13"/>
  <c r="K225" i="13" s="1"/>
  <c r="H226" i="13"/>
  <c r="K226" i="13" s="1"/>
  <c r="H227" i="13"/>
  <c r="K227" i="13" s="1"/>
  <c r="H228" i="13"/>
  <c r="K228" i="13" s="1"/>
  <c r="H229" i="13"/>
  <c r="K229" i="13" s="1"/>
  <c r="H230" i="13"/>
  <c r="K230" i="13" s="1"/>
  <c r="H231" i="13"/>
  <c r="K231" i="13" s="1"/>
  <c r="H232" i="13"/>
  <c r="K232" i="13" s="1"/>
  <c r="H233" i="13"/>
  <c r="K233" i="13" s="1"/>
  <c r="H234" i="13"/>
  <c r="K234" i="13" s="1"/>
  <c r="H235" i="13"/>
  <c r="K235" i="13" s="1"/>
  <c r="H236" i="13"/>
  <c r="K236" i="13" s="1"/>
  <c r="H237" i="13"/>
  <c r="K237" i="13" s="1"/>
  <c r="H238" i="13"/>
  <c r="K238" i="13" s="1"/>
  <c r="H239" i="13"/>
  <c r="K239" i="13" s="1"/>
  <c r="H240" i="13"/>
  <c r="K240" i="13" s="1"/>
  <c r="H241" i="13"/>
  <c r="K241" i="13" s="1"/>
  <c r="H242" i="13"/>
  <c r="K242" i="13" s="1"/>
  <c r="H243" i="13"/>
  <c r="K243" i="13" s="1"/>
  <c r="H244" i="13"/>
  <c r="K244" i="13" s="1"/>
  <c r="H245" i="13"/>
  <c r="K245" i="13" s="1"/>
  <c r="H246" i="13"/>
  <c r="K246" i="13" s="1"/>
  <c r="H247" i="13"/>
  <c r="K247" i="13" s="1"/>
  <c r="H248" i="13"/>
  <c r="K248" i="13" s="1"/>
  <c r="H249" i="13"/>
  <c r="K249" i="13" s="1"/>
  <c r="H250" i="13"/>
  <c r="K250" i="13" s="1"/>
  <c r="H251" i="13"/>
  <c r="K251" i="13" s="1"/>
  <c r="H252" i="13"/>
  <c r="K252" i="13" s="1"/>
  <c r="H253" i="13"/>
  <c r="K253" i="13" s="1"/>
  <c r="H254" i="13"/>
  <c r="K254" i="13" s="1"/>
  <c r="H255" i="13"/>
  <c r="K255" i="13" s="1"/>
  <c r="H256" i="13"/>
  <c r="K256" i="13" s="1"/>
  <c r="H257" i="13"/>
  <c r="K257" i="13" s="1"/>
  <c r="H258" i="13"/>
  <c r="K258" i="13" s="1"/>
  <c r="H259" i="13"/>
  <c r="K259" i="13" s="1"/>
  <c r="H260" i="13"/>
  <c r="K260" i="13" s="1"/>
  <c r="H261" i="13"/>
  <c r="K261" i="13" s="1"/>
  <c r="H262" i="13"/>
  <c r="K262" i="13" s="1"/>
  <c r="H263" i="13"/>
  <c r="K263" i="13" s="1"/>
  <c r="H264" i="13"/>
  <c r="K264" i="13" s="1"/>
  <c r="H265" i="13"/>
  <c r="K265" i="13" s="1"/>
  <c r="H266" i="13"/>
  <c r="K266" i="13" s="1"/>
  <c r="H267" i="13"/>
  <c r="K267" i="13" s="1"/>
  <c r="H268" i="13"/>
  <c r="K268" i="13" s="1"/>
  <c r="H269" i="13"/>
  <c r="K269" i="13" s="1"/>
  <c r="H270" i="13"/>
  <c r="K270" i="13" s="1"/>
  <c r="H271" i="13"/>
  <c r="K271" i="13" s="1"/>
  <c r="H272" i="13"/>
  <c r="K272" i="13" s="1"/>
  <c r="H273" i="13"/>
  <c r="K273" i="13" s="1"/>
  <c r="H274" i="13"/>
  <c r="K274" i="13" s="1"/>
  <c r="H275" i="13"/>
  <c r="K275" i="13" s="1"/>
  <c r="H276" i="13"/>
  <c r="K276" i="13" s="1"/>
  <c r="H277" i="13"/>
  <c r="K277" i="13" s="1"/>
  <c r="H278" i="13"/>
  <c r="K278" i="13" s="1"/>
  <c r="H279" i="13"/>
  <c r="K279" i="13" s="1"/>
  <c r="H280" i="13"/>
  <c r="K280" i="13" s="1"/>
  <c r="H281" i="13"/>
  <c r="K281" i="13" s="1"/>
  <c r="H282" i="13"/>
  <c r="K282" i="13" s="1"/>
  <c r="H283" i="13"/>
  <c r="K283" i="13" s="1"/>
  <c r="H284" i="13"/>
  <c r="K284" i="13" s="1"/>
  <c r="H285" i="13"/>
  <c r="K285" i="13" s="1"/>
  <c r="H286" i="13"/>
  <c r="K286" i="13" s="1"/>
  <c r="H287" i="13"/>
  <c r="K287" i="13" s="1"/>
  <c r="H288" i="13"/>
  <c r="K288" i="13" s="1"/>
  <c r="H289" i="13"/>
  <c r="K289" i="13" s="1"/>
  <c r="H290" i="13"/>
  <c r="K290" i="13" s="1"/>
  <c r="H291" i="13"/>
  <c r="K291" i="13" s="1"/>
  <c r="H292" i="13"/>
  <c r="K292" i="13" s="1"/>
  <c r="H293" i="13"/>
  <c r="K293" i="13" s="1"/>
  <c r="H294" i="13"/>
  <c r="K294" i="13" s="1"/>
  <c r="H295" i="13"/>
  <c r="K295" i="13" s="1"/>
  <c r="H296" i="13"/>
  <c r="K296" i="13" s="1"/>
  <c r="H297" i="13"/>
  <c r="K297" i="13" s="1"/>
  <c r="H298" i="13"/>
  <c r="K298" i="13" s="1"/>
  <c r="H299" i="13"/>
  <c r="K299" i="13" s="1"/>
  <c r="H300" i="13"/>
  <c r="K300" i="13" s="1"/>
  <c r="K301" i="13"/>
  <c r="H302" i="13"/>
  <c r="K302" i="13" s="1"/>
  <c r="H303" i="13"/>
  <c r="K303" i="13" s="1"/>
  <c r="H304" i="13"/>
  <c r="K304" i="13" s="1"/>
  <c r="H305" i="13"/>
  <c r="K305" i="13" s="1"/>
  <c r="K306" i="13"/>
  <c r="H307" i="13"/>
  <c r="K307" i="13" s="1"/>
  <c r="H308" i="13"/>
  <c r="K308" i="13" s="1"/>
  <c r="H309" i="13"/>
  <c r="K309" i="13" s="1"/>
  <c r="H310" i="13"/>
  <c r="K310" i="13" s="1"/>
  <c r="H311" i="13"/>
  <c r="K311" i="13" s="1"/>
  <c r="H312" i="13"/>
  <c r="K312" i="13" s="1"/>
  <c r="H313" i="13"/>
  <c r="K313" i="13" s="1"/>
  <c r="H314" i="13"/>
  <c r="K314" i="13" s="1"/>
  <c r="H315" i="13"/>
  <c r="K315" i="13" s="1"/>
  <c r="H316" i="13"/>
  <c r="K316" i="13" s="1"/>
  <c r="H317" i="13"/>
  <c r="K317" i="13" s="1"/>
  <c r="H318" i="13"/>
  <c r="K318" i="13" s="1"/>
  <c r="H319" i="13"/>
  <c r="K319" i="13" s="1"/>
  <c r="H320" i="13"/>
  <c r="K320" i="13" s="1"/>
  <c r="H321" i="13"/>
  <c r="K321" i="13" s="1"/>
  <c r="H322" i="13"/>
  <c r="K322" i="13" s="1"/>
  <c r="H323" i="13"/>
  <c r="K323" i="13" s="1"/>
  <c r="A183" i="25"/>
  <c r="B183" i="25"/>
  <c r="A184" i="25"/>
  <c r="B184" i="25"/>
  <c r="B182" i="11"/>
  <c r="A182" i="11"/>
  <c r="B252" i="25"/>
  <c r="A252" i="25"/>
  <c r="B251" i="11"/>
  <c r="A251" i="11"/>
  <c r="B263" i="25"/>
  <c r="A263" i="25"/>
  <c r="B262" i="11"/>
  <c r="B263" i="11"/>
  <c r="A262" i="11"/>
  <c r="A263" i="11"/>
  <c r="B251" i="25"/>
  <c r="A251" i="25"/>
  <c r="B250" i="11"/>
  <c r="A250" i="11"/>
  <c r="B93" i="25"/>
  <c r="B94" i="25"/>
  <c r="A93" i="25"/>
  <c r="A94" i="25"/>
  <c r="B92" i="11"/>
  <c r="B93" i="11"/>
  <c r="A92" i="11"/>
  <c r="B94" i="11"/>
  <c r="A93" i="11"/>
  <c r="A94"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2" i="11"/>
  <c r="B253" i="11"/>
  <c r="B254" i="11"/>
  <c r="B255" i="11"/>
  <c r="B256" i="11"/>
  <c r="B257" i="11"/>
  <c r="B258" i="11"/>
  <c r="B259" i="11"/>
  <c r="B260" i="11"/>
  <c r="B261"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2" i="11"/>
  <c r="A253" i="11"/>
  <c r="A254" i="11"/>
  <c r="A255" i="11"/>
  <c r="A256" i="11"/>
  <c r="A257" i="11"/>
  <c r="A258" i="11"/>
  <c r="A259" i="11"/>
  <c r="A260" i="11"/>
  <c r="A261"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5" i="11"/>
  <c r="AA7" i="19"/>
  <c r="AC7" i="19"/>
  <c r="AE7" i="19"/>
  <c r="AF7" i="19"/>
  <c r="AG7" i="19"/>
  <c r="AH7" i="19"/>
  <c r="AI7" i="19"/>
  <c r="AJ7" i="19"/>
  <c r="AK7" i="19"/>
  <c r="AL7" i="19"/>
  <c r="AM7" i="19"/>
  <c r="AN7" i="19"/>
  <c r="AO7" i="19"/>
  <c r="AP7" i="19"/>
  <c r="AQ7" i="19"/>
  <c r="A6" i="25"/>
  <c r="B6" i="25"/>
  <c r="A7" i="25"/>
  <c r="B7" i="25"/>
  <c r="A8" i="25"/>
  <c r="B8" i="25"/>
  <c r="A9" i="25"/>
  <c r="B9" i="25"/>
  <c r="A10" i="25"/>
  <c r="B10" i="25"/>
  <c r="A11" i="25"/>
  <c r="B11" i="25"/>
  <c r="A12" i="25"/>
  <c r="B12" i="25"/>
  <c r="A13" i="25"/>
  <c r="B13" i="25"/>
  <c r="A14" i="25"/>
  <c r="B14" i="25"/>
  <c r="A15" i="25"/>
  <c r="B15" i="25"/>
  <c r="A16" i="25"/>
  <c r="B16" i="25"/>
  <c r="A17" i="25"/>
  <c r="B17" i="25"/>
  <c r="A18" i="25"/>
  <c r="B18" i="25"/>
  <c r="A19" i="25"/>
  <c r="B19" i="25"/>
  <c r="A20" i="25"/>
  <c r="B20" i="25"/>
  <c r="A21" i="25"/>
  <c r="B21" i="25"/>
  <c r="A22" i="25"/>
  <c r="B22" i="25"/>
  <c r="A23" i="25"/>
  <c r="B23" i="25"/>
  <c r="A24" i="25"/>
  <c r="B24" i="25"/>
  <c r="A25" i="25"/>
  <c r="B25" i="25"/>
  <c r="A26" i="25"/>
  <c r="B26" i="25"/>
  <c r="A27" i="25"/>
  <c r="B27" i="25"/>
  <c r="A28" i="25"/>
  <c r="B28" i="25"/>
  <c r="A29" i="25"/>
  <c r="B29" i="25"/>
  <c r="A30" i="25"/>
  <c r="B30" i="25"/>
  <c r="A31" i="25"/>
  <c r="B31" i="25"/>
  <c r="A32" i="25"/>
  <c r="B32" i="25"/>
  <c r="A33" i="25"/>
  <c r="B33" i="25"/>
  <c r="A34" i="25"/>
  <c r="B34" i="25"/>
  <c r="A35" i="25"/>
  <c r="B35" i="25"/>
  <c r="A36" i="25"/>
  <c r="B36" i="25"/>
  <c r="A37" i="25"/>
  <c r="B37" i="25"/>
  <c r="A38" i="25"/>
  <c r="B38" i="25"/>
  <c r="A39" i="25"/>
  <c r="B39" i="25"/>
  <c r="A40" i="25"/>
  <c r="B40" i="25"/>
  <c r="A41" i="25"/>
  <c r="B41" i="25"/>
  <c r="A42" i="25"/>
  <c r="B42" i="25"/>
  <c r="A43" i="25"/>
  <c r="B43" i="25"/>
  <c r="A44" i="25"/>
  <c r="B44" i="25"/>
  <c r="A45" i="25"/>
  <c r="B45" i="25"/>
  <c r="A46" i="25"/>
  <c r="B46" i="25"/>
  <c r="A47" i="25"/>
  <c r="B47" i="25"/>
  <c r="A48" i="25"/>
  <c r="B48" i="25"/>
  <c r="A49" i="25"/>
  <c r="B49" i="25"/>
  <c r="A50" i="25"/>
  <c r="B50" i="25"/>
  <c r="A51" i="25"/>
  <c r="B51" i="25"/>
  <c r="A52" i="25"/>
  <c r="B52" i="25"/>
  <c r="A53" i="25"/>
  <c r="B53" i="25"/>
  <c r="A54" i="25"/>
  <c r="B54" i="25"/>
  <c r="A55" i="25"/>
  <c r="B55" i="25"/>
  <c r="A56" i="25"/>
  <c r="B56" i="25"/>
  <c r="A57" i="25"/>
  <c r="B57" i="25"/>
  <c r="A58" i="25"/>
  <c r="B58" i="25"/>
  <c r="A59" i="25"/>
  <c r="B59" i="25"/>
  <c r="A60" i="25"/>
  <c r="B60" i="25"/>
  <c r="A61" i="25"/>
  <c r="B61" i="25"/>
  <c r="A62" i="25"/>
  <c r="B62" i="25"/>
  <c r="A63" i="25"/>
  <c r="B63" i="25"/>
  <c r="A64" i="25"/>
  <c r="B64" i="25"/>
  <c r="A65" i="25"/>
  <c r="B65" i="25"/>
  <c r="A66" i="25"/>
  <c r="B66" i="25"/>
  <c r="A67" i="25"/>
  <c r="B67" i="25"/>
  <c r="A68" i="25"/>
  <c r="B68" i="25"/>
  <c r="A69" i="25"/>
  <c r="B69" i="25"/>
  <c r="A70" i="25"/>
  <c r="B70" i="25"/>
  <c r="A71" i="25"/>
  <c r="B71" i="25"/>
  <c r="A72" i="25"/>
  <c r="B72" i="25"/>
  <c r="A73" i="25"/>
  <c r="B73" i="25"/>
  <c r="A74" i="25"/>
  <c r="B74" i="25"/>
  <c r="A75" i="25"/>
  <c r="B75" i="25"/>
  <c r="A76" i="25"/>
  <c r="B76" i="25"/>
  <c r="A77" i="25"/>
  <c r="B77" i="25"/>
  <c r="A78" i="25"/>
  <c r="B78" i="25"/>
  <c r="A79" i="25"/>
  <c r="B79" i="25"/>
  <c r="A80" i="25"/>
  <c r="B80" i="25"/>
  <c r="A81" i="25"/>
  <c r="B81" i="25"/>
  <c r="A82" i="25"/>
  <c r="B82" i="25"/>
  <c r="A83" i="25"/>
  <c r="B83" i="25"/>
  <c r="A84" i="25"/>
  <c r="B84" i="25"/>
  <c r="A85" i="25"/>
  <c r="B85" i="25"/>
  <c r="A86" i="25"/>
  <c r="B86" i="25"/>
  <c r="A87" i="25"/>
  <c r="B87" i="25"/>
  <c r="A88" i="25"/>
  <c r="B88" i="25"/>
  <c r="A89" i="25"/>
  <c r="B89" i="25"/>
  <c r="A90" i="25"/>
  <c r="B90" i="25"/>
  <c r="A91" i="25"/>
  <c r="B91" i="25"/>
  <c r="A92" i="25"/>
  <c r="B92" i="25"/>
  <c r="A95" i="25"/>
  <c r="B95" i="25"/>
  <c r="A96" i="25"/>
  <c r="B96" i="25"/>
  <c r="A97" i="25"/>
  <c r="B97" i="25"/>
  <c r="A98" i="25"/>
  <c r="B98" i="25"/>
  <c r="A99" i="25"/>
  <c r="B99" i="25"/>
  <c r="A100" i="25"/>
  <c r="B100" i="25"/>
  <c r="A101" i="25"/>
  <c r="B101" i="25"/>
  <c r="A102" i="25"/>
  <c r="B102" i="25"/>
  <c r="A103" i="25"/>
  <c r="B103" i="25"/>
  <c r="A104" i="25"/>
  <c r="B104" i="25"/>
  <c r="A105" i="25"/>
  <c r="B105" i="25"/>
  <c r="A106" i="25"/>
  <c r="B106" i="25"/>
  <c r="A107" i="25"/>
  <c r="B107" i="25"/>
  <c r="A108" i="25"/>
  <c r="B108" i="25"/>
  <c r="A109" i="25"/>
  <c r="B109" i="25"/>
  <c r="A110" i="25"/>
  <c r="B110" i="25"/>
  <c r="A111" i="25"/>
  <c r="B111" i="25"/>
  <c r="A112" i="25"/>
  <c r="B112" i="25"/>
  <c r="A113" i="25"/>
  <c r="B113" i="25"/>
  <c r="A114" i="25"/>
  <c r="B114" i="25"/>
  <c r="A115" i="25"/>
  <c r="B115" i="25"/>
  <c r="A116" i="25"/>
  <c r="B116" i="25"/>
  <c r="A117" i="25"/>
  <c r="B117" i="25"/>
  <c r="A118" i="25"/>
  <c r="B118" i="25"/>
  <c r="A119" i="25"/>
  <c r="B119" i="25"/>
  <c r="A120" i="25"/>
  <c r="B120" i="25"/>
  <c r="A121" i="25"/>
  <c r="B121" i="25"/>
  <c r="A122" i="25"/>
  <c r="B122" i="25"/>
  <c r="A123" i="25"/>
  <c r="B123" i="25"/>
  <c r="A124" i="25"/>
  <c r="B124" i="25"/>
  <c r="A125" i="25"/>
  <c r="B125" i="25"/>
  <c r="A126" i="25"/>
  <c r="B126" i="25"/>
  <c r="A127" i="25"/>
  <c r="B127" i="25"/>
  <c r="A128" i="25"/>
  <c r="B128" i="25"/>
  <c r="A129" i="25"/>
  <c r="B129" i="25"/>
  <c r="A130" i="25"/>
  <c r="B130" i="25"/>
  <c r="A131" i="25"/>
  <c r="B131" i="25"/>
  <c r="A132" i="25"/>
  <c r="B132" i="25"/>
  <c r="A133" i="25"/>
  <c r="B133" i="25"/>
  <c r="A134" i="25"/>
  <c r="B134" i="25"/>
  <c r="A135" i="25"/>
  <c r="B135" i="25"/>
  <c r="A136" i="25"/>
  <c r="B136" i="25"/>
  <c r="A137" i="25"/>
  <c r="B137" i="25"/>
  <c r="A138" i="25"/>
  <c r="B138" i="25"/>
  <c r="A139" i="25"/>
  <c r="B139" i="25"/>
  <c r="A140" i="25"/>
  <c r="B140" i="25"/>
  <c r="A141" i="25"/>
  <c r="B141" i="25"/>
  <c r="A142" i="25"/>
  <c r="B142" i="25"/>
  <c r="A143" i="25"/>
  <c r="B143" i="25"/>
  <c r="A144" i="25"/>
  <c r="B144" i="25"/>
  <c r="A145" i="25"/>
  <c r="B145" i="25"/>
  <c r="A146" i="25"/>
  <c r="B146" i="25"/>
  <c r="A147" i="25"/>
  <c r="B147" i="25"/>
  <c r="A148" i="25"/>
  <c r="B148" i="25"/>
  <c r="A149" i="25"/>
  <c r="B149" i="25"/>
  <c r="A150" i="25"/>
  <c r="B150" i="25"/>
  <c r="A151" i="25"/>
  <c r="B151" i="25"/>
  <c r="A152" i="25"/>
  <c r="B152" i="25"/>
  <c r="A153" i="25"/>
  <c r="B153" i="25"/>
  <c r="A154" i="25"/>
  <c r="B154" i="25"/>
  <c r="A155" i="25"/>
  <c r="B155" i="25"/>
  <c r="A156" i="25"/>
  <c r="B156" i="25"/>
  <c r="A157" i="25"/>
  <c r="B157" i="25"/>
  <c r="A158" i="25"/>
  <c r="B158" i="25"/>
  <c r="A159" i="25"/>
  <c r="B159" i="25"/>
  <c r="A160" i="25"/>
  <c r="B160" i="25"/>
  <c r="A161" i="25"/>
  <c r="B161" i="25"/>
  <c r="A162" i="25"/>
  <c r="B162" i="25"/>
  <c r="A163" i="25"/>
  <c r="B163" i="25"/>
  <c r="A164" i="25"/>
  <c r="B164" i="25"/>
  <c r="A165" i="25"/>
  <c r="B165" i="25"/>
  <c r="A166" i="25"/>
  <c r="B166" i="25"/>
  <c r="A167" i="25"/>
  <c r="B167" i="25"/>
  <c r="A168" i="25"/>
  <c r="B168" i="25"/>
  <c r="A169" i="25"/>
  <c r="B169" i="25"/>
  <c r="A170" i="25"/>
  <c r="B170" i="25"/>
  <c r="A171" i="25"/>
  <c r="B171" i="25"/>
  <c r="A172" i="25"/>
  <c r="B172" i="25"/>
  <c r="A173" i="25"/>
  <c r="B173" i="25"/>
  <c r="A174" i="25"/>
  <c r="B174" i="25"/>
  <c r="A175" i="25"/>
  <c r="B175" i="25"/>
  <c r="A176" i="25"/>
  <c r="B176" i="25"/>
  <c r="A177" i="25"/>
  <c r="B177" i="25"/>
  <c r="A178" i="25"/>
  <c r="B178" i="25"/>
  <c r="A179" i="25"/>
  <c r="B179" i="25"/>
  <c r="A180" i="25"/>
  <c r="B180" i="25"/>
  <c r="A181" i="25"/>
  <c r="B181" i="25"/>
  <c r="A182" i="25"/>
  <c r="B182" i="25"/>
  <c r="A185" i="25"/>
  <c r="B185" i="25"/>
  <c r="A186" i="25"/>
  <c r="B186" i="25"/>
  <c r="A187" i="25"/>
  <c r="B187" i="25"/>
  <c r="A188" i="25"/>
  <c r="B188" i="25"/>
  <c r="A189" i="25"/>
  <c r="B189" i="25"/>
  <c r="A190" i="25"/>
  <c r="B190" i="25"/>
  <c r="A191" i="25"/>
  <c r="B191" i="25"/>
  <c r="A192" i="25"/>
  <c r="B192" i="25"/>
  <c r="A193" i="25"/>
  <c r="B193" i="25"/>
  <c r="A194" i="25"/>
  <c r="B194" i="25"/>
  <c r="A195" i="25"/>
  <c r="B195" i="25"/>
  <c r="A196" i="25"/>
  <c r="B196" i="25"/>
  <c r="A197" i="25"/>
  <c r="B197" i="25"/>
  <c r="A198" i="25"/>
  <c r="B198" i="25"/>
  <c r="A199" i="25"/>
  <c r="B199" i="25"/>
  <c r="A200" i="25"/>
  <c r="B200" i="25"/>
  <c r="A201" i="25"/>
  <c r="B201" i="25"/>
  <c r="A202" i="25"/>
  <c r="B202" i="25"/>
  <c r="A203" i="25"/>
  <c r="B203" i="25"/>
  <c r="A204" i="25"/>
  <c r="B204" i="25"/>
  <c r="A205" i="25"/>
  <c r="B205" i="25"/>
  <c r="A206" i="25"/>
  <c r="B206" i="25"/>
  <c r="A207" i="25"/>
  <c r="B207" i="25"/>
  <c r="A208" i="25"/>
  <c r="B208" i="25"/>
  <c r="A209" i="25"/>
  <c r="B209" i="25"/>
  <c r="A210" i="25"/>
  <c r="B210" i="25"/>
  <c r="A211" i="25"/>
  <c r="B211" i="25"/>
  <c r="A212" i="25"/>
  <c r="B212" i="25"/>
  <c r="A213" i="25"/>
  <c r="B213" i="25"/>
  <c r="A214" i="25"/>
  <c r="B214" i="25"/>
  <c r="A215" i="25"/>
  <c r="B215" i="25"/>
  <c r="A216" i="25"/>
  <c r="B216" i="25"/>
  <c r="A217" i="25"/>
  <c r="B217" i="25"/>
  <c r="A218" i="25"/>
  <c r="B218" i="25"/>
  <c r="A219" i="25"/>
  <c r="B219" i="25"/>
  <c r="A220" i="25"/>
  <c r="B220" i="25"/>
  <c r="A221" i="25"/>
  <c r="B221" i="25"/>
  <c r="A222" i="25"/>
  <c r="B222" i="25"/>
  <c r="A223" i="25"/>
  <c r="B223" i="25"/>
  <c r="A224" i="25"/>
  <c r="B224" i="25"/>
  <c r="A225" i="25"/>
  <c r="B225" i="25"/>
  <c r="A226" i="25"/>
  <c r="B226" i="25"/>
  <c r="A227" i="25"/>
  <c r="B227" i="25"/>
  <c r="A228" i="25"/>
  <c r="B228" i="25"/>
  <c r="A229" i="25"/>
  <c r="B229" i="25"/>
  <c r="A230" i="25"/>
  <c r="B230" i="25"/>
  <c r="A231" i="25"/>
  <c r="B231" i="25"/>
  <c r="A232" i="25"/>
  <c r="B232" i="25"/>
  <c r="A233" i="25"/>
  <c r="B233" i="25"/>
  <c r="A234" i="25"/>
  <c r="B234" i="25"/>
  <c r="A235" i="25"/>
  <c r="B235" i="25"/>
  <c r="A236" i="25"/>
  <c r="B236" i="25"/>
  <c r="A237" i="25"/>
  <c r="B237" i="25"/>
  <c r="A238" i="25"/>
  <c r="B238" i="25"/>
  <c r="A239" i="25"/>
  <c r="B239" i="25"/>
  <c r="A240" i="25"/>
  <c r="B240" i="25"/>
  <c r="A241" i="25"/>
  <c r="B241" i="25"/>
  <c r="A242" i="25"/>
  <c r="B242" i="25"/>
  <c r="A243" i="25"/>
  <c r="B243" i="25"/>
  <c r="A244" i="25"/>
  <c r="B244" i="25"/>
  <c r="A245" i="25"/>
  <c r="B245" i="25"/>
  <c r="A246" i="25"/>
  <c r="B246" i="25"/>
  <c r="A247" i="25"/>
  <c r="B247" i="25"/>
  <c r="A248" i="25"/>
  <c r="B248" i="25"/>
  <c r="A249" i="25"/>
  <c r="B249" i="25"/>
  <c r="A250" i="25"/>
  <c r="B250" i="25"/>
  <c r="A253" i="25"/>
  <c r="B253" i="25"/>
  <c r="A254" i="25"/>
  <c r="B254" i="25"/>
  <c r="A255" i="25"/>
  <c r="B255" i="25"/>
  <c r="A256" i="25"/>
  <c r="B256" i="25"/>
  <c r="A257" i="25"/>
  <c r="B257" i="25"/>
  <c r="A258" i="25"/>
  <c r="B258" i="25"/>
  <c r="A259" i="25"/>
  <c r="B259" i="25"/>
  <c r="A260" i="25"/>
  <c r="B260" i="25"/>
  <c r="A261" i="25"/>
  <c r="B261" i="25"/>
  <c r="A262" i="25"/>
  <c r="B262" i="25"/>
  <c r="A264" i="25"/>
  <c r="B264" i="25"/>
  <c r="A265" i="25"/>
  <c r="B265" i="25"/>
  <c r="A266" i="25"/>
  <c r="B266" i="25"/>
  <c r="A267" i="25"/>
  <c r="B267" i="25"/>
  <c r="A268" i="25"/>
  <c r="B268" i="25"/>
  <c r="A269" i="25"/>
  <c r="B269" i="25"/>
  <c r="A270" i="25"/>
  <c r="B270" i="25"/>
  <c r="A271" i="25"/>
  <c r="B271" i="25"/>
  <c r="A272" i="25"/>
  <c r="B272" i="25"/>
  <c r="A273" i="25"/>
  <c r="B273" i="25"/>
  <c r="A274" i="25"/>
  <c r="B274" i="25"/>
  <c r="A275" i="25"/>
  <c r="B275" i="25"/>
  <c r="A276" i="25"/>
  <c r="B276" i="25"/>
  <c r="A277" i="25"/>
  <c r="B277" i="25"/>
  <c r="A278" i="25"/>
  <c r="B278" i="25"/>
  <c r="A279" i="25"/>
  <c r="B279" i="25"/>
  <c r="A280" i="25"/>
  <c r="B280" i="25"/>
  <c r="A281" i="25"/>
  <c r="B281" i="25"/>
  <c r="A282" i="25"/>
  <c r="B282" i="25"/>
  <c r="A283" i="25"/>
  <c r="B283" i="25"/>
  <c r="A284" i="25"/>
  <c r="B284" i="25"/>
  <c r="A285" i="25"/>
  <c r="B285" i="25"/>
  <c r="A286" i="25"/>
  <c r="B286" i="25"/>
  <c r="A287" i="25"/>
  <c r="B287" i="25"/>
  <c r="A288" i="25"/>
  <c r="B288" i="25"/>
  <c r="A289" i="25"/>
  <c r="B289" i="25"/>
  <c r="A290" i="25"/>
  <c r="B290" i="25"/>
  <c r="A291" i="25"/>
  <c r="B291" i="25"/>
  <c r="A292" i="25"/>
  <c r="B292" i="25"/>
  <c r="A293" i="25"/>
  <c r="B293" i="25"/>
  <c r="A294" i="25"/>
  <c r="B294" i="25"/>
  <c r="A295" i="25"/>
  <c r="B295" i="25"/>
  <c r="A296" i="25"/>
  <c r="B296" i="25"/>
  <c r="A297" i="25"/>
  <c r="B297" i="25"/>
  <c r="A298" i="25"/>
  <c r="B298" i="25"/>
  <c r="A299" i="25"/>
  <c r="B299" i="25"/>
  <c r="A300" i="25"/>
  <c r="B300" i="25"/>
  <c r="A301" i="25"/>
  <c r="B301" i="25"/>
  <c r="A302" i="25"/>
  <c r="B302" i="25"/>
  <c r="A303" i="25"/>
  <c r="B303" i="25"/>
  <c r="A304" i="25"/>
  <c r="B304" i="25"/>
  <c r="A305" i="25"/>
  <c r="B305" i="25"/>
  <c r="A306" i="25"/>
  <c r="B306" i="25"/>
  <c r="A307" i="25"/>
  <c r="B307" i="25"/>
  <c r="A308" i="25"/>
  <c r="B308" i="25"/>
  <c r="A309" i="25"/>
  <c r="B309" i="25"/>
  <c r="A310" i="25"/>
  <c r="B310" i="25"/>
  <c r="A311" i="25"/>
  <c r="B311" i="25"/>
  <c r="A312" i="25"/>
  <c r="B312" i="25"/>
  <c r="A313" i="25"/>
  <c r="B313" i="25"/>
  <c r="A314" i="25"/>
  <c r="B314" i="25"/>
  <c r="A315" i="25"/>
  <c r="B315" i="25"/>
  <c r="A316" i="25"/>
  <c r="B316" i="25"/>
  <c r="A317" i="25"/>
  <c r="B317" i="25"/>
  <c r="A318" i="25"/>
  <c r="B318" i="25"/>
  <c r="A319" i="25"/>
  <c r="B319" i="25"/>
  <c r="A320" i="25"/>
  <c r="B320" i="25"/>
  <c r="A321" i="25"/>
  <c r="B321" i="25"/>
  <c r="A322" i="25"/>
  <c r="B322" i="25"/>
  <c r="A323" i="25"/>
  <c r="B323" i="25"/>
  <c r="K7" i="13" l="1"/>
  <c r="H324" i="13"/>
  <c r="K324" i="13" s="1"/>
  <c r="G32" i="36"/>
  <c r="G76" i="36"/>
  <c r="G323" i="11"/>
  <c r="C323" i="25"/>
  <c r="E323" i="49"/>
  <c r="C316" i="25"/>
  <c r="E316" i="49"/>
  <c r="C312" i="25"/>
  <c r="E312" i="49"/>
  <c r="C300" i="25"/>
  <c r="E300" i="49"/>
  <c r="C292" i="25"/>
  <c r="E292" i="49"/>
  <c r="C276" i="25"/>
  <c r="E276" i="49"/>
  <c r="C268" i="25"/>
  <c r="E268" i="49"/>
  <c r="C260" i="25"/>
  <c r="E260" i="49"/>
  <c r="C236" i="25"/>
  <c r="E236" i="49"/>
  <c r="C232" i="25"/>
  <c r="E232" i="49"/>
  <c r="C212" i="25"/>
  <c r="E212" i="49"/>
  <c r="C192" i="25"/>
  <c r="E192" i="49"/>
  <c r="C184" i="25"/>
  <c r="E184" i="49"/>
  <c r="C160" i="25"/>
  <c r="E160" i="49"/>
  <c r="C156" i="25"/>
  <c r="E156" i="49"/>
  <c r="C148" i="25"/>
  <c r="E148" i="49"/>
  <c r="C140" i="25"/>
  <c r="E140" i="49"/>
  <c r="C124" i="25"/>
  <c r="E124" i="49"/>
  <c r="C116" i="25"/>
  <c r="E116" i="49"/>
  <c r="C112" i="25"/>
  <c r="E112" i="49"/>
  <c r="C104" i="25"/>
  <c r="E104" i="49"/>
  <c r="C100" i="25"/>
  <c r="E100" i="49"/>
  <c r="C92" i="25"/>
  <c r="E92" i="49"/>
  <c r="C84" i="25"/>
  <c r="E84" i="49"/>
  <c r="C76" i="25"/>
  <c r="E76" i="49"/>
  <c r="C68" i="25"/>
  <c r="E68" i="49"/>
  <c r="C60" i="25"/>
  <c r="E60" i="49"/>
  <c r="C52" i="25"/>
  <c r="E52" i="49"/>
  <c r="C44" i="25"/>
  <c r="E44" i="49"/>
  <c r="C36" i="25"/>
  <c r="E36" i="49"/>
  <c r="C20" i="25"/>
  <c r="E20" i="49"/>
  <c r="C16" i="25"/>
  <c r="E16" i="49"/>
  <c r="C8" i="25"/>
  <c r="E8" i="49"/>
  <c r="C315" i="25"/>
  <c r="E315" i="49"/>
  <c r="C299" i="25"/>
  <c r="E299" i="49"/>
  <c r="C291" i="25"/>
  <c r="E291" i="49"/>
  <c r="C287" i="25"/>
  <c r="E287" i="49"/>
  <c r="C279" i="25"/>
  <c r="E279" i="49"/>
  <c r="C271" i="25"/>
  <c r="E271" i="49"/>
  <c r="C263" i="25"/>
  <c r="E263" i="49"/>
  <c r="C259" i="25"/>
  <c r="E259" i="49"/>
  <c r="C243" i="25"/>
  <c r="E243" i="49"/>
  <c r="C239" i="25"/>
  <c r="E239" i="49"/>
  <c r="C219" i="25"/>
  <c r="E219" i="49"/>
  <c r="C211" i="25"/>
  <c r="E211" i="49"/>
  <c r="C203" i="25"/>
  <c r="E203" i="49"/>
  <c r="C191" i="25"/>
  <c r="E191" i="49"/>
  <c r="C183" i="25"/>
  <c r="E183" i="49"/>
  <c r="C159" i="25"/>
  <c r="E159" i="49"/>
  <c r="C151" i="25"/>
  <c r="E151" i="49"/>
  <c r="C59" i="25"/>
  <c r="E59" i="49"/>
  <c r="C51" i="25"/>
  <c r="E51" i="49"/>
  <c r="C7" i="25"/>
  <c r="E7" i="49"/>
  <c r="C318" i="25"/>
  <c r="E318" i="49"/>
  <c r="C314" i="25"/>
  <c r="E314" i="49"/>
  <c r="C302" i="25"/>
  <c r="E302" i="49"/>
  <c r="C298" i="25"/>
  <c r="E298" i="49"/>
  <c r="C294" i="25"/>
  <c r="E294" i="49"/>
  <c r="C290" i="25"/>
  <c r="E290" i="49"/>
  <c r="C286" i="25"/>
  <c r="E286" i="49"/>
  <c r="C282" i="25"/>
  <c r="E282" i="49"/>
  <c r="C274" i="25"/>
  <c r="E274" i="49"/>
  <c r="C270" i="25"/>
  <c r="E270" i="49"/>
  <c r="C266" i="25"/>
  <c r="E266" i="49"/>
  <c r="C262" i="25"/>
  <c r="E262" i="49"/>
  <c r="C258" i="25"/>
  <c r="E258" i="49"/>
  <c r="C250" i="25"/>
  <c r="E250" i="49"/>
  <c r="C246" i="25"/>
  <c r="E246" i="49"/>
  <c r="C242" i="25"/>
  <c r="E242" i="49"/>
  <c r="C238" i="25"/>
  <c r="E238" i="49"/>
  <c r="C234" i="25"/>
  <c r="E234" i="49"/>
  <c r="C230" i="25"/>
  <c r="E230" i="49"/>
  <c r="C226" i="25"/>
  <c r="E226" i="49"/>
  <c r="C222" i="25"/>
  <c r="E222" i="49"/>
  <c r="C218" i="25"/>
  <c r="E218" i="49"/>
  <c r="C214" i="25"/>
  <c r="E214" i="49"/>
  <c r="C210" i="25"/>
  <c r="E210" i="49"/>
  <c r="C206" i="25"/>
  <c r="E206" i="49"/>
  <c r="C198" i="25"/>
  <c r="E198" i="49"/>
  <c r="C194" i="25"/>
  <c r="E194" i="49"/>
  <c r="C190" i="25"/>
  <c r="E190" i="49"/>
  <c r="C186" i="25"/>
  <c r="E186" i="49"/>
  <c r="C182" i="25"/>
  <c r="E182" i="49"/>
  <c r="C178" i="25"/>
  <c r="E178" i="49"/>
  <c r="C170" i="25"/>
  <c r="E170" i="49"/>
  <c r="C166" i="25"/>
  <c r="E166" i="49"/>
  <c r="C162" i="25"/>
  <c r="E162" i="49"/>
  <c r="C158" i="25"/>
  <c r="E158" i="49"/>
  <c r="C154" i="25"/>
  <c r="E154" i="49"/>
  <c r="C150" i="25"/>
  <c r="E150" i="49"/>
  <c r="C138" i="25"/>
  <c r="E138" i="49"/>
  <c r="C130" i="25"/>
  <c r="E130" i="49"/>
  <c r="C126" i="25"/>
  <c r="E126" i="49"/>
  <c r="C122" i="25"/>
  <c r="E122" i="49"/>
  <c r="C114" i="25"/>
  <c r="E114" i="49"/>
  <c r="C110" i="25"/>
  <c r="E110" i="49"/>
  <c r="C106" i="25"/>
  <c r="E106" i="49"/>
  <c r="C102" i="25"/>
  <c r="E102" i="49"/>
  <c r="C98" i="25"/>
  <c r="E98" i="49"/>
  <c r="C94" i="25"/>
  <c r="E94" i="49"/>
  <c r="C90" i="25"/>
  <c r="E90" i="49"/>
  <c r="C82" i="25"/>
  <c r="E82" i="49"/>
  <c r="C78" i="25"/>
  <c r="E78" i="49"/>
  <c r="C74" i="25"/>
  <c r="E74" i="49"/>
  <c r="C70" i="25"/>
  <c r="E70" i="49"/>
  <c r="C66" i="25"/>
  <c r="E66" i="49"/>
  <c r="C62" i="25"/>
  <c r="E62" i="49"/>
  <c r="C58" i="25"/>
  <c r="E58" i="49"/>
  <c r="C54" i="25"/>
  <c r="E54" i="49"/>
  <c r="C50" i="25"/>
  <c r="E50" i="49"/>
  <c r="C46" i="25"/>
  <c r="E46" i="49"/>
  <c r="C42" i="25"/>
  <c r="E42" i="49"/>
  <c r="C38" i="25"/>
  <c r="E38" i="49"/>
  <c r="C34" i="25"/>
  <c r="E34" i="49"/>
  <c r="C30" i="25"/>
  <c r="E30" i="49"/>
  <c r="C26" i="25"/>
  <c r="E26" i="49"/>
  <c r="C22" i="25"/>
  <c r="E22" i="49"/>
  <c r="C18" i="25"/>
  <c r="E18" i="49"/>
  <c r="C14" i="25"/>
  <c r="E14" i="49"/>
  <c r="C10" i="25"/>
  <c r="E10" i="49"/>
  <c r="C6" i="25"/>
  <c r="E6" i="49"/>
  <c r="C320" i="25"/>
  <c r="E320" i="49"/>
  <c r="C308" i="25"/>
  <c r="E308" i="49"/>
  <c r="C288" i="25"/>
  <c r="E288" i="49"/>
  <c r="C280" i="25"/>
  <c r="E280" i="49"/>
  <c r="C272" i="25"/>
  <c r="E272" i="49"/>
  <c r="C256" i="25"/>
  <c r="E256" i="49"/>
  <c r="C216" i="25"/>
  <c r="E216" i="49"/>
  <c r="C208" i="25"/>
  <c r="E208" i="49"/>
  <c r="C196" i="25"/>
  <c r="E196" i="49"/>
  <c r="C180" i="25"/>
  <c r="E180" i="49"/>
  <c r="C176" i="25"/>
  <c r="E176" i="49"/>
  <c r="C144" i="25"/>
  <c r="E144" i="49"/>
  <c r="C108" i="25"/>
  <c r="E108" i="49"/>
  <c r="C88" i="25"/>
  <c r="E88" i="49"/>
  <c r="C80" i="25"/>
  <c r="E80" i="49"/>
  <c r="C72" i="25"/>
  <c r="E72" i="49"/>
  <c r="C64" i="25"/>
  <c r="E64" i="49"/>
  <c r="C56" i="25"/>
  <c r="E56" i="49"/>
  <c r="C48" i="25"/>
  <c r="E48" i="49"/>
  <c r="C40" i="25"/>
  <c r="E40" i="49"/>
  <c r="C32" i="25"/>
  <c r="E32" i="49"/>
  <c r="C12" i="25"/>
  <c r="E12" i="49"/>
  <c r="C319" i="25"/>
  <c r="E319" i="49"/>
  <c r="C311" i="25"/>
  <c r="E311" i="49"/>
  <c r="C307" i="25"/>
  <c r="E307" i="49"/>
  <c r="C303" i="25"/>
  <c r="E303" i="49"/>
  <c r="C295" i="25"/>
  <c r="E295" i="49"/>
  <c r="C283" i="25"/>
  <c r="E283" i="49"/>
  <c r="C275" i="25"/>
  <c r="E275" i="49"/>
  <c r="C267" i="25"/>
  <c r="E267" i="49"/>
  <c r="C255" i="25"/>
  <c r="E255" i="49"/>
  <c r="C247" i="25"/>
  <c r="E247" i="49"/>
  <c r="C231" i="25"/>
  <c r="E231" i="49"/>
  <c r="C223" i="25"/>
  <c r="E223" i="49"/>
  <c r="C215" i="25"/>
  <c r="E215" i="49"/>
  <c r="C207" i="25"/>
  <c r="E207" i="49"/>
  <c r="C199" i="25"/>
  <c r="E199" i="49"/>
  <c r="C195" i="25"/>
  <c r="E195" i="49"/>
  <c r="C187" i="25"/>
  <c r="E187" i="49"/>
  <c r="C179" i="25"/>
  <c r="E179" i="49"/>
  <c r="C163" i="25"/>
  <c r="E163" i="49"/>
  <c r="C155" i="25"/>
  <c r="E155" i="49"/>
  <c r="C147" i="25"/>
  <c r="E147" i="49"/>
  <c r="C135" i="25"/>
  <c r="E135" i="49"/>
  <c r="C47" i="25"/>
  <c r="E47" i="49"/>
  <c r="D324" i="49"/>
  <c r="C317" i="25"/>
  <c r="E317" i="49"/>
  <c r="C309" i="25"/>
  <c r="E309" i="49"/>
  <c r="C305" i="25"/>
  <c r="E305" i="49"/>
  <c r="C293" i="25"/>
  <c r="E293" i="49"/>
  <c r="C289" i="25"/>
  <c r="E289" i="49"/>
  <c r="C285" i="25"/>
  <c r="E285" i="49"/>
  <c r="C281" i="25"/>
  <c r="E281" i="49"/>
  <c r="C273" i="25"/>
  <c r="E273" i="49"/>
  <c r="C261" i="25"/>
  <c r="E261" i="49"/>
  <c r="C257" i="25"/>
  <c r="E257" i="49"/>
  <c r="C249" i="25"/>
  <c r="E249" i="49"/>
  <c r="C245" i="25"/>
  <c r="E245" i="49"/>
  <c r="C241" i="25"/>
  <c r="E241" i="49"/>
  <c r="C237" i="25"/>
  <c r="E237" i="49"/>
  <c r="C229" i="25"/>
  <c r="E229" i="49"/>
  <c r="C221" i="25"/>
  <c r="E221" i="49"/>
  <c r="C217" i="25"/>
  <c r="E217" i="49"/>
  <c r="C213" i="25"/>
  <c r="E213" i="49"/>
  <c r="C209" i="25"/>
  <c r="E209" i="49"/>
  <c r="C205" i="25"/>
  <c r="E205" i="49"/>
  <c r="C197" i="25"/>
  <c r="E197" i="49"/>
  <c r="C193" i="25"/>
  <c r="E193" i="49"/>
  <c r="C189" i="25"/>
  <c r="E189" i="49"/>
  <c r="C181" i="25"/>
  <c r="E181" i="49"/>
  <c r="C173" i="25"/>
  <c r="E173" i="49"/>
  <c r="C169" i="25"/>
  <c r="E169" i="49"/>
  <c r="C165" i="25"/>
  <c r="E165" i="49"/>
  <c r="C161" i="25"/>
  <c r="E161" i="49"/>
  <c r="C157" i="25"/>
  <c r="E157" i="49"/>
  <c r="C153" i="25"/>
  <c r="E153" i="49"/>
  <c r="C145" i="25"/>
  <c r="E145" i="49"/>
  <c r="C141" i="25"/>
  <c r="E141" i="49"/>
  <c r="C137" i="25"/>
  <c r="E137" i="49"/>
  <c r="C133" i="25"/>
  <c r="E133" i="49"/>
  <c r="C129" i="25"/>
  <c r="E129" i="49"/>
  <c r="C125" i="25"/>
  <c r="E125" i="49"/>
  <c r="C117" i="25"/>
  <c r="E117" i="49"/>
  <c r="C113" i="25"/>
  <c r="E113" i="49"/>
  <c r="C109" i="25"/>
  <c r="E109" i="49"/>
  <c r="C105" i="25"/>
  <c r="E105" i="49"/>
  <c r="C101" i="25"/>
  <c r="E101" i="49"/>
  <c r="C97" i="25"/>
  <c r="E97" i="49"/>
  <c r="C93" i="25"/>
  <c r="E93" i="49"/>
  <c r="C89" i="25"/>
  <c r="E89" i="49"/>
  <c r="C85" i="25"/>
  <c r="E85" i="49"/>
  <c r="C81" i="25"/>
  <c r="E81" i="49"/>
  <c r="C77" i="25"/>
  <c r="E77" i="49"/>
  <c r="C73" i="25"/>
  <c r="E73" i="49"/>
  <c r="C69" i="25"/>
  <c r="E69" i="49"/>
  <c r="C65" i="25"/>
  <c r="E65" i="49"/>
  <c r="C61" i="25"/>
  <c r="E61" i="49"/>
  <c r="C57" i="25"/>
  <c r="E57" i="49"/>
  <c r="C53" i="25"/>
  <c r="E53" i="49"/>
  <c r="C49" i="25"/>
  <c r="E49" i="49"/>
  <c r="C45" i="25"/>
  <c r="E45" i="49"/>
  <c r="C41" i="25"/>
  <c r="E41" i="49"/>
  <c r="C37" i="25"/>
  <c r="E37" i="49"/>
  <c r="C33" i="25"/>
  <c r="E33" i="49"/>
  <c r="C29" i="25"/>
  <c r="E29" i="49"/>
  <c r="C25" i="25"/>
  <c r="E25" i="49"/>
  <c r="C21" i="25"/>
  <c r="E21" i="49"/>
  <c r="C17" i="25"/>
  <c r="E17" i="49"/>
  <c r="C13" i="25"/>
  <c r="E13" i="49"/>
  <c r="C9" i="25"/>
  <c r="E9" i="49"/>
  <c r="C261" i="32"/>
  <c r="C190" i="32"/>
  <c r="C164" i="32"/>
  <c r="C162" i="32"/>
  <c r="C319" i="32"/>
  <c r="E319" i="32" s="1"/>
  <c r="C317" i="32"/>
  <c r="E317" i="32" s="1"/>
  <c r="C202" i="32"/>
  <c r="C168" i="32"/>
  <c r="C163" i="32"/>
  <c r="E163" i="32" s="1"/>
  <c r="C158" i="32"/>
  <c r="G262" i="36"/>
  <c r="G58" i="36"/>
  <c r="G298" i="36"/>
  <c r="G134" i="36"/>
  <c r="G207" i="36"/>
  <c r="G259" i="36"/>
  <c r="G211" i="36"/>
  <c r="G306" i="36"/>
  <c r="G160" i="36"/>
  <c r="G196" i="36"/>
  <c r="G190" i="36"/>
  <c r="G154" i="36"/>
  <c r="G276" i="36"/>
  <c r="G271" i="36"/>
  <c r="G294" i="36"/>
  <c r="G31" i="36"/>
  <c r="H204" i="36"/>
  <c r="H233" i="36"/>
  <c r="H139" i="36"/>
  <c r="H97" i="36"/>
  <c r="H207" i="36"/>
  <c r="H273" i="36"/>
  <c r="H271" i="36"/>
  <c r="H315" i="36"/>
  <c r="H214" i="36"/>
  <c r="H318" i="36"/>
  <c r="H181" i="36"/>
  <c r="H310" i="36"/>
  <c r="H34" i="36"/>
  <c r="H12" i="36"/>
  <c r="H222" i="36"/>
  <c r="H133" i="36"/>
  <c r="H38" i="36"/>
  <c r="H163" i="36"/>
  <c r="H188" i="36"/>
  <c r="H291" i="36"/>
  <c r="H264" i="36"/>
  <c r="G38" i="36"/>
  <c r="G272" i="36"/>
  <c r="G77" i="36"/>
  <c r="G19" i="36"/>
  <c r="G49" i="36"/>
  <c r="G105" i="36"/>
  <c r="G118" i="36"/>
  <c r="G307" i="36"/>
  <c r="G219" i="36"/>
  <c r="G157" i="36"/>
  <c r="G200" i="36"/>
  <c r="G313" i="36"/>
  <c r="G198" i="36"/>
  <c r="G147" i="36"/>
  <c r="G83" i="36"/>
  <c r="G14" i="36"/>
  <c r="G223" i="36"/>
  <c r="G143" i="36"/>
  <c r="G39" i="36"/>
  <c r="G23" i="36"/>
  <c r="G135" i="36"/>
  <c r="G220" i="36"/>
  <c r="G20" i="36"/>
  <c r="G60" i="36"/>
  <c r="G82" i="36"/>
  <c r="G248" i="36"/>
  <c r="G283" i="36"/>
  <c r="G87" i="36"/>
  <c r="G234" i="36"/>
  <c r="G42" i="36"/>
  <c r="G178" i="36"/>
  <c r="G148" i="36"/>
  <c r="G103" i="36"/>
  <c r="G164" i="36"/>
  <c r="G100" i="36"/>
  <c r="G112" i="36"/>
  <c r="G66" i="36"/>
  <c r="G71" i="36"/>
  <c r="G228" i="36"/>
  <c r="G275" i="36"/>
  <c r="G191" i="36"/>
  <c r="G210" i="36"/>
  <c r="G126" i="36"/>
  <c r="D322" i="25"/>
  <c r="D321" i="33"/>
  <c r="D318" i="25"/>
  <c r="D317" i="33"/>
  <c r="D314" i="25"/>
  <c r="D313" i="33"/>
  <c r="D310" i="25"/>
  <c r="D309" i="33"/>
  <c r="D306" i="25"/>
  <c r="D305" i="33"/>
  <c r="D302" i="25"/>
  <c r="D301" i="33"/>
  <c r="D298" i="25"/>
  <c r="D297" i="33"/>
  <c r="D294" i="25"/>
  <c r="D293" i="33"/>
  <c r="D290" i="25"/>
  <c r="D289" i="33"/>
  <c r="D286" i="25"/>
  <c r="D285" i="33"/>
  <c r="D282" i="25"/>
  <c r="D281" i="33"/>
  <c r="D278" i="25"/>
  <c r="D277" i="33"/>
  <c r="D274" i="25"/>
  <c r="D273" i="33"/>
  <c r="D270" i="25"/>
  <c r="D269" i="33"/>
  <c r="D266" i="25"/>
  <c r="D265" i="33"/>
  <c r="D262" i="25"/>
  <c r="D261" i="33"/>
  <c r="D258" i="25"/>
  <c r="D257" i="33"/>
  <c r="D254" i="25"/>
  <c r="D253" i="33"/>
  <c r="D250" i="25"/>
  <c r="D249" i="33"/>
  <c r="D246" i="25"/>
  <c r="D245" i="33"/>
  <c r="D242" i="25"/>
  <c r="D241" i="33"/>
  <c r="D238" i="25"/>
  <c r="D237" i="33"/>
  <c r="D234" i="25"/>
  <c r="D233" i="33"/>
  <c r="D230" i="25"/>
  <c r="D229" i="33"/>
  <c r="D226" i="25"/>
  <c r="D225" i="33"/>
  <c r="D222" i="25"/>
  <c r="D221" i="33"/>
  <c r="D218" i="25"/>
  <c r="D217" i="33"/>
  <c r="D214" i="25"/>
  <c r="D213" i="33"/>
  <c r="D210" i="25"/>
  <c r="D209" i="33"/>
  <c r="D206" i="25"/>
  <c r="D205" i="33"/>
  <c r="D202" i="25"/>
  <c r="D201" i="33"/>
  <c r="D198" i="25"/>
  <c r="D197" i="33"/>
  <c r="D194" i="25"/>
  <c r="D193" i="33"/>
  <c r="D190" i="25"/>
  <c r="D189" i="33"/>
  <c r="D186" i="25"/>
  <c r="D185" i="33"/>
  <c r="D182" i="25"/>
  <c r="D181" i="33"/>
  <c r="D178" i="25"/>
  <c r="D177" i="33"/>
  <c r="D174" i="25"/>
  <c r="D173" i="33"/>
  <c r="D170" i="25"/>
  <c r="D169" i="33"/>
  <c r="D166" i="25"/>
  <c r="D165" i="33"/>
  <c r="D162" i="25"/>
  <c r="D161" i="33"/>
  <c r="D158" i="25"/>
  <c r="D157" i="33"/>
  <c r="D154" i="25"/>
  <c r="D153" i="33"/>
  <c r="D150" i="25"/>
  <c r="D149" i="33"/>
  <c r="D146" i="25"/>
  <c r="D145" i="33"/>
  <c r="D142" i="25"/>
  <c r="D141" i="33"/>
  <c r="D138" i="25"/>
  <c r="D137" i="33"/>
  <c r="D134" i="25"/>
  <c r="D133" i="33"/>
  <c r="D130" i="25"/>
  <c r="D129" i="33"/>
  <c r="D126" i="25"/>
  <c r="D125" i="33"/>
  <c r="D122" i="25"/>
  <c r="D121" i="33"/>
  <c r="D118" i="25"/>
  <c r="D117" i="33"/>
  <c r="D114" i="25"/>
  <c r="D113" i="33"/>
  <c r="D110" i="25"/>
  <c r="D109" i="33"/>
  <c r="D106" i="25"/>
  <c r="D105" i="33"/>
  <c r="D102" i="25"/>
  <c r="D101" i="33"/>
  <c r="D98" i="25"/>
  <c r="D97" i="33"/>
  <c r="D94" i="25"/>
  <c r="D93" i="33"/>
  <c r="D90" i="25"/>
  <c r="D89" i="33"/>
  <c r="D86" i="25"/>
  <c r="D85" i="33"/>
  <c r="D82" i="25"/>
  <c r="D81" i="33"/>
  <c r="D78" i="25"/>
  <c r="D77" i="33"/>
  <c r="D74" i="25"/>
  <c r="D73" i="33"/>
  <c r="D70" i="25"/>
  <c r="D69" i="33"/>
  <c r="D66" i="25"/>
  <c r="D65" i="33"/>
  <c r="D62" i="25"/>
  <c r="D61" i="33"/>
  <c r="D58" i="25"/>
  <c r="D57" i="33"/>
  <c r="D54" i="25"/>
  <c r="D53" i="33"/>
  <c r="D50" i="25"/>
  <c r="D49" i="33"/>
  <c r="D46" i="25"/>
  <c r="D45" i="33"/>
  <c r="D42" i="25"/>
  <c r="D41" i="33"/>
  <c r="D38" i="25"/>
  <c r="D37" i="33"/>
  <c r="D34" i="25"/>
  <c r="D33" i="33"/>
  <c r="D30" i="25"/>
  <c r="D29" i="33"/>
  <c r="D26" i="25"/>
  <c r="D25" i="33"/>
  <c r="D22" i="25"/>
  <c r="D21" i="33"/>
  <c r="D18" i="25"/>
  <c r="D17" i="33"/>
  <c r="D14" i="25"/>
  <c r="D13" i="33"/>
  <c r="D10" i="25"/>
  <c r="D9" i="33"/>
  <c r="D6" i="25"/>
  <c r="D5" i="33"/>
  <c r="C321" i="25"/>
  <c r="C313" i="25"/>
  <c r="C301" i="25"/>
  <c r="L297" i="13"/>
  <c r="M297" i="13" s="1"/>
  <c r="C297" i="25"/>
  <c r="C277" i="25"/>
  <c r="C269" i="25"/>
  <c r="L265" i="13"/>
  <c r="M265" i="13" s="1"/>
  <c r="C265" i="25"/>
  <c r="L253" i="13"/>
  <c r="M253" i="13" s="1"/>
  <c r="C253" i="25"/>
  <c r="C233" i="25"/>
  <c r="C225" i="25"/>
  <c r="L201" i="13"/>
  <c r="M201" i="13" s="1"/>
  <c r="C201" i="25"/>
  <c r="L185" i="13"/>
  <c r="M185" i="13" s="1"/>
  <c r="C185" i="25"/>
  <c r="C177" i="25"/>
  <c r="L149" i="13"/>
  <c r="M149" i="13" s="1"/>
  <c r="C149" i="25"/>
  <c r="L121" i="13"/>
  <c r="M121" i="13" s="1"/>
  <c r="C121" i="25"/>
  <c r="D321" i="25"/>
  <c r="D320" i="33"/>
  <c r="D317" i="25"/>
  <c r="D316" i="33"/>
  <c r="D313" i="25"/>
  <c r="D312" i="33"/>
  <c r="D309" i="25"/>
  <c r="D308" i="33"/>
  <c r="D305" i="25"/>
  <c r="D304" i="33"/>
  <c r="D301" i="25"/>
  <c r="D300" i="33"/>
  <c r="D297" i="25"/>
  <c r="D296" i="33"/>
  <c r="D293" i="25"/>
  <c r="D292" i="33"/>
  <c r="D289" i="25"/>
  <c r="D288" i="33"/>
  <c r="D285" i="25"/>
  <c r="D284" i="33"/>
  <c r="D281" i="25"/>
  <c r="D280" i="33"/>
  <c r="D277" i="25"/>
  <c r="D276" i="33"/>
  <c r="D273" i="25"/>
  <c r="D272" i="33"/>
  <c r="D269" i="25"/>
  <c r="D268" i="33"/>
  <c r="D265" i="25"/>
  <c r="D264" i="33"/>
  <c r="D261" i="25"/>
  <c r="D260" i="33"/>
  <c r="D257" i="25"/>
  <c r="D256" i="33"/>
  <c r="D253" i="25"/>
  <c r="D252" i="33"/>
  <c r="D249" i="25"/>
  <c r="D248" i="33"/>
  <c r="D245" i="25"/>
  <c r="D244" i="33"/>
  <c r="D241" i="25"/>
  <c r="D240" i="33"/>
  <c r="D237" i="25"/>
  <c r="D236" i="33"/>
  <c r="D233" i="25"/>
  <c r="D232" i="33"/>
  <c r="D229" i="25"/>
  <c r="D228" i="33"/>
  <c r="D225" i="25"/>
  <c r="D224" i="33"/>
  <c r="D221" i="25"/>
  <c r="D220" i="33"/>
  <c r="D217" i="25"/>
  <c r="D216" i="33"/>
  <c r="D213" i="25"/>
  <c r="D212" i="33"/>
  <c r="D209" i="25"/>
  <c r="D208" i="33"/>
  <c r="D205" i="25"/>
  <c r="D204" i="33"/>
  <c r="D201" i="25"/>
  <c r="D200" i="33"/>
  <c r="D197" i="25"/>
  <c r="D196" i="33"/>
  <c r="D193" i="25"/>
  <c r="D192" i="33"/>
  <c r="D189" i="25"/>
  <c r="D188" i="33"/>
  <c r="D185" i="25"/>
  <c r="D184" i="33"/>
  <c r="D181" i="25"/>
  <c r="D180" i="33"/>
  <c r="D177" i="25"/>
  <c r="D176" i="33"/>
  <c r="D173" i="25"/>
  <c r="D172" i="33"/>
  <c r="D169" i="25"/>
  <c r="D168" i="33"/>
  <c r="D165" i="25"/>
  <c r="D164" i="33"/>
  <c r="D161" i="25"/>
  <c r="D160" i="33"/>
  <c r="D157" i="25"/>
  <c r="D156" i="33"/>
  <c r="D153" i="25"/>
  <c r="D152" i="33"/>
  <c r="D149" i="25"/>
  <c r="D148" i="33"/>
  <c r="D145" i="25"/>
  <c r="D144" i="33"/>
  <c r="D141" i="25"/>
  <c r="D140" i="33"/>
  <c r="D137" i="25"/>
  <c r="D136" i="33"/>
  <c r="D133" i="25"/>
  <c r="D132" i="33"/>
  <c r="D129" i="25"/>
  <c r="D128" i="33"/>
  <c r="D125" i="25"/>
  <c r="D124" i="33"/>
  <c r="D121" i="25"/>
  <c r="D120" i="33"/>
  <c r="D117" i="25"/>
  <c r="D116" i="33"/>
  <c r="D113" i="25"/>
  <c r="D112" i="33"/>
  <c r="D109" i="25"/>
  <c r="D108" i="33"/>
  <c r="D105" i="25"/>
  <c r="D104" i="33"/>
  <c r="D101" i="25"/>
  <c r="D100" i="33"/>
  <c r="D97" i="25"/>
  <c r="D96" i="33"/>
  <c r="D93" i="25"/>
  <c r="D92" i="33"/>
  <c r="D89" i="25"/>
  <c r="D88" i="33"/>
  <c r="D85" i="25"/>
  <c r="D84" i="33"/>
  <c r="D81" i="25"/>
  <c r="D80" i="33"/>
  <c r="D77" i="25"/>
  <c r="D76" i="33"/>
  <c r="D73" i="25"/>
  <c r="D72" i="33"/>
  <c r="D69" i="25"/>
  <c r="D68" i="33"/>
  <c r="D65" i="25"/>
  <c r="D64" i="33"/>
  <c r="D61" i="25"/>
  <c r="D60" i="33"/>
  <c r="D57" i="25"/>
  <c r="D56" i="33"/>
  <c r="D53" i="25"/>
  <c r="D52" i="33"/>
  <c r="D49" i="25"/>
  <c r="D48" i="33"/>
  <c r="D45" i="25"/>
  <c r="D44" i="33"/>
  <c r="D41" i="25"/>
  <c r="D40" i="33"/>
  <c r="D37" i="25"/>
  <c r="D36" i="33"/>
  <c r="D33" i="25"/>
  <c r="D32" i="33"/>
  <c r="D29" i="25"/>
  <c r="D28" i="33"/>
  <c r="D25" i="25"/>
  <c r="D24" i="33"/>
  <c r="D21" i="25"/>
  <c r="D20" i="33"/>
  <c r="D17" i="25"/>
  <c r="D16" i="33"/>
  <c r="D13" i="25"/>
  <c r="D12" i="33"/>
  <c r="D9" i="25"/>
  <c r="D8" i="33"/>
  <c r="L304" i="13"/>
  <c r="M304" i="13" s="1"/>
  <c r="C304" i="25"/>
  <c r="C296" i="25"/>
  <c r="L284" i="13"/>
  <c r="M284" i="13" s="1"/>
  <c r="C284" i="25"/>
  <c r="L264" i="13"/>
  <c r="M264" i="13" s="1"/>
  <c r="C264" i="25"/>
  <c r="L252" i="13"/>
  <c r="M252" i="13" s="1"/>
  <c r="C252" i="25"/>
  <c r="C248" i="25"/>
  <c r="L244" i="13"/>
  <c r="M244" i="13" s="1"/>
  <c r="C244" i="25"/>
  <c r="L240" i="13"/>
  <c r="M240" i="13" s="1"/>
  <c r="C240" i="25"/>
  <c r="L228" i="13"/>
  <c r="M228" i="13" s="1"/>
  <c r="C228" i="25"/>
  <c r="L224" i="13"/>
  <c r="M224" i="13" s="1"/>
  <c r="C224" i="25"/>
  <c r="L220" i="13"/>
  <c r="M220" i="13" s="1"/>
  <c r="C220" i="25"/>
  <c r="L204" i="13"/>
  <c r="M204" i="13" s="1"/>
  <c r="C204" i="25"/>
  <c r="C200" i="25"/>
  <c r="C188" i="25"/>
  <c r="L172" i="13"/>
  <c r="M172" i="13" s="1"/>
  <c r="C172" i="25"/>
  <c r="L168" i="13"/>
  <c r="M168" i="13" s="1"/>
  <c r="C168" i="25"/>
  <c r="C164" i="25"/>
  <c r="L152" i="13"/>
  <c r="M152" i="13" s="1"/>
  <c r="C152" i="25"/>
  <c r="C136" i="25"/>
  <c r="L132" i="13"/>
  <c r="M132" i="13" s="1"/>
  <c r="C132" i="25"/>
  <c r="L128" i="13"/>
  <c r="M128" i="13" s="1"/>
  <c r="C128" i="25"/>
  <c r="L120" i="13"/>
  <c r="M120" i="13" s="1"/>
  <c r="C120" i="25"/>
  <c r="L96" i="13"/>
  <c r="C96" i="25"/>
  <c r="C28" i="25"/>
  <c r="C24" i="25"/>
  <c r="D319" i="33"/>
  <c r="D320" i="25"/>
  <c r="D316" i="25"/>
  <c r="D315" i="33"/>
  <c r="D311" i="33"/>
  <c r="D312" i="25"/>
  <c r="D308" i="25"/>
  <c r="D307" i="33"/>
  <c r="D303" i="33"/>
  <c r="D304" i="25"/>
  <c r="D300" i="25"/>
  <c r="D299" i="33"/>
  <c r="D295" i="33"/>
  <c r="D296" i="25"/>
  <c r="D292" i="25"/>
  <c r="D291" i="33"/>
  <c r="D287" i="33"/>
  <c r="D288" i="25"/>
  <c r="D284" i="25"/>
  <c r="D283" i="33"/>
  <c r="D279" i="33"/>
  <c r="D280" i="25"/>
  <c r="D276" i="25"/>
  <c r="D275" i="33"/>
  <c r="D271" i="33"/>
  <c r="D272" i="25"/>
  <c r="D268" i="25"/>
  <c r="D267" i="33"/>
  <c r="D263" i="33"/>
  <c r="D264" i="25"/>
  <c r="D260" i="25"/>
  <c r="D259" i="33"/>
  <c r="D255" i="33"/>
  <c r="D256" i="25"/>
  <c r="D252" i="25"/>
  <c r="D251" i="33"/>
  <c r="D247" i="33"/>
  <c r="D248" i="25"/>
  <c r="D244" i="25"/>
  <c r="D243" i="33"/>
  <c r="D239" i="33"/>
  <c r="D240" i="25"/>
  <c r="D236" i="25"/>
  <c r="D235" i="33"/>
  <c r="D231" i="33"/>
  <c r="D232" i="25"/>
  <c r="D228" i="25"/>
  <c r="D227" i="33"/>
  <c r="D223" i="33"/>
  <c r="D224" i="25"/>
  <c r="D220" i="25"/>
  <c r="D219" i="33"/>
  <c r="D215" i="33"/>
  <c r="D216" i="25"/>
  <c r="D212" i="25"/>
  <c r="D211" i="33"/>
  <c r="D207" i="33"/>
  <c r="D208" i="25"/>
  <c r="D204" i="25"/>
  <c r="D203" i="33"/>
  <c r="D199" i="33"/>
  <c r="D200" i="25"/>
  <c r="D196" i="25"/>
  <c r="D195" i="33"/>
  <c r="D191" i="33"/>
  <c r="D192" i="25"/>
  <c r="D188" i="25"/>
  <c r="D187" i="33"/>
  <c r="D183" i="33"/>
  <c r="D184" i="25"/>
  <c r="D180" i="25"/>
  <c r="D179" i="33"/>
  <c r="D175" i="33"/>
  <c r="D176" i="25"/>
  <c r="D172" i="25"/>
  <c r="D171" i="33"/>
  <c r="D167" i="33"/>
  <c r="D168" i="25"/>
  <c r="D164" i="25"/>
  <c r="D163" i="33"/>
  <c r="D159" i="33"/>
  <c r="D160" i="25"/>
  <c r="D156" i="25"/>
  <c r="D155" i="33"/>
  <c r="D151" i="33"/>
  <c r="D152" i="25"/>
  <c r="D148" i="25"/>
  <c r="D147" i="33"/>
  <c r="D143" i="33"/>
  <c r="D144" i="25"/>
  <c r="D140" i="25"/>
  <c r="D139" i="33"/>
  <c r="D135" i="33"/>
  <c r="D136" i="25"/>
  <c r="D132" i="25"/>
  <c r="D131" i="33"/>
  <c r="D127" i="33"/>
  <c r="D128" i="25"/>
  <c r="D124" i="25"/>
  <c r="D123" i="33"/>
  <c r="D119" i="33"/>
  <c r="D120" i="25"/>
  <c r="D116" i="25"/>
  <c r="D115" i="33"/>
  <c r="D111" i="33"/>
  <c r="D112" i="25"/>
  <c r="D108" i="25"/>
  <c r="D107" i="33"/>
  <c r="D103" i="33"/>
  <c r="D104" i="25"/>
  <c r="D100" i="25"/>
  <c r="D99" i="33"/>
  <c r="D95" i="33"/>
  <c r="D96" i="25"/>
  <c r="D92" i="25"/>
  <c r="D91" i="33"/>
  <c r="D87" i="33"/>
  <c r="D88" i="25"/>
  <c r="D84" i="25"/>
  <c r="D83" i="33"/>
  <c r="D79" i="33"/>
  <c r="D80" i="25"/>
  <c r="D76" i="25"/>
  <c r="D75" i="33"/>
  <c r="D71" i="33"/>
  <c r="D72" i="25"/>
  <c r="D68" i="25"/>
  <c r="D67" i="33"/>
  <c r="D63" i="33"/>
  <c r="D64" i="25"/>
  <c r="D60" i="25"/>
  <c r="D59" i="33"/>
  <c r="D55" i="33"/>
  <c r="D56" i="25"/>
  <c r="D52" i="25"/>
  <c r="D51" i="33"/>
  <c r="D47" i="33"/>
  <c r="D48" i="25"/>
  <c r="D44" i="25"/>
  <c r="D43" i="33"/>
  <c r="D39" i="33"/>
  <c r="D40" i="25"/>
  <c r="D36" i="25"/>
  <c r="D35" i="33"/>
  <c r="D31" i="33"/>
  <c r="D32" i="25"/>
  <c r="D28" i="25"/>
  <c r="D27" i="33"/>
  <c r="D23" i="33"/>
  <c r="D24" i="25"/>
  <c r="D20" i="25"/>
  <c r="D19" i="33"/>
  <c r="D15" i="33"/>
  <c r="D16" i="25"/>
  <c r="D12" i="25"/>
  <c r="D11" i="33"/>
  <c r="D8" i="25"/>
  <c r="D7" i="33"/>
  <c r="L251" i="13"/>
  <c r="M251" i="13" s="1"/>
  <c r="C251" i="25"/>
  <c r="L235" i="13"/>
  <c r="M235" i="13" s="1"/>
  <c r="C235" i="25"/>
  <c r="L227" i="13"/>
  <c r="M227" i="13" s="1"/>
  <c r="C227" i="25"/>
  <c r="L175" i="13"/>
  <c r="M175" i="13" s="1"/>
  <c r="C175" i="25"/>
  <c r="L171" i="13"/>
  <c r="M171" i="13" s="1"/>
  <c r="C171" i="25"/>
  <c r="L167" i="13"/>
  <c r="M167" i="13" s="1"/>
  <c r="C167" i="25"/>
  <c r="C143" i="25"/>
  <c r="L139" i="13"/>
  <c r="M139" i="13" s="1"/>
  <c r="C139" i="25"/>
  <c r="C131" i="25"/>
  <c r="L127" i="13"/>
  <c r="M127" i="13" s="1"/>
  <c r="C127" i="25"/>
  <c r="C123" i="25"/>
  <c r="L119" i="13"/>
  <c r="M119" i="13" s="1"/>
  <c r="C119" i="25"/>
  <c r="C115" i="25"/>
  <c r="L111" i="13"/>
  <c r="M111" i="13" s="1"/>
  <c r="C111" i="25"/>
  <c r="C107" i="25"/>
  <c r="L103" i="13"/>
  <c r="M103" i="13" s="1"/>
  <c r="C103" i="25"/>
  <c r="C99" i="25"/>
  <c r="L95" i="13"/>
  <c r="M95" i="13" s="1"/>
  <c r="C95" i="25"/>
  <c r="C91" i="25"/>
  <c r="L87" i="13"/>
  <c r="M87" i="13" s="1"/>
  <c r="C87" i="25"/>
  <c r="L83" i="13"/>
  <c r="M83" i="13" s="1"/>
  <c r="C83" i="25"/>
  <c r="C79" i="25"/>
  <c r="L75" i="13"/>
  <c r="M75" i="13" s="1"/>
  <c r="C75" i="25"/>
  <c r="C71" i="25"/>
  <c r="L67" i="13"/>
  <c r="M67" i="13" s="1"/>
  <c r="C67" i="25"/>
  <c r="L63" i="13"/>
  <c r="M63" i="13" s="1"/>
  <c r="C63" i="25"/>
  <c r="L55" i="13"/>
  <c r="M55" i="13" s="1"/>
  <c r="C55" i="25"/>
  <c r="C43" i="25"/>
  <c r="L39" i="13"/>
  <c r="M39" i="13" s="1"/>
  <c r="C39" i="25"/>
  <c r="C35" i="25"/>
  <c r="L31" i="13"/>
  <c r="M31" i="13" s="1"/>
  <c r="C31" i="25"/>
  <c r="L27" i="13"/>
  <c r="M27" i="13" s="1"/>
  <c r="C27" i="25"/>
  <c r="L23" i="13"/>
  <c r="M23" i="13" s="1"/>
  <c r="C23" i="25"/>
  <c r="L19" i="13"/>
  <c r="M19" i="13" s="1"/>
  <c r="C19" i="25"/>
  <c r="C15" i="25"/>
  <c r="C11" i="25"/>
  <c r="D323" i="25"/>
  <c r="D322" i="33"/>
  <c r="D319" i="25"/>
  <c r="D318" i="33"/>
  <c r="D315" i="25"/>
  <c r="D314" i="33"/>
  <c r="D311" i="25"/>
  <c r="D310" i="33"/>
  <c r="D307" i="25"/>
  <c r="D306" i="33"/>
  <c r="D303" i="25"/>
  <c r="D302" i="33"/>
  <c r="D299" i="25"/>
  <c r="D298" i="33"/>
  <c r="D295" i="25"/>
  <c r="D294" i="33"/>
  <c r="D291" i="25"/>
  <c r="D290" i="33"/>
  <c r="D287" i="25"/>
  <c r="D286" i="33"/>
  <c r="D283" i="25"/>
  <c r="D282" i="33"/>
  <c r="D279" i="25"/>
  <c r="D278" i="33"/>
  <c r="D275" i="25"/>
  <c r="D274" i="33"/>
  <c r="D271" i="25"/>
  <c r="D270" i="33"/>
  <c r="D267" i="25"/>
  <c r="D266" i="33"/>
  <c r="D263" i="25"/>
  <c r="D262" i="33"/>
  <c r="D259" i="25"/>
  <c r="D258" i="33"/>
  <c r="D255" i="25"/>
  <c r="D254" i="33"/>
  <c r="D251" i="25"/>
  <c r="D250" i="33"/>
  <c r="D247" i="25"/>
  <c r="D246" i="33"/>
  <c r="D243" i="25"/>
  <c r="D242" i="33"/>
  <c r="D239" i="25"/>
  <c r="D238" i="33"/>
  <c r="D235" i="25"/>
  <c r="D234" i="33"/>
  <c r="D231" i="25"/>
  <c r="D230" i="33"/>
  <c r="D227" i="25"/>
  <c r="D226" i="33"/>
  <c r="D223" i="25"/>
  <c r="D222" i="33"/>
  <c r="D219" i="25"/>
  <c r="D218" i="33"/>
  <c r="D215" i="25"/>
  <c r="D214" i="33"/>
  <c r="D211" i="25"/>
  <c r="D210" i="33"/>
  <c r="D207" i="25"/>
  <c r="D206" i="33"/>
  <c r="D203" i="25"/>
  <c r="D202" i="33"/>
  <c r="D199" i="25"/>
  <c r="D198" i="33"/>
  <c r="D195" i="25"/>
  <c r="D194" i="33"/>
  <c r="D191" i="25"/>
  <c r="D190" i="33"/>
  <c r="D187" i="25"/>
  <c r="D186" i="33"/>
  <c r="D183" i="25"/>
  <c r="D182" i="33"/>
  <c r="D179" i="25"/>
  <c r="D178" i="33"/>
  <c r="D175" i="25"/>
  <c r="D174" i="33"/>
  <c r="D171" i="25"/>
  <c r="D170" i="33"/>
  <c r="D167" i="25"/>
  <c r="D166" i="33"/>
  <c r="D163" i="25"/>
  <c r="D162" i="33"/>
  <c r="D159" i="25"/>
  <c r="D158" i="33"/>
  <c r="D155" i="25"/>
  <c r="D154" i="33"/>
  <c r="D151" i="25"/>
  <c r="D150" i="33"/>
  <c r="D147" i="25"/>
  <c r="D146" i="33"/>
  <c r="D143" i="25"/>
  <c r="D142" i="33"/>
  <c r="D139" i="25"/>
  <c r="D138" i="33"/>
  <c r="D135" i="25"/>
  <c r="D134" i="33"/>
  <c r="D131" i="25"/>
  <c r="D130" i="33"/>
  <c r="D127" i="25"/>
  <c r="D126" i="33"/>
  <c r="D123" i="25"/>
  <c r="D122" i="33"/>
  <c r="D119" i="25"/>
  <c r="D118" i="33"/>
  <c r="D115" i="25"/>
  <c r="D114" i="33"/>
  <c r="D111" i="25"/>
  <c r="D110" i="33"/>
  <c r="D107" i="25"/>
  <c r="D106" i="33"/>
  <c r="D103" i="25"/>
  <c r="D102" i="33"/>
  <c r="D99" i="25"/>
  <c r="D98" i="33"/>
  <c r="D95" i="25"/>
  <c r="D94" i="33"/>
  <c r="D91" i="25"/>
  <c r="D90" i="33"/>
  <c r="D87" i="25"/>
  <c r="D86" i="33"/>
  <c r="D83" i="25"/>
  <c r="D82" i="33"/>
  <c r="D79" i="25"/>
  <c r="D78" i="33"/>
  <c r="D75" i="25"/>
  <c r="D74" i="33"/>
  <c r="D71" i="25"/>
  <c r="D70" i="33"/>
  <c r="D67" i="25"/>
  <c r="D66" i="33"/>
  <c r="D63" i="25"/>
  <c r="D62" i="33"/>
  <c r="D59" i="25"/>
  <c r="D58" i="33"/>
  <c r="D55" i="25"/>
  <c r="D54" i="33"/>
  <c r="D51" i="25"/>
  <c r="D50" i="33"/>
  <c r="D47" i="25"/>
  <c r="D46" i="33"/>
  <c r="D43" i="25"/>
  <c r="D42" i="33"/>
  <c r="D39" i="25"/>
  <c r="D38" i="33"/>
  <c r="D35" i="25"/>
  <c r="D34" i="33"/>
  <c r="D31" i="25"/>
  <c r="D30" i="33"/>
  <c r="D27" i="25"/>
  <c r="D26" i="33"/>
  <c r="D23" i="25"/>
  <c r="D22" i="33"/>
  <c r="D19" i="25"/>
  <c r="D18" i="33"/>
  <c r="D15" i="25"/>
  <c r="D14" i="33"/>
  <c r="D11" i="25"/>
  <c r="D10" i="33"/>
  <c r="D7" i="25"/>
  <c r="D6" i="33"/>
  <c r="C322" i="25"/>
  <c r="C310" i="25"/>
  <c r="C306" i="25"/>
  <c r="C278" i="25"/>
  <c r="C254" i="25"/>
  <c r="C202" i="25"/>
  <c r="L174" i="13"/>
  <c r="M174" i="13" s="1"/>
  <c r="C174" i="25"/>
  <c r="C146" i="25"/>
  <c r="C142" i="25"/>
  <c r="C134" i="25"/>
  <c r="L118" i="13"/>
  <c r="M118" i="13" s="1"/>
  <c r="C118" i="25"/>
  <c r="L86" i="13"/>
  <c r="M86" i="13" s="1"/>
  <c r="C86" i="25"/>
  <c r="AL325" i="42"/>
  <c r="C132" i="32"/>
  <c r="E132" i="32" s="1"/>
  <c r="B323" i="11"/>
  <c r="L135" i="13"/>
  <c r="M135" i="13" s="1"/>
  <c r="L59" i="13"/>
  <c r="M59" i="13" s="1"/>
  <c r="L51" i="13"/>
  <c r="M51" i="13" s="1"/>
  <c r="C214" i="32"/>
  <c r="L8" i="13"/>
  <c r="M8"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5" i="13"/>
  <c r="M15" i="13" s="1"/>
  <c r="L11" i="13"/>
  <c r="M11" i="13" s="1"/>
  <c r="C298" i="32"/>
  <c r="C294" i="32"/>
  <c r="E294" i="32" s="1"/>
  <c r="C270" i="32"/>
  <c r="C253" i="32"/>
  <c r="E253" i="32" s="1"/>
  <c r="C235" i="32"/>
  <c r="E235" i="32" s="1"/>
  <c r="C210" i="32"/>
  <c r="E210" i="32" s="1"/>
  <c r="C206" i="32"/>
  <c r="E206" i="32" s="1"/>
  <c r="C154" i="32"/>
  <c r="E154" i="32" s="1"/>
  <c r="C125" i="32"/>
  <c r="E125" i="32" s="1"/>
  <c r="C100" i="32"/>
  <c r="E100" i="32" s="1"/>
  <c r="C67" i="32"/>
  <c r="E67" i="32" s="1"/>
  <c r="C57" i="32"/>
  <c r="E57" i="32" s="1"/>
  <c r="C316" i="32"/>
  <c r="E316" i="32" s="1"/>
  <c r="C312" i="32"/>
  <c r="C293" i="32"/>
  <c r="E293" i="32" s="1"/>
  <c r="C277" i="32"/>
  <c r="E277" i="32" s="1"/>
  <c r="C256" i="32"/>
  <c r="E256" i="32" s="1"/>
  <c r="C252" i="32"/>
  <c r="E252" i="32" s="1"/>
  <c r="C239" i="32"/>
  <c r="C221" i="32"/>
  <c r="E221" i="32" s="1"/>
  <c r="C213" i="32"/>
  <c r="C189" i="32"/>
  <c r="E189" i="32" s="1"/>
  <c r="C181" i="32"/>
  <c r="C175" i="32"/>
  <c r="E175" i="32" s="1"/>
  <c r="C170" i="32"/>
  <c r="E170" i="32" s="1"/>
  <c r="C157" i="32"/>
  <c r="E157" i="32" s="1"/>
  <c r="C131" i="32"/>
  <c r="C124" i="32"/>
  <c r="E124" i="32" s="1"/>
  <c r="C88" i="32"/>
  <c r="E88" i="32" s="1"/>
  <c r="C34" i="32"/>
  <c r="E34" i="32" s="1"/>
  <c r="C22" i="32"/>
  <c r="E22" i="32" s="1"/>
  <c r="C314" i="32"/>
  <c r="E314" i="32" s="1"/>
  <c r="C299" i="32"/>
  <c r="E299" i="32" s="1"/>
  <c r="C295" i="32"/>
  <c r="E295" i="32" s="1"/>
  <c r="C290" i="32"/>
  <c r="E290" i="32" s="1"/>
  <c r="C286" i="32"/>
  <c r="E286" i="32" s="1"/>
  <c r="C282" i="32"/>
  <c r="E282" i="32" s="1"/>
  <c r="C267" i="32"/>
  <c r="E267" i="32" s="1"/>
  <c r="C254" i="32"/>
  <c r="E254" i="32" s="1"/>
  <c r="C249" i="32"/>
  <c r="C237" i="32"/>
  <c r="E237" i="32" s="1"/>
  <c r="C232" i="32"/>
  <c r="E232" i="32" s="1"/>
  <c r="C218" i="32"/>
  <c r="E218" i="32" s="1"/>
  <c r="C211" i="32"/>
  <c r="E211" i="32" s="1"/>
  <c r="C207" i="32"/>
  <c r="E207" i="32" s="1"/>
  <c r="C203" i="32"/>
  <c r="E203" i="32" s="1"/>
  <c r="C198" i="32"/>
  <c r="C194" i="32"/>
  <c r="C186" i="32"/>
  <c r="E186" i="32" s="1"/>
  <c r="C155" i="32"/>
  <c r="C149" i="32"/>
  <c r="E149" i="32" s="1"/>
  <c r="C145" i="32"/>
  <c r="E145" i="32" s="1"/>
  <c r="C141" i="32"/>
  <c r="E141" i="32" s="1"/>
  <c r="C136" i="32"/>
  <c r="C126" i="32"/>
  <c r="C121" i="32"/>
  <c r="E121" i="32" s="1"/>
  <c r="C101" i="32"/>
  <c r="C89" i="32"/>
  <c r="E89" i="32" s="1"/>
  <c r="C80" i="32"/>
  <c r="C68" i="32"/>
  <c r="C48" i="32"/>
  <c r="E48" i="32" s="1"/>
  <c r="C41" i="32"/>
  <c r="E41" i="32" s="1"/>
  <c r="C30" i="32"/>
  <c r="E30" i="32" s="1"/>
  <c r="C13" i="32"/>
  <c r="C272" i="32"/>
  <c r="E272" i="32" s="1"/>
  <c r="C263" i="32"/>
  <c r="E263" i="32" s="1"/>
  <c r="C226" i="32"/>
  <c r="E226" i="32" s="1"/>
  <c r="C179" i="32"/>
  <c r="E179" i="32" s="1"/>
  <c r="C112" i="32"/>
  <c r="E112" i="32" s="1"/>
  <c r="C74" i="32"/>
  <c r="E74" i="32" s="1"/>
  <c r="C64" i="32"/>
  <c r="E64" i="32" s="1"/>
  <c r="C54" i="32"/>
  <c r="E54" i="32" s="1"/>
  <c r="C21" i="32"/>
  <c r="E21" i="32" s="1"/>
  <c r="C17" i="32"/>
  <c r="E17" i="32" s="1"/>
  <c r="C9" i="32"/>
  <c r="E9" i="32" s="1"/>
  <c r="C300" i="32"/>
  <c r="E300" i="32" s="1"/>
  <c r="C255" i="32"/>
  <c r="E255" i="32" s="1"/>
  <c r="C225" i="32"/>
  <c r="E225" i="32" s="1"/>
  <c r="C180" i="32"/>
  <c r="E180" i="32" s="1"/>
  <c r="C152" i="32"/>
  <c r="E152" i="32" s="1"/>
  <c r="C83" i="32"/>
  <c r="C69" i="32"/>
  <c r="E69" i="32" s="1"/>
  <c r="C50" i="32"/>
  <c r="E50" i="32" s="1"/>
  <c r="C311" i="32"/>
  <c r="C289" i="32"/>
  <c r="E289" i="32" s="1"/>
  <c r="C281" i="32"/>
  <c r="E281" i="32" s="1"/>
  <c r="C262" i="32"/>
  <c r="E262" i="32" s="1"/>
  <c r="C248" i="32"/>
  <c r="E248" i="32" s="1"/>
  <c r="C223" i="32"/>
  <c r="C201" i="32"/>
  <c r="E201" i="32" s="1"/>
  <c r="C193" i="32"/>
  <c r="E193" i="32" s="1"/>
  <c r="C185" i="32"/>
  <c r="E185" i="32" s="1"/>
  <c r="C172" i="32"/>
  <c r="E172" i="32" s="1"/>
  <c r="C160" i="32"/>
  <c r="E160" i="32" s="1"/>
  <c r="C148" i="32"/>
  <c r="E148" i="32" s="1"/>
  <c r="C140" i="32"/>
  <c r="E140" i="32" s="1"/>
  <c r="C129" i="32"/>
  <c r="E129" i="32" s="1"/>
  <c r="C120" i="32"/>
  <c r="E120" i="32" s="1"/>
  <c r="C111" i="32"/>
  <c r="E111" i="32" s="1"/>
  <c r="C92" i="32"/>
  <c r="E92" i="32" s="1"/>
  <c r="C78" i="32"/>
  <c r="E78" i="32" s="1"/>
  <c r="C63" i="32"/>
  <c r="E63" i="32" s="1"/>
  <c r="C53" i="32"/>
  <c r="C39" i="32"/>
  <c r="C29" i="32"/>
  <c r="E29" i="32" s="1"/>
  <c r="C20" i="32"/>
  <c r="C12" i="32"/>
  <c r="E12" i="32" s="1"/>
  <c r="C313" i="32"/>
  <c r="E313" i="32" s="1"/>
  <c r="C309" i="32"/>
  <c r="E309" i="32" s="1"/>
  <c r="C303" i="32"/>
  <c r="E303" i="32" s="1"/>
  <c r="C278" i="32"/>
  <c r="C257" i="32"/>
  <c r="E257" i="32" s="1"/>
  <c r="C240" i="32"/>
  <c r="E240" i="32" s="1"/>
  <c r="C236" i="32"/>
  <c r="E236" i="32" s="1"/>
  <c r="C231" i="32"/>
  <c r="C227" i="32"/>
  <c r="C222" i="32"/>
  <c r="C102" i="32"/>
  <c r="C79" i="32"/>
  <c r="C52" i="32"/>
  <c r="C321" i="32"/>
  <c r="E321" i="32" s="1"/>
  <c r="C308" i="32"/>
  <c r="E308" i="32" s="1"/>
  <c r="C302" i="32"/>
  <c r="E302" i="32" s="1"/>
  <c r="C296" i="32"/>
  <c r="E296" i="32" s="1"/>
  <c r="C291" i="32"/>
  <c r="C287" i="32"/>
  <c r="C283" i="32"/>
  <c r="C279" i="32"/>
  <c r="C273" i="32"/>
  <c r="C268" i="32"/>
  <c r="E268" i="32" s="1"/>
  <c r="C264" i="32"/>
  <c r="E264" i="32" s="1"/>
  <c r="C258" i="32"/>
  <c r="C250" i="32"/>
  <c r="E250" i="32" s="1"/>
  <c r="C245" i="32"/>
  <c r="C238" i="32"/>
  <c r="E238" i="32" s="1"/>
  <c r="C233" i="32"/>
  <c r="E233" i="32" s="1"/>
  <c r="C228" i="32"/>
  <c r="E228" i="32" s="1"/>
  <c r="C219" i="32"/>
  <c r="E219" i="32" s="1"/>
  <c r="C212" i="32"/>
  <c r="E212" i="32" s="1"/>
  <c r="C208" i="32"/>
  <c r="E208" i="32" s="1"/>
  <c r="C204" i="32"/>
  <c r="E204" i="32" s="1"/>
  <c r="C199" i="32"/>
  <c r="C195" i="32"/>
  <c r="E195" i="32" s="1"/>
  <c r="C188" i="32"/>
  <c r="E188" i="32" s="1"/>
  <c r="C182" i="32"/>
  <c r="E182" i="32" s="1"/>
  <c r="C174" i="32"/>
  <c r="C166" i="32"/>
  <c r="E166" i="32" s="1"/>
  <c r="C156" i="32"/>
  <c r="E156" i="32" s="1"/>
  <c r="C150" i="32"/>
  <c r="E150" i="32" s="1"/>
  <c r="C146" i="32"/>
  <c r="E146" i="32" s="1"/>
  <c r="C142" i="32"/>
  <c r="E142" i="32" s="1"/>
  <c r="C138" i="32"/>
  <c r="E138" i="32" s="1"/>
  <c r="C133" i="32"/>
  <c r="E133" i="32" s="1"/>
  <c r="C127" i="32"/>
  <c r="E127" i="32" s="1"/>
  <c r="C122" i="32"/>
  <c r="E122" i="32" s="1"/>
  <c r="C117" i="32"/>
  <c r="E117" i="32" s="1"/>
  <c r="C113" i="32"/>
  <c r="E113" i="32" s="1"/>
  <c r="C109" i="32"/>
  <c r="E109" i="32" s="1"/>
  <c r="C103" i="32"/>
  <c r="E103" i="32" s="1"/>
  <c r="C98" i="32"/>
  <c r="E98" i="32" s="1"/>
  <c r="C94" i="32"/>
  <c r="E94" i="32" s="1"/>
  <c r="C90" i="32"/>
  <c r="E90" i="32" s="1"/>
  <c r="C81" i="32"/>
  <c r="E81" i="32" s="1"/>
  <c r="C75" i="32"/>
  <c r="E75" i="32" s="1"/>
  <c r="C70" i="32"/>
  <c r="E70" i="32" s="1"/>
  <c r="C65" i="32"/>
  <c r="E65" i="32" s="1"/>
  <c r="C61" i="32"/>
  <c r="E61" i="32" s="1"/>
  <c r="C55" i="32"/>
  <c r="C49" i="32"/>
  <c r="E49" i="32" s="1"/>
  <c r="C44" i="32"/>
  <c r="E44" i="32" s="1"/>
  <c r="C37" i="32"/>
  <c r="E37" i="32" s="1"/>
  <c r="C32" i="32"/>
  <c r="E32" i="32" s="1"/>
  <c r="C27" i="32"/>
  <c r="E27" i="32" s="1"/>
  <c r="C23" i="32"/>
  <c r="E23" i="32" s="1"/>
  <c r="C18" i="32"/>
  <c r="C14" i="32"/>
  <c r="E14" i="32" s="1"/>
  <c r="C10" i="32"/>
  <c r="E10" i="32" s="1"/>
  <c r="C6" i="32"/>
  <c r="E6" i="32" s="1"/>
  <c r="C307" i="32"/>
  <c r="E307" i="32" s="1"/>
  <c r="C276" i="32"/>
  <c r="E276" i="32" s="1"/>
  <c r="C244" i="32"/>
  <c r="E244" i="32" s="1"/>
  <c r="C173" i="32"/>
  <c r="E173" i="32" s="1"/>
  <c r="C161" i="32"/>
  <c r="E161" i="32" s="1"/>
  <c r="C130" i="32"/>
  <c r="E130" i="32" s="1"/>
  <c r="C116" i="32"/>
  <c r="E116" i="32" s="1"/>
  <c r="C108" i="32"/>
  <c r="E108" i="32" s="1"/>
  <c r="C97" i="32"/>
  <c r="E97" i="32" s="1"/>
  <c r="C93" i="32"/>
  <c r="E93" i="32" s="1"/>
  <c r="C59" i="32"/>
  <c r="E59" i="32" s="1"/>
  <c r="C36" i="32"/>
  <c r="E36" i="32" s="1"/>
  <c r="C26" i="32"/>
  <c r="Y7" i="19"/>
  <c r="C315" i="32"/>
  <c r="C259" i="32"/>
  <c r="E259" i="32" s="1"/>
  <c r="C243" i="32"/>
  <c r="E243" i="32" s="1"/>
  <c r="C87" i="32"/>
  <c r="E87" i="32" s="1"/>
  <c r="C60" i="32"/>
  <c r="E60" i="32" s="1"/>
  <c r="C305" i="32"/>
  <c r="E305" i="32" s="1"/>
  <c r="C285" i="32"/>
  <c r="E285" i="32" s="1"/>
  <c r="C275" i="32"/>
  <c r="E275" i="32" s="1"/>
  <c r="C266" i="32"/>
  <c r="E266" i="32" s="1"/>
  <c r="C242" i="32"/>
  <c r="C230" i="32"/>
  <c r="E230" i="32" s="1"/>
  <c r="C217" i="32"/>
  <c r="E217" i="32" s="1"/>
  <c r="C197" i="32"/>
  <c r="E197" i="32" s="1"/>
  <c r="C178" i="32"/>
  <c r="E178" i="32" s="1"/>
  <c r="C144" i="32"/>
  <c r="E144" i="32" s="1"/>
  <c r="C135" i="32"/>
  <c r="E135" i="32" s="1"/>
  <c r="C115" i="32"/>
  <c r="E115" i="32" s="1"/>
  <c r="C107" i="32"/>
  <c r="E107" i="32" s="1"/>
  <c r="C96" i="32"/>
  <c r="C85" i="32"/>
  <c r="E85" i="32" s="1"/>
  <c r="C73" i="32"/>
  <c r="E73" i="32" s="1"/>
  <c r="C46" i="32"/>
  <c r="E46" i="32" s="1"/>
  <c r="C35" i="32"/>
  <c r="E35" i="32" s="1"/>
  <c r="C25" i="32"/>
  <c r="E25" i="32" s="1"/>
  <c r="C16" i="32"/>
  <c r="E16" i="32" s="1"/>
  <c r="C8" i="32"/>
  <c r="E8" i="32" s="1"/>
  <c r="C320" i="32"/>
  <c r="C271" i="32"/>
  <c r="E271" i="32" s="1"/>
  <c r="C246" i="32"/>
  <c r="E246" i="32" s="1"/>
  <c r="C215" i="32"/>
  <c r="E215" i="32" s="1"/>
  <c r="C191" i="32"/>
  <c r="E191" i="32" s="1"/>
  <c r="C187" i="32"/>
  <c r="E187" i="32" s="1"/>
  <c r="C183" i="32"/>
  <c r="E183" i="32" s="1"/>
  <c r="C137" i="32"/>
  <c r="E137" i="32" s="1"/>
  <c r="C118" i="32"/>
  <c r="E118" i="32" s="1"/>
  <c r="C106" i="32"/>
  <c r="E106" i="32" s="1"/>
  <c r="C104" i="32"/>
  <c r="C76" i="32"/>
  <c r="E76" i="32" s="1"/>
  <c r="C72" i="32"/>
  <c r="C58" i="32"/>
  <c r="C47" i="32"/>
  <c r="E47" i="32" s="1"/>
  <c r="C43" i="32"/>
  <c r="C42" i="32"/>
  <c r="E42" i="32" s="1"/>
  <c r="C40" i="32"/>
  <c r="C31" i="32"/>
  <c r="E31" i="32" s="1"/>
  <c r="C322" i="32"/>
  <c r="E322" i="32" s="1"/>
  <c r="C310" i="32"/>
  <c r="E310" i="32" s="1"/>
  <c r="C304" i="32"/>
  <c r="C297" i="32"/>
  <c r="E297" i="32" s="1"/>
  <c r="C292" i="32"/>
  <c r="E292" i="32" s="1"/>
  <c r="C288" i="32"/>
  <c r="E288" i="32" s="1"/>
  <c r="C284" i="32"/>
  <c r="E284" i="32" s="1"/>
  <c r="C280" i="32"/>
  <c r="E280" i="32" s="1"/>
  <c r="C274" i="32"/>
  <c r="E274" i="32" s="1"/>
  <c r="C269" i="32"/>
  <c r="E269" i="32" s="1"/>
  <c r="C265" i="32"/>
  <c r="C260" i="32"/>
  <c r="E260" i="32" s="1"/>
  <c r="C251" i="32"/>
  <c r="E251" i="32" s="1"/>
  <c r="C247" i="32"/>
  <c r="E247" i="32" s="1"/>
  <c r="C241" i="32"/>
  <c r="C234" i="32"/>
  <c r="E234" i="32" s="1"/>
  <c r="C229" i="32"/>
  <c r="E229" i="32" s="1"/>
  <c r="C220" i="32"/>
  <c r="E220" i="32" s="1"/>
  <c r="C216" i="32"/>
  <c r="E216" i="32" s="1"/>
  <c r="C209" i="32"/>
  <c r="E209" i="32" s="1"/>
  <c r="C205" i="32"/>
  <c r="E205" i="32" s="1"/>
  <c r="C200" i="32"/>
  <c r="E200" i="32" s="1"/>
  <c r="C196" i="32"/>
  <c r="E196" i="32" s="1"/>
  <c r="C192" i="32"/>
  <c r="E192" i="32" s="1"/>
  <c r="C184" i="32"/>
  <c r="E184" i="32" s="1"/>
  <c r="C177" i="32"/>
  <c r="E177" i="32" s="1"/>
  <c r="C171" i="32"/>
  <c r="E171" i="32" s="1"/>
  <c r="C159" i="32"/>
  <c r="C153" i="32"/>
  <c r="E153" i="32" s="1"/>
  <c r="C147" i="32"/>
  <c r="E147" i="32" s="1"/>
  <c r="C143" i="32"/>
  <c r="E143" i="32" s="1"/>
  <c r="C139" i="32"/>
  <c r="E139" i="32" s="1"/>
  <c r="C134" i="32"/>
  <c r="E134" i="32" s="1"/>
  <c r="C128" i="32"/>
  <c r="E128" i="32" s="1"/>
  <c r="C123" i="32"/>
  <c r="E123" i="32" s="1"/>
  <c r="C119" i="32"/>
  <c r="E119" i="32" s="1"/>
  <c r="C114" i="32"/>
  <c r="E114" i="32" s="1"/>
  <c r="C110" i="32"/>
  <c r="C105" i="32"/>
  <c r="E105" i="32" s="1"/>
  <c r="C99" i="32"/>
  <c r="E99" i="32" s="1"/>
  <c r="C95" i="32"/>
  <c r="C91" i="32"/>
  <c r="E91" i="32" s="1"/>
  <c r="C82" i="32"/>
  <c r="E82" i="32" s="1"/>
  <c r="C77" i="32"/>
  <c r="E77" i="32" s="1"/>
  <c r="C71" i="32"/>
  <c r="C66" i="32"/>
  <c r="E66" i="32" s="1"/>
  <c r="C62" i="32"/>
  <c r="E62" i="32" s="1"/>
  <c r="C56" i="32"/>
  <c r="E56" i="32" s="1"/>
  <c r="C51" i="32"/>
  <c r="E51" i="32" s="1"/>
  <c r="C45" i="32"/>
  <c r="E45" i="32" s="1"/>
  <c r="C38" i="32"/>
  <c r="E38" i="32" s="1"/>
  <c r="C33" i="32"/>
  <c r="E33" i="32" s="1"/>
  <c r="C28" i="32"/>
  <c r="E28" i="32" s="1"/>
  <c r="C24" i="32"/>
  <c r="C19" i="32"/>
  <c r="C15" i="32"/>
  <c r="E15" i="32" s="1"/>
  <c r="C11" i="32"/>
  <c r="E11" i="32" s="1"/>
  <c r="C7" i="32"/>
  <c r="E7" i="32" s="1"/>
  <c r="L180" i="13"/>
  <c r="M180" i="13" s="1"/>
  <c r="L280" i="13"/>
  <c r="M280" i="13" s="1"/>
  <c r="L308" i="13"/>
  <c r="M308" i="13" s="1"/>
  <c r="L196" i="13"/>
  <c r="M196" i="13" s="1"/>
  <c r="L68" i="13"/>
  <c r="M68" i="13" s="1"/>
  <c r="L36" i="13"/>
  <c r="M36" i="13" s="1"/>
  <c r="L285" i="13"/>
  <c r="M285" i="13" s="1"/>
  <c r="L257" i="13"/>
  <c r="M257" i="13" s="1"/>
  <c r="L249" i="13"/>
  <c r="M249" i="13" s="1"/>
  <c r="L323" i="13"/>
  <c r="M323" i="13" s="1"/>
  <c r="L316" i="13"/>
  <c r="M316" i="13" s="1"/>
  <c r="L312" i="13"/>
  <c r="M312" i="13" s="1"/>
  <c r="L292" i="13"/>
  <c r="M292" i="13" s="1"/>
  <c r="L268" i="13"/>
  <c r="M268" i="13" s="1"/>
  <c r="L260" i="13"/>
  <c r="M260" i="13" s="1"/>
  <c r="L248" i="13"/>
  <c r="M248" i="13" s="1"/>
  <c r="L232" i="13"/>
  <c r="M232" i="13" s="1"/>
  <c r="L212" i="13"/>
  <c r="M212" i="13" s="1"/>
  <c r="L188" i="13"/>
  <c r="M188" i="13" s="1"/>
  <c r="L176" i="13"/>
  <c r="M176" i="13" s="1"/>
  <c r="L60" i="13"/>
  <c r="M60" i="13" s="1"/>
  <c r="L56" i="13"/>
  <c r="M56" i="13" s="1"/>
  <c r="L48" i="13"/>
  <c r="M48" i="13" s="1"/>
  <c r="L28" i="13"/>
  <c r="M28" i="13" s="1"/>
  <c r="L16" i="13"/>
  <c r="M16" i="13" s="1"/>
  <c r="L256" i="13"/>
  <c r="M256" i="13" s="1"/>
  <c r="L236" i="13"/>
  <c r="M236" i="13" s="1"/>
  <c r="L272" i="13"/>
  <c r="M272" i="13" s="1"/>
  <c r="L320" i="13"/>
  <c r="M320" i="13" s="1"/>
  <c r="L300" i="13"/>
  <c r="M300" i="13" s="1"/>
  <c r="L296" i="13"/>
  <c r="M296" i="13" s="1"/>
  <c r="L288" i="13"/>
  <c r="M288" i="13" s="1"/>
  <c r="L276" i="13"/>
  <c r="M276" i="13" s="1"/>
  <c r="L216" i="13"/>
  <c r="M216" i="13" s="1"/>
  <c r="L208" i="13"/>
  <c r="M208" i="13" s="1"/>
  <c r="L200" i="13"/>
  <c r="M200" i="13" s="1"/>
  <c r="L192" i="13"/>
  <c r="M192" i="13" s="1"/>
  <c r="L44" i="13"/>
  <c r="M44" i="13" s="1"/>
  <c r="L24" i="13"/>
  <c r="M24" i="13" s="1"/>
  <c r="L184" i="13"/>
  <c r="M184"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13" i="13"/>
  <c r="M313" i="13" s="1"/>
  <c r="L158" i="13"/>
  <c r="M158" i="13" s="1"/>
  <c r="L150" i="13"/>
  <c r="M150" i="13" s="1"/>
  <c r="L142" i="13"/>
  <c r="M142" i="13" s="1"/>
  <c r="L134" i="13"/>
  <c r="M134" i="13" s="1"/>
  <c r="L102" i="13"/>
  <c r="M102" i="13" s="1"/>
  <c r="L94" i="13"/>
  <c r="M94" i="13" s="1"/>
  <c r="L78" i="13"/>
  <c r="M78" i="13" s="1"/>
  <c r="L110" i="13"/>
  <c r="M110" i="13" s="1"/>
  <c r="L321" i="13"/>
  <c r="M321" i="13" s="1"/>
  <c r="L317" i="13"/>
  <c r="M317" i="13" s="1"/>
  <c r="L309" i="13"/>
  <c r="M309" i="13" s="1"/>
  <c r="L126" i="13"/>
  <c r="M126" i="13" s="1"/>
  <c r="L293" i="13"/>
  <c r="M293" i="13" s="1"/>
  <c r="L277" i="13"/>
  <c r="M277" i="13" s="1"/>
  <c r="L269" i="13"/>
  <c r="M269" i="13" s="1"/>
  <c r="L261" i="13"/>
  <c r="M261" i="13" s="1"/>
  <c r="L221" i="13"/>
  <c r="M221" i="13" s="1"/>
  <c r="L213" i="13"/>
  <c r="M213" i="13" s="1"/>
  <c r="L197" i="13"/>
  <c r="M197" i="13" s="1"/>
  <c r="L177" i="13"/>
  <c r="M177" i="13" s="1"/>
  <c r="L173" i="13"/>
  <c r="M173" i="13" s="1"/>
  <c r="L165" i="13"/>
  <c r="M165" i="13" s="1"/>
  <c r="L161" i="13"/>
  <c r="M161" i="13" s="1"/>
  <c r="L305" i="13"/>
  <c r="M305" i="13" s="1"/>
  <c r="L181" i="13"/>
  <c r="M181" i="13" s="1"/>
  <c r="L301" i="13"/>
  <c r="M301" i="13" s="1"/>
  <c r="L289" i="13"/>
  <c r="M289" i="13" s="1"/>
  <c r="L281" i="13"/>
  <c r="M281" i="13" s="1"/>
  <c r="L273" i="13"/>
  <c r="M273" i="13" s="1"/>
  <c r="L245" i="13"/>
  <c r="M245" i="13" s="1"/>
  <c r="L233" i="13"/>
  <c r="M233" i="13" s="1"/>
  <c r="L225" i="13"/>
  <c r="M225" i="13" s="1"/>
  <c r="L217" i="13"/>
  <c r="M217" i="13" s="1"/>
  <c r="L209" i="13"/>
  <c r="M209" i="13" s="1"/>
  <c r="L193" i="13"/>
  <c r="M193" i="13" s="1"/>
  <c r="L169" i="13"/>
  <c r="M169" i="13" s="1"/>
  <c r="L157" i="13"/>
  <c r="M157" i="13" s="1"/>
  <c r="L205" i="13"/>
  <c r="M205" i="13" s="1"/>
  <c r="L237" i="13"/>
  <c r="M237" i="13" s="1"/>
  <c r="L241" i="13"/>
  <c r="M241" i="13" s="1"/>
  <c r="L229" i="13"/>
  <c r="M229" i="13" s="1"/>
  <c r="L189" i="13"/>
  <c r="M189" i="13" s="1"/>
  <c r="L153" i="13"/>
  <c r="M153" i="13" s="1"/>
  <c r="AB325" i="19"/>
  <c r="L13" i="13"/>
  <c r="M13" i="13" s="1"/>
  <c r="L20" i="13"/>
  <c r="M20" i="13" s="1"/>
  <c r="L72" i="13"/>
  <c r="M72" i="13" s="1"/>
  <c r="L64" i="13"/>
  <c r="M64" i="13" s="1"/>
  <c r="L52" i="13"/>
  <c r="M52" i="13" s="1"/>
  <c r="K325" i="19"/>
  <c r="E325" i="19"/>
  <c r="H200" i="49"/>
  <c r="I200" i="49" s="1"/>
  <c r="L12" i="13"/>
  <c r="M12" i="13" s="1"/>
  <c r="L40" i="13"/>
  <c r="M40" i="13" s="1"/>
  <c r="L32" i="13"/>
  <c r="M32" i="13" s="1"/>
  <c r="H166" i="49"/>
  <c r="H165" i="49"/>
  <c r="I165" i="49" s="1"/>
  <c r="AI325" i="19"/>
  <c r="L38" i="13"/>
  <c r="M38" i="13" s="1"/>
  <c r="F325" i="19"/>
  <c r="AA325" i="19"/>
  <c r="M325" i="19"/>
  <c r="P325" i="19"/>
  <c r="V325" i="19"/>
  <c r="L179" i="13"/>
  <c r="M179" i="13" s="1"/>
  <c r="C325" i="19"/>
  <c r="L278" i="13"/>
  <c r="M278" i="13" s="1"/>
  <c r="J325" i="19"/>
  <c r="AH325" i="19"/>
  <c r="AK325" i="19"/>
  <c r="AP325" i="19"/>
  <c r="AQ325" i="19"/>
  <c r="AO325" i="19"/>
  <c r="AJ325" i="19"/>
  <c r="D5" i="32"/>
  <c r="D323" i="32" s="1"/>
  <c r="Z325" i="19"/>
  <c r="L319" i="13"/>
  <c r="M319" i="13" s="1"/>
  <c r="L311" i="13"/>
  <c r="M311" i="13" s="1"/>
  <c r="L307" i="13"/>
  <c r="M307" i="13" s="1"/>
  <c r="L299" i="13"/>
  <c r="M299" i="13" s="1"/>
  <c r="L295" i="13"/>
  <c r="M295" i="13" s="1"/>
  <c r="L291" i="13"/>
  <c r="M291" i="13" s="1"/>
  <c r="L283" i="13"/>
  <c r="M283" i="13" s="1"/>
  <c r="L279" i="13"/>
  <c r="M279" i="13" s="1"/>
  <c r="L275" i="13"/>
  <c r="M275" i="13" s="1"/>
  <c r="L271" i="13"/>
  <c r="M271" i="13" s="1"/>
  <c r="L263" i="13"/>
  <c r="M263" i="13" s="1"/>
  <c r="L255" i="13"/>
  <c r="M255" i="13" s="1"/>
  <c r="L247" i="13"/>
  <c r="M247" i="13" s="1"/>
  <c r="L239" i="13"/>
  <c r="M239" i="13" s="1"/>
  <c r="L231" i="13"/>
  <c r="M231" i="13" s="1"/>
  <c r="L223" i="13"/>
  <c r="M223" i="13" s="1"/>
  <c r="L207" i="13"/>
  <c r="M207" i="13" s="1"/>
  <c r="L203" i="13"/>
  <c r="M203" i="13" s="1"/>
  <c r="L199" i="13"/>
  <c r="M199" i="13" s="1"/>
  <c r="L191" i="13"/>
  <c r="M191" i="13" s="1"/>
  <c r="L187" i="13"/>
  <c r="M187" i="13" s="1"/>
  <c r="L183" i="13"/>
  <c r="M183" i="13" s="1"/>
  <c r="L164" i="13"/>
  <c r="M164"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0" i="13"/>
  <c r="M30" i="13" s="1"/>
  <c r="L26" i="13"/>
  <c r="M26" i="13" s="1"/>
  <c r="L22" i="13"/>
  <c r="M22" i="13" s="1"/>
  <c r="L18" i="13"/>
  <c r="M18" i="13" s="1"/>
  <c r="L10" i="13"/>
  <c r="M10" i="13" s="1"/>
  <c r="L7" i="13"/>
  <c r="M7" i="13" s="1"/>
  <c r="H325" i="19"/>
  <c r="I325" i="19"/>
  <c r="AE325" i="19"/>
  <c r="L211" i="13"/>
  <c r="M211" i="13" s="1"/>
  <c r="L85" i="13"/>
  <c r="M85" i="13" s="1"/>
  <c r="AR325" i="19"/>
  <c r="L318" i="13"/>
  <c r="M318" i="13" s="1"/>
  <c r="L310" i="13"/>
  <c r="M310" i="13" s="1"/>
  <c r="L302" i="13"/>
  <c r="M302" i="13" s="1"/>
  <c r="L294" i="13"/>
  <c r="M294" i="13" s="1"/>
  <c r="L286" i="13"/>
  <c r="M286" i="13" s="1"/>
  <c r="L282" i="13"/>
  <c r="M282" i="13" s="1"/>
  <c r="L274" i="13"/>
  <c r="M274" i="13" s="1"/>
  <c r="L266" i="13"/>
  <c r="M266" i="13" s="1"/>
  <c r="L258" i="13"/>
  <c r="M258" i="13" s="1"/>
  <c r="L250" i="13"/>
  <c r="M250" i="13" s="1"/>
  <c r="L242" i="13"/>
  <c r="M242" i="13" s="1"/>
  <c r="L234" i="13"/>
  <c r="M234" i="13" s="1"/>
  <c r="L226" i="13"/>
  <c r="M226" i="13" s="1"/>
  <c r="L214" i="13"/>
  <c r="M214" i="13" s="1"/>
  <c r="L202" i="13"/>
  <c r="M202" i="13" s="1"/>
  <c r="L194" i="13"/>
  <c r="M194" i="13" s="1"/>
  <c r="L186" i="13"/>
  <c r="M186" i="13" s="1"/>
  <c r="L182" i="13"/>
  <c r="M182" i="13" s="1"/>
  <c r="L166" i="13"/>
  <c r="M166"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29" i="13"/>
  <c r="M29" i="13" s="1"/>
  <c r="L21" i="13"/>
  <c r="M21" i="13" s="1"/>
  <c r="L9" i="13"/>
  <c r="M9" i="13" s="1"/>
  <c r="D325" i="19"/>
  <c r="H150" i="49"/>
  <c r="H19" i="49"/>
  <c r="I19" i="49" s="1"/>
  <c r="L325" i="19"/>
  <c r="AC325" i="19"/>
  <c r="L206" i="13"/>
  <c r="M206" i="13" s="1"/>
  <c r="L218" i="13"/>
  <c r="M218" i="13" s="1"/>
  <c r="L93" i="13"/>
  <c r="M93" i="13" s="1"/>
  <c r="L141" i="13"/>
  <c r="M141" i="13" s="1"/>
  <c r="L77" i="13"/>
  <c r="M77" i="13" s="1"/>
  <c r="L74" i="13"/>
  <c r="M74" i="13" s="1"/>
  <c r="L14" i="13"/>
  <c r="M14" i="13" s="1"/>
  <c r="AL325" i="19"/>
  <c r="AM325" i="19"/>
  <c r="AG325" i="19"/>
  <c r="AN325" i="19"/>
  <c r="AF325" i="19"/>
  <c r="L315" i="13"/>
  <c r="M315" i="13" s="1"/>
  <c r="L303" i="13"/>
  <c r="M303" i="13" s="1"/>
  <c r="L287" i="13"/>
  <c r="M287" i="13" s="1"/>
  <c r="L259" i="13"/>
  <c r="M259" i="13" s="1"/>
  <c r="L243" i="13"/>
  <c r="M243" i="13" s="1"/>
  <c r="L219" i="13"/>
  <c r="M219" i="13" s="1"/>
  <c r="L215" i="13"/>
  <c r="M215" i="13" s="1"/>
  <c r="L195" i="13"/>
  <c r="M195" i="13" s="1"/>
  <c r="L117" i="13"/>
  <c r="M117" i="13" s="1"/>
  <c r="AD325" i="19"/>
  <c r="W325" i="19"/>
  <c r="X325" i="19"/>
  <c r="L322" i="13"/>
  <c r="M322" i="13" s="1"/>
  <c r="L314" i="13"/>
  <c r="M314" i="13" s="1"/>
  <c r="L306" i="13"/>
  <c r="M306" i="13" s="1"/>
  <c r="L298" i="13"/>
  <c r="M298" i="13" s="1"/>
  <c r="L290" i="13"/>
  <c r="M290" i="13" s="1"/>
  <c r="L270" i="13"/>
  <c r="M270" i="13" s="1"/>
  <c r="L262" i="13"/>
  <c r="M262" i="13" s="1"/>
  <c r="L254" i="13"/>
  <c r="M254" i="13" s="1"/>
  <c r="L246" i="13"/>
  <c r="M246" i="13" s="1"/>
  <c r="L238" i="13"/>
  <c r="M238" i="13" s="1"/>
  <c r="L230" i="13"/>
  <c r="M230" i="13" s="1"/>
  <c r="L222" i="13"/>
  <c r="M222" i="13" s="1"/>
  <c r="L210" i="13"/>
  <c r="M210" i="13" s="1"/>
  <c r="L198" i="13"/>
  <c r="M198" i="13" s="1"/>
  <c r="L190" i="13"/>
  <c r="M190"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5" i="13"/>
  <c r="M25" i="13" s="1"/>
  <c r="L267" i="13"/>
  <c r="M267" i="13" s="1"/>
  <c r="L170" i="13"/>
  <c r="M170" i="13" s="1"/>
  <c r="L80" i="13"/>
  <c r="M80" i="13" s="1"/>
  <c r="L17" i="13"/>
  <c r="M17" i="13" s="1"/>
  <c r="L140" i="13"/>
  <c r="M140" i="13" s="1"/>
  <c r="L159" i="13"/>
  <c r="M159" i="13" s="1"/>
  <c r="L178" i="13"/>
  <c r="M178" i="13" s="1"/>
  <c r="L147" i="13"/>
  <c r="M147" i="13" s="1"/>
  <c r="G7" i="19"/>
  <c r="R7" i="19" s="1"/>
  <c r="H107" i="49"/>
  <c r="I107" i="49" s="1"/>
  <c r="H55" i="49"/>
  <c r="I55" i="49" s="1"/>
  <c r="H8" i="49"/>
  <c r="I8" i="49" s="1"/>
  <c r="H106" i="49"/>
  <c r="H244" i="49"/>
  <c r="I244" i="49" s="1"/>
  <c r="H130" i="49"/>
  <c r="I130" i="49" s="1"/>
  <c r="H176" i="49"/>
  <c r="H39" i="49"/>
  <c r="I39" i="49" s="1"/>
  <c r="H296" i="49"/>
  <c r="I296" i="49" s="1"/>
  <c r="H212" i="49"/>
  <c r="H196" i="49"/>
  <c r="H143" i="49"/>
  <c r="I143" i="49" s="1"/>
  <c r="H59" i="49"/>
  <c r="H47" i="49"/>
  <c r="I47" i="49" s="1"/>
  <c r="H304" i="49"/>
  <c r="I304" i="49" s="1"/>
  <c r="H237" i="49"/>
  <c r="H236" i="49"/>
  <c r="H232" i="49"/>
  <c r="I232" i="49" s="1"/>
  <c r="H211" i="49"/>
  <c r="I211" i="49" s="1"/>
  <c r="H163" i="49"/>
  <c r="H126" i="49"/>
  <c r="H114" i="49"/>
  <c r="H90" i="49"/>
  <c r="I90" i="49" s="1"/>
  <c r="H87" i="49"/>
  <c r="I87" i="49" s="1"/>
  <c r="H80" i="49"/>
  <c r="I80" i="49" s="1"/>
  <c r="H72" i="49"/>
  <c r="H68" i="49"/>
  <c r="H63" i="49"/>
  <c r="I63" i="49" s="1"/>
  <c r="H36" i="49"/>
  <c r="I36" i="49" s="1"/>
  <c r="H28" i="49"/>
  <c r="I28" i="49" s="1"/>
  <c r="H13" i="49"/>
  <c r="H11" i="49"/>
  <c r="I11" i="49" s="1"/>
  <c r="H67" i="49"/>
  <c r="I67" i="49" s="1"/>
  <c r="H274" i="49"/>
  <c r="I274" i="49" s="1"/>
  <c r="H249" i="49"/>
  <c r="H181" i="49"/>
  <c r="H180" i="49"/>
  <c r="H125" i="49"/>
  <c r="I125" i="49" s="1"/>
  <c r="H95" i="49"/>
  <c r="I95" i="49" s="1"/>
  <c r="H85" i="49"/>
  <c r="I85" i="49" s="1"/>
  <c r="H84" i="49"/>
  <c r="I84" i="49" s="1"/>
  <c r="H83" i="49"/>
  <c r="I83" i="49" s="1"/>
  <c r="H79" i="49"/>
  <c r="I79" i="49" s="1"/>
  <c r="H75" i="49"/>
  <c r="I75" i="49" s="1"/>
  <c r="H71" i="49"/>
  <c r="I71" i="49" s="1"/>
  <c r="H56" i="49"/>
  <c r="H52" i="49"/>
  <c r="H51" i="49"/>
  <c r="H31" i="49"/>
  <c r="I31" i="49" s="1"/>
  <c r="H14" i="49"/>
  <c r="H312" i="49"/>
  <c r="I312" i="49" s="1"/>
  <c r="H308" i="49"/>
  <c r="H297" i="49"/>
  <c r="I297" i="49" s="1"/>
  <c r="H281" i="49"/>
  <c r="H273" i="49"/>
  <c r="H256" i="49"/>
  <c r="H248" i="49"/>
  <c r="I248" i="49" s="1"/>
  <c r="H225" i="49"/>
  <c r="I225" i="49" s="1"/>
  <c r="H201" i="49"/>
  <c r="I201" i="49" s="1"/>
  <c r="H157" i="49"/>
  <c r="I157" i="49" s="1"/>
  <c r="H139" i="49"/>
  <c r="I139" i="49" s="1"/>
  <c r="H135" i="49"/>
  <c r="H60" i="49"/>
  <c r="I60" i="49" s="1"/>
  <c r="H48" i="49"/>
  <c r="H32" i="49"/>
  <c r="I32" i="49" s="1"/>
  <c r="H15" i="49"/>
  <c r="I15" i="49" s="1"/>
  <c r="H288" i="49"/>
  <c r="H284" i="49"/>
  <c r="I284" i="49" s="1"/>
  <c r="H267" i="49"/>
  <c r="H242" i="49"/>
  <c r="H229" i="49"/>
  <c r="H188" i="49"/>
  <c r="I188" i="49" s="1"/>
  <c r="H127" i="49"/>
  <c r="I127" i="49" s="1"/>
  <c r="H123" i="49"/>
  <c r="I123" i="49" s="1"/>
  <c r="H119" i="49"/>
  <c r="I119" i="49" s="1"/>
  <c r="H115" i="49"/>
  <c r="I115" i="49" s="1"/>
  <c r="H103" i="49"/>
  <c r="I103" i="49" s="1"/>
  <c r="H91" i="49"/>
  <c r="I91" i="49" s="1"/>
  <c r="H77" i="49"/>
  <c r="H35" i="49"/>
  <c r="I35" i="49" s="1"/>
  <c r="H16" i="49"/>
  <c r="I16" i="49" s="1"/>
  <c r="B324" i="25"/>
  <c r="L6" i="13"/>
  <c r="M6" i="13" s="1"/>
  <c r="I93" i="36"/>
  <c r="I62" i="36"/>
  <c r="I320" i="36"/>
  <c r="I219" i="36"/>
  <c r="I277" i="36"/>
  <c r="H53" i="36"/>
  <c r="D8" i="36"/>
  <c r="H300" i="36"/>
  <c r="H29" i="36"/>
  <c r="I61" i="36"/>
  <c r="I120" i="36"/>
  <c r="I29" i="36"/>
  <c r="I203" i="36"/>
  <c r="I109" i="36"/>
  <c r="I267" i="36"/>
  <c r="I273" i="36"/>
  <c r="I195" i="36"/>
  <c r="I122" i="36"/>
  <c r="I156" i="36"/>
  <c r="I38" i="36"/>
  <c r="I302" i="36"/>
  <c r="I52" i="36"/>
  <c r="I15" i="36"/>
  <c r="I75" i="36"/>
  <c r="J170" i="36"/>
  <c r="J174" i="36"/>
  <c r="J178" i="36"/>
  <c r="J182" i="36"/>
  <c r="J186" i="36"/>
  <c r="J190" i="36"/>
  <c r="J194" i="36"/>
  <c r="J198" i="36"/>
  <c r="J202" i="36"/>
  <c r="J206" i="36"/>
  <c r="J210" i="36"/>
  <c r="J214" i="36"/>
  <c r="J218" i="36"/>
  <c r="J222" i="36"/>
  <c r="J226" i="36"/>
  <c r="J230" i="36"/>
  <c r="J234" i="36"/>
  <c r="J238" i="36"/>
  <c r="J242" i="36"/>
  <c r="J246" i="36"/>
  <c r="J250" i="36"/>
  <c r="J254" i="36"/>
  <c r="J258" i="36"/>
  <c r="J262" i="36"/>
  <c r="J266" i="36"/>
  <c r="J270" i="36"/>
  <c r="J171" i="36"/>
  <c r="J175" i="36"/>
  <c r="J179" i="36"/>
  <c r="J183" i="36"/>
  <c r="J187" i="36"/>
  <c r="J191" i="36"/>
  <c r="J195" i="36"/>
  <c r="J199" i="36"/>
  <c r="J203" i="36"/>
  <c r="J207" i="36"/>
  <c r="J211" i="36"/>
  <c r="J215" i="36"/>
  <c r="J219" i="36"/>
  <c r="J223" i="36"/>
  <c r="J227" i="36"/>
  <c r="J231" i="36"/>
  <c r="J235" i="36"/>
  <c r="J239" i="36"/>
  <c r="J243" i="36"/>
  <c r="J247" i="36"/>
  <c r="J251" i="36"/>
  <c r="J255" i="36"/>
  <c r="J259" i="36"/>
  <c r="J263" i="36"/>
  <c r="J267" i="36"/>
  <c r="J271" i="36"/>
  <c r="J172" i="36"/>
  <c r="J176" i="36"/>
  <c r="J180" i="36"/>
  <c r="J184" i="36"/>
  <c r="J188" i="36"/>
  <c r="J192" i="36"/>
  <c r="J196" i="36"/>
  <c r="J200" i="36"/>
  <c r="J204" i="36"/>
  <c r="J208" i="36"/>
  <c r="J212" i="36"/>
  <c r="J216" i="36"/>
  <c r="J220" i="36"/>
  <c r="J224" i="36"/>
  <c r="J228" i="36"/>
  <c r="J232" i="36"/>
  <c r="J236" i="36"/>
  <c r="J240" i="36"/>
  <c r="J244" i="36"/>
  <c r="J248" i="36"/>
  <c r="J252" i="36"/>
  <c r="J256" i="36"/>
  <c r="J260" i="36"/>
  <c r="J264" i="36"/>
  <c r="J268" i="36"/>
  <c r="J169" i="36"/>
  <c r="J173" i="36"/>
  <c r="J177" i="36"/>
  <c r="J181" i="36"/>
  <c r="J185" i="36"/>
  <c r="J189" i="36"/>
  <c r="J193" i="36"/>
  <c r="J197" i="36"/>
  <c r="J201" i="36"/>
  <c r="J205" i="36"/>
  <c r="J209" i="36"/>
  <c r="J213" i="36"/>
  <c r="J217" i="36"/>
  <c r="J221" i="36"/>
  <c r="J225" i="36"/>
  <c r="J229" i="36"/>
  <c r="J233" i="36"/>
  <c r="J237" i="36"/>
  <c r="J241" i="36"/>
  <c r="J245" i="36"/>
  <c r="J249" i="36"/>
  <c r="J253" i="36"/>
  <c r="J257" i="36"/>
  <c r="J261" i="36"/>
  <c r="J265" i="36"/>
  <c r="J274" i="36"/>
  <c r="J278" i="36"/>
  <c r="J282" i="36"/>
  <c r="J286" i="36"/>
  <c r="J290" i="36"/>
  <c r="J294" i="36"/>
  <c r="J298" i="36"/>
  <c r="J302" i="36"/>
  <c r="J306" i="36"/>
  <c r="J310" i="36"/>
  <c r="J314" i="36"/>
  <c r="J318" i="36"/>
  <c r="J322" i="36"/>
  <c r="J125" i="36"/>
  <c r="J129" i="36"/>
  <c r="J133" i="36"/>
  <c r="J137" i="36"/>
  <c r="J141" i="36"/>
  <c r="J145" i="36"/>
  <c r="J149" i="36"/>
  <c r="J153" i="36"/>
  <c r="J157" i="36"/>
  <c r="J161" i="36"/>
  <c r="J165" i="36"/>
  <c r="J124" i="36"/>
  <c r="J123" i="36"/>
  <c r="J12" i="36"/>
  <c r="J16" i="36"/>
  <c r="J20" i="36"/>
  <c r="J24" i="36"/>
  <c r="J28" i="36"/>
  <c r="J32" i="36"/>
  <c r="J36" i="36"/>
  <c r="J40" i="36"/>
  <c r="J44" i="36"/>
  <c r="J48" i="36"/>
  <c r="J52" i="36"/>
  <c r="J56" i="36"/>
  <c r="J60" i="36"/>
  <c r="J64" i="36"/>
  <c r="J68" i="36"/>
  <c r="J72" i="36"/>
  <c r="J76" i="36"/>
  <c r="J80" i="36"/>
  <c r="J84" i="36"/>
  <c r="J88" i="36"/>
  <c r="J92" i="36"/>
  <c r="J96" i="36"/>
  <c r="J100" i="36"/>
  <c r="J104" i="36"/>
  <c r="J108" i="36"/>
  <c r="J112" i="36"/>
  <c r="J116" i="36"/>
  <c r="J8" i="36"/>
  <c r="J269" i="36"/>
  <c r="J275" i="36"/>
  <c r="J279" i="36"/>
  <c r="J283" i="36"/>
  <c r="J287" i="36"/>
  <c r="J291" i="36"/>
  <c r="J295" i="36"/>
  <c r="J299" i="36"/>
  <c r="J303" i="36"/>
  <c r="J307" i="36"/>
  <c r="J311" i="36"/>
  <c r="J315" i="36"/>
  <c r="J319" i="36"/>
  <c r="J323" i="36"/>
  <c r="J126" i="36"/>
  <c r="J130" i="36"/>
  <c r="J134" i="36"/>
  <c r="J138" i="36"/>
  <c r="J142" i="36"/>
  <c r="J146" i="36"/>
  <c r="J150" i="36"/>
  <c r="J154" i="36"/>
  <c r="J158" i="36"/>
  <c r="J162" i="36"/>
  <c r="J166" i="36"/>
  <c r="J120" i="36"/>
  <c r="J9" i="36"/>
  <c r="J13" i="36"/>
  <c r="J17" i="36"/>
  <c r="J21" i="36"/>
  <c r="J25" i="36"/>
  <c r="J29" i="36"/>
  <c r="J33" i="36"/>
  <c r="J37" i="36"/>
  <c r="J41" i="36"/>
  <c r="J45" i="36"/>
  <c r="J49" i="36"/>
  <c r="J53" i="36"/>
  <c r="J57" i="36"/>
  <c r="J61" i="36"/>
  <c r="J65" i="36"/>
  <c r="J69" i="36"/>
  <c r="J73" i="36"/>
  <c r="J77" i="36"/>
  <c r="J81" i="36"/>
  <c r="J85" i="36"/>
  <c r="J89" i="36"/>
  <c r="J93" i="36"/>
  <c r="J97" i="36"/>
  <c r="J101" i="36"/>
  <c r="J105" i="36"/>
  <c r="J109" i="36"/>
  <c r="J113" i="36"/>
  <c r="J117" i="36"/>
  <c r="J272" i="36"/>
  <c r="J276" i="36"/>
  <c r="J280" i="36"/>
  <c r="J284" i="36"/>
  <c r="J288" i="36"/>
  <c r="J292" i="36"/>
  <c r="J296" i="36"/>
  <c r="J300" i="36"/>
  <c r="J304" i="36"/>
  <c r="J308" i="36"/>
  <c r="J312" i="36"/>
  <c r="J316" i="36"/>
  <c r="J320" i="36"/>
  <c r="J324" i="36"/>
  <c r="J127" i="36"/>
  <c r="J131" i="36"/>
  <c r="J135" i="36"/>
  <c r="J139" i="36"/>
  <c r="J143" i="36"/>
  <c r="J147" i="36"/>
  <c r="J151" i="36"/>
  <c r="J155" i="36"/>
  <c r="J159" i="36"/>
  <c r="J163" i="36"/>
  <c r="J167" i="36"/>
  <c r="J121" i="36"/>
  <c r="J10" i="36"/>
  <c r="J14" i="36"/>
  <c r="J18" i="36"/>
  <c r="J22" i="36"/>
  <c r="J26" i="36"/>
  <c r="J30" i="36"/>
  <c r="J34" i="36"/>
  <c r="J38" i="36"/>
  <c r="J42" i="36"/>
  <c r="J46" i="36"/>
  <c r="J50" i="36"/>
  <c r="J54" i="36"/>
  <c r="J58" i="36"/>
  <c r="J62" i="36"/>
  <c r="J66" i="36"/>
  <c r="J70" i="36"/>
  <c r="J74" i="36"/>
  <c r="J78" i="36"/>
  <c r="J82" i="36"/>
  <c r="J86" i="36"/>
  <c r="J90" i="36"/>
  <c r="J94" i="36"/>
  <c r="J98" i="36"/>
  <c r="J102" i="36"/>
  <c r="J106" i="36"/>
  <c r="J110" i="36"/>
  <c r="J114" i="36"/>
  <c r="J118" i="36"/>
  <c r="J273" i="36"/>
  <c r="J277" i="36"/>
  <c r="J281" i="36"/>
  <c r="J285" i="36"/>
  <c r="J289" i="36"/>
  <c r="J293" i="36"/>
  <c r="J297" i="36"/>
  <c r="J301" i="36"/>
  <c r="J305" i="36"/>
  <c r="J309" i="36"/>
  <c r="J313" i="36"/>
  <c r="J317" i="36"/>
  <c r="J321" i="36"/>
  <c r="J325" i="36"/>
  <c r="J128" i="36"/>
  <c r="J132" i="36"/>
  <c r="J136" i="36"/>
  <c r="J140" i="36"/>
  <c r="J144" i="36"/>
  <c r="J148" i="36"/>
  <c r="J152" i="36"/>
  <c r="J156" i="36"/>
  <c r="J160" i="36"/>
  <c r="J164" i="36"/>
  <c r="J168" i="36"/>
  <c r="J122" i="36"/>
  <c r="J11" i="36"/>
  <c r="J15" i="36"/>
  <c r="J19" i="36"/>
  <c r="J23" i="36"/>
  <c r="J27" i="36"/>
  <c r="J31" i="36"/>
  <c r="J35" i="36"/>
  <c r="J39" i="36"/>
  <c r="J43" i="36"/>
  <c r="J47" i="36"/>
  <c r="J51" i="36"/>
  <c r="J55" i="36"/>
  <c r="J59" i="36"/>
  <c r="J63" i="36"/>
  <c r="J67" i="36"/>
  <c r="J71" i="36"/>
  <c r="J75" i="36"/>
  <c r="J79" i="36"/>
  <c r="J83" i="36"/>
  <c r="J87" i="36"/>
  <c r="J91" i="36"/>
  <c r="J95" i="36"/>
  <c r="J99" i="36"/>
  <c r="J103" i="36"/>
  <c r="J107" i="36"/>
  <c r="J111" i="36"/>
  <c r="J115" i="36"/>
  <c r="J119" i="36"/>
  <c r="M96" i="13"/>
  <c r="M325" i="42"/>
  <c r="G314" i="36"/>
  <c r="H314" i="36"/>
  <c r="G286" i="36"/>
  <c r="G255" i="36"/>
  <c r="H20" i="36"/>
  <c r="E306" i="36"/>
  <c r="F247" i="36"/>
  <c r="G315" i="36"/>
  <c r="G295" i="36"/>
  <c r="G174" i="36"/>
  <c r="G132" i="36"/>
  <c r="G104" i="36"/>
  <c r="G181" i="36"/>
  <c r="G182" i="36"/>
  <c r="G214" i="36"/>
  <c r="G98" i="36"/>
  <c r="G224" i="36"/>
  <c r="G110" i="36"/>
  <c r="G319" i="36"/>
  <c r="G75" i="36"/>
  <c r="G322" i="36"/>
  <c r="G37" i="36"/>
  <c r="G180" i="36"/>
  <c r="G227" i="36"/>
  <c r="G231" i="36"/>
  <c r="G51" i="36"/>
  <c r="G197" i="36"/>
  <c r="G109" i="36"/>
  <c r="G47" i="36"/>
  <c r="G270" i="36"/>
  <c r="G297" i="36"/>
  <c r="G18" i="36"/>
  <c r="G155" i="36"/>
  <c r="G204" i="36"/>
  <c r="G175" i="36"/>
  <c r="G268" i="36"/>
  <c r="G225" i="36"/>
  <c r="G93" i="36"/>
  <c r="G61" i="36"/>
  <c r="G130" i="36"/>
  <c r="G41" i="36"/>
  <c r="G70" i="36"/>
  <c r="G114" i="36"/>
  <c r="G30" i="36"/>
  <c r="G192" i="36"/>
  <c r="G280" i="36"/>
  <c r="G203" i="36"/>
  <c r="G186" i="36"/>
  <c r="G202" i="36"/>
  <c r="G230" i="36"/>
  <c r="G289" i="36"/>
  <c r="G149" i="36"/>
  <c r="G303" i="36"/>
  <c r="G257" i="36"/>
  <c r="G162" i="36"/>
  <c r="G269" i="36"/>
  <c r="G113" i="36"/>
  <c r="G287" i="36"/>
  <c r="F207" i="36"/>
  <c r="G158" i="36"/>
  <c r="G236" i="36"/>
  <c r="G167" i="36"/>
  <c r="G179" i="36"/>
  <c r="G163" i="36"/>
  <c r="G325" i="36"/>
  <c r="G94" i="36"/>
  <c r="G299" i="36"/>
  <c r="G161" i="36"/>
  <c r="G277" i="36"/>
  <c r="G62" i="36"/>
  <c r="G107" i="36"/>
  <c r="G15" i="36"/>
  <c r="G176" i="36"/>
  <c r="G266" i="36"/>
  <c r="G212" i="36"/>
  <c r="G252" i="36"/>
  <c r="G242" i="36"/>
  <c r="G27" i="36"/>
  <c r="G264" i="36"/>
  <c r="F283" i="36"/>
  <c r="F49" i="36"/>
  <c r="F98" i="36"/>
  <c r="F134" i="36"/>
  <c r="F23" i="36"/>
  <c r="F189" i="36"/>
  <c r="F206" i="36"/>
  <c r="F251" i="36"/>
  <c r="F213" i="36"/>
  <c r="F127" i="36"/>
  <c r="F295" i="36"/>
  <c r="F201" i="36"/>
  <c r="F269" i="36"/>
  <c r="F133" i="36"/>
  <c r="D193" i="36"/>
  <c r="G311" i="36"/>
  <c r="I311" i="36"/>
  <c r="H10" i="36"/>
  <c r="I10" i="36"/>
  <c r="G10" i="36"/>
  <c r="I318" i="36"/>
  <c r="G318" i="36"/>
  <c r="H11" i="36"/>
  <c r="I11" i="36"/>
  <c r="H251" i="36"/>
  <c r="I251" i="36"/>
  <c r="H229" i="36"/>
  <c r="I229" i="36"/>
  <c r="G249" i="36"/>
  <c r="H249" i="36"/>
  <c r="G305" i="36"/>
  <c r="I305" i="36"/>
  <c r="I257" i="36"/>
  <c r="I233" i="36"/>
  <c r="I107" i="36"/>
  <c r="I67" i="36"/>
  <c r="I105" i="36"/>
  <c r="I126" i="36"/>
  <c r="I255" i="36"/>
  <c r="I175" i="36"/>
  <c r="I18" i="36"/>
  <c r="I19" i="36"/>
  <c r="I218" i="36"/>
  <c r="I58" i="36"/>
  <c r="I163" i="36"/>
  <c r="I200" i="36"/>
  <c r="I78" i="36"/>
  <c r="I187" i="36"/>
  <c r="I225" i="36"/>
  <c r="I100" i="36"/>
  <c r="I112" i="36"/>
  <c r="I135" i="36"/>
  <c r="I147" i="36"/>
  <c r="I103" i="36"/>
  <c r="I322" i="36"/>
  <c r="I23" i="36"/>
  <c r="I265" i="36"/>
  <c r="I275" i="36"/>
  <c r="I191" i="36"/>
  <c r="I207" i="36"/>
  <c r="I98" i="36"/>
  <c r="I51" i="36"/>
  <c r="I87" i="36"/>
  <c r="I183" i="36"/>
  <c r="I248" i="36"/>
  <c r="I220" i="36"/>
  <c r="I192" i="36"/>
  <c r="I308" i="36"/>
  <c r="I162" i="36"/>
  <c r="I315" i="36"/>
  <c r="I319" i="36"/>
  <c r="I129" i="36"/>
  <c r="I59" i="36"/>
  <c r="I314" i="36"/>
  <c r="I179" i="36"/>
  <c r="I180" i="36"/>
  <c r="I82" i="36"/>
  <c r="I21" i="36"/>
  <c r="I134" i="36"/>
  <c r="I159" i="36"/>
  <c r="I306" i="36"/>
  <c r="I212" i="36"/>
  <c r="I125" i="36"/>
  <c r="I228" i="36"/>
  <c r="I307" i="36"/>
  <c r="I72" i="36"/>
  <c r="I184" i="36"/>
  <c r="I149" i="36"/>
  <c r="I174" i="36"/>
  <c r="G229" i="36"/>
  <c r="H127" i="36"/>
  <c r="I310" i="36"/>
  <c r="E238" i="36"/>
  <c r="I69" i="36"/>
  <c r="I34" i="36"/>
  <c r="H84" i="36"/>
  <c r="I224" i="36"/>
  <c r="H25" i="36"/>
  <c r="H39" i="36"/>
  <c r="H134" i="36"/>
  <c r="H164" i="36"/>
  <c r="H58" i="36"/>
  <c r="I136" i="36"/>
  <c r="H178" i="36"/>
  <c r="F288" i="36"/>
  <c r="F176" i="36"/>
  <c r="F143" i="36"/>
  <c r="F212" i="36"/>
  <c r="F36" i="36"/>
  <c r="F87" i="36"/>
  <c r="F257" i="36"/>
  <c r="F157" i="36"/>
  <c r="E320" i="36"/>
  <c r="H44" i="36"/>
  <c r="F211" i="36"/>
  <c r="E165" i="36"/>
  <c r="I26" i="36"/>
  <c r="I140" i="36"/>
  <c r="H83" i="36"/>
  <c r="F255" i="36"/>
  <c r="E199" i="36"/>
  <c r="H71" i="36"/>
  <c r="I14" i="36"/>
  <c r="I282" i="36"/>
  <c r="H223" i="36"/>
  <c r="I104" i="36"/>
  <c r="G273" i="36"/>
  <c r="F307" i="36"/>
  <c r="H228" i="36"/>
  <c r="H113" i="36"/>
  <c r="H167" i="36"/>
  <c r="H305" i="36"/>
  <c r="I287" i="36"/>
  <c r="I84" i="36"/>
  <c r="H143" i="36"/>
  <c r="H224" i="36"/>
  <c r="H32" i="36"/>
  <c r="H191" i="36"/>
  <c r="I259" i="36"/>
  <c r="I39" i="36"/>
  <c r="H159" i="36"/>
  <c r="H196" i="36"/>
  <c r="H301" i="36"/>
  <c r="F321" i="36"/>
  <c r="H176" i="36"/>
  <c r="H106" i="36"/>
  <c r="I148" i="36"/>
  <c r="H37" i="36"/>
  <c r="I272" i="36"/>
  <c r="I231" i="36"/>
  <c r="I288" i="36"/>
  <c r="I60" i="36"/>
  <c r="H230" i="36"/>
  <c r="H311" i="36"/>
  <c r="I16" i="36"/>
  <c r="I249" i="36"/>
  <c r="G52" i="36"/>
  <c r="E52" i="36"/>
  <c r="H52" i="36"/>
  <c r="G115" i="36"/>
  <c r="I115" i="36"/>
  <c r="H115" i="36"/>
  <c r="I264" i="36"/>
  <c r="H102" i="36"/>
  <c r="I102" i="36"/>
  <c r="G102" i="36"/>
  <c r="H274" i="36"/>
  <c r="H302" i="36"/>
  <c r="I321" i="36"/>
  <c r="I110" i="36"/>
  <c r="H144" i="36"/>
  <c r="I144" i="36"/>
  <c r="I173" i="36"/>
  <c r="G166" i="36"/>
  <c r="I166" i="36"/>
  <c r="G201" i="36"/>
  <c r="H201" i="36"/>
  <c r="I201" i="36"/>
  <c r="H137" i="36"/>
  <c r="I137" i="36"/>
  <c r="I169" i="36"/>
  <c r="H35" i="36"/>
  <c r="I150" i="36"/>
  <c r="D188" i="36"/>
  <c r="G188" i="36"/>
  <c r="G80" i="36"/>
  <c r="I80" i="36"/>
  <c r="I268" i="36"/>
  <c r="H268" i="36"/>
  <c r="G296" i="36"/>
  <c r="I296" i="36"/>
  <c r="G232" i="36"/>
  <c r="H232" i="36"/>
  <c r="G141" i="36"/>
  <c r="H141" i="36"/>
  <c r="I141" i="36"/>
  <c r="G222" i="36"/>
  <c r="I222" i="36"/>
  <c r="F222" i="36"/>
  <c r="I127" i="36"/>
  <c r="G127" i="36"/>
  <c r="I295" i="36"/>
  <c r="H295" i="36"/>
  <c r="H145" i="36"/>
  <c r="G145" i="36"/>
  <c r="G97" i="36"/>
  <c r="I97" i="36"/>
  <c r="F97" i="36"/>
  <c r="G57" i="36"/>
  <c r="H57" i="36"/>
  <c r="H33" i="36"/>
  <c r="I33" i="36"/>
  <c r="G33" i="36"/>
  <c r="H192" i="36"/>
  <c r="H107" i="36"/>
  <c r="H200" i="36"/>
  <c r="H162" i="36"/>
  <c r="H255" i="36"/>
  <c r="H47" i="36"/>
  <c r="H156" i="36"/>
  <c r="H104" i="36"/>
  <c r="H297" i="36"/>
  <c r="H220" i="36"/>
  <c r="H266" i="36"/>
  <c r="H248" i="36"/>
  <c r="H98" i="36"/>
  <c r="H61" i="36"/>
  <c r="H14" i="36"/>
  <c r="H100" i="36"/>
  <c r="H183" i="36"/>
  <c r="H126" i="36"/>
  <c r="H306" i="36"/>
  <c r="H225" i="36"/>
  <c r="H270" i="36"/>
  <c r="H56" i="36"/>
  <c r="H175" i="36"/>
  <c r="H189" i="36"/>
  <c r="H55" i="36"/>
  <c r="H237" i="36"/>
  <c r="H21" i="36"/>
  <c r="H79" i="36"/>
  <c r="H118" i="36"/>
  <c r="H319" i="36"/>
  <c r="H276" i="36"/>
  <c r="H158" i="36"/>
  <c r="H287" i="36"/>
  <c r="H147" i="36"/>
  <c r="H9" i="36"/>
  <c r="H269" i="36"/>
  <c r="H238" i="36"/>
  <c r="H17" i="36"/>
  <c r="H18" i="36"/>
  <c r="H205" i="36"/>
  <c r="H182" i="36"/>
  <c r="H212" i="36"/>
  <c r="H313" i="36"/>
  <c r="H112" i="36"/>
  <c r="H23" i="36"/>
  <c r="H275" i="36"/>
  <c r="H22" i="36"/>
  <c r="H109" i="36"/>
  <c r="H203" i="36"/>
  <c r="H36" i="36"/>
  <c r="H303" i="36"/>
  <c r="E272" i="36"/>
  <c r="E51" i="36"/>
  <c r="E143" i="36"/>
  <c r="E100" i="36"/>
  <c r="E176" i="36"/>
  <c r="E319" i="36"/>
  <c r="E276" i="36"/>
  <c r="E47" i="36"/>
  <c r="I178" i="36"/>
  <c r="I83" i="36"/>
  <c r="H219" i="36"/>
  <c r="I269" i="36"/>
  <c r="E203" i="36"/>
  <c r="I181" i="36"/>
  <c r="D243" i="36"/>
  <c r="H62" i="36"/>
  <c r="I32" i="36"/>
  <c r="I158" i="36"/>
  <c r="I196" i="36"/>
  <c r="I90" i="36"/>
  <c r="H148" i="36"/>
  <c r="H236" i="36"/>
  <c r="H231" i="36"/>
  <c r="H135" i="36"/>
  <c r="H51" i="36"/>
  <c r="H94" i="36"/>
  <c r="I210" i="36"/>
  <c r="I50" i="36"/>
  <c r="H195" i="36"/>
  <c r="I216" i="36"/>
  <c r="H320" i="36"/>
  <c r="F168" i="36"/>
  <c r="G168" i="36"/>
  <c r="I168" i="36"/>
  <c r="H168" i="36"/>
  <c r="I89" i="36"/>
  <c r="H89" i="36"/>
  <c r="G89" i="36"/>
  <c r="G53" i="36"/>
  <c r="I53" i="36"/>
  <c r="G29" i="36"/>
  <c r="I128" i="36"/>
  <c r="H128" i="36"/>
  <c r="I88" i="36"/>
  <c r="H142" i="36"/>
  <c r="H120" i="36"/>
  <c r="I139" i="36"/>
  <c r="H169" i="36"/>
  <c r="H296" i="36"/>
  <c r="F11" i="36"/>
  <c r="G34" i="36"/>
  <c r="H283" i="36"/>
  <c r="I71" i="36"/>
  <c r="I57" i="36"/>
  <c r="H68" i="36"/>
  <c r="H280" i="36"/>
  <c r="H72" i="36"/>
  <c r="G251" i="36"/>
  <c r="I223" i="36"/>
  <c r="H307" i="36"/>
  <c r="I113" i="36"/>
  <c r="E305" i="36"/>
  <c r="H244" i="36"/>
  <c r="H286" i="36"/>
  <c r="I214" i="36"/>
  <c r="D247" i="36"/>
  <c r="F314" i="36"/>
  <c r="I143" i="36"/>
  <c r="F318" i="36"/>
  <c r="I25" i="36"/>
  <c r="H259" i="36"/>
  <c r="I276" i="36"/>
  <c r="I176" i="36"/>
  <c r="E254" i="36"/>
  <c r="H82" i="36"/>
  <c r="I304" i="36"/>
  <c r="H180" i="36"/>
  <c r="H179" i="36"/>
  <c r="I76" i="36"/>
  <c r="I99" i="36"/>
  <c r="I20" i="36"/>
  <c r="H325" i="36"/>
  <c r="G11" i="36"/>
  <c r="H19" i="36"/>
  <c r="I266" i="36"/>
  <c r="G195" i="36"/>
  <c r="E116" i="36"/>
  <c r="F116" i="36"/>
  <c r="H15" i="36"/>
  <c r="H76" i="36"/>
  <c r="F76" i="36"/>
  <c r="H272" i="36"/>
  <c r="G84" i="36"/>
  <c r="H105" i="36"/>
  <c r="I73" i="36"/>
  <c r="F298" i="36"/>
  <c r="H298" i="36"/>
  <c r="F25" i="36"/>
  <c r="G25" i="36"/>
  <c r="H75" i="36"/>
  <c r="I199" i="36"/>
  <c r="G199" i="36"/>
  <c r="H199" i="36"/>
  <c r="G312" i="36"/>
  <c r="I312" i="36"/>
  <c r="H312" i="36"/>
  <c r="H285" i="36"/>
  <c r="I285" i="36"/>
  <c r="I170" i="36"/>
  <c r="G170" i="36"/>
  <c r="H258" i="36"/>
  <c r="G258" i="36"/>
  <c r="H108" i="36"/>
  <c r="H26" i="36"/>
  <c r="H247" i="36"/>
  <c r="H43" i="36"/>
  <c r="D120" i="36"/>
  <c r="I215" i="36"/>
  <c r="H243" i="36"/>
  <c r="I291" i="36"/>
  <c r="E291" i="36"/>
  <c r="F301" i="36"/>
  <c r="H90" i="36"/>
  <c r="I142" i="36"/>
  <c r="I31" i="36"/>
  <c r="H31" i="36"/>
  <c r="H46" i="36"/>
  <c r="F174" i="36"/>
  <c r="E92" i="36"/>
  <c r="H95" i="36"/>
  <c r="I167" i="36"/>
  <c r="I240" i="36"/>
  <c r="H253" i="36"/>
  <c r="G187" i="36"/>
  <c r="H187" i="36"/>
  <c r="H60" i="36"/>
  <c r="I45" i="36"/>
  <c r="H81" i="36"/>
  <c r="H136" i="36"/>
  <c r="G136" i="36"/>
  <c r="I278" i="36"/>
  <c r="H278" i="36"/>
  <c r="G278" i="36"/>
  <c r="I325" i="36"/>
  <c r="H59" i="36"/>
  <c r="G59" i="36"/>
  <c r="G205" i="36"/>
  <c r="I205" i="36"/>
  <c r="I55" i="36"/>
  <c r="G55" i="36"/>
  <c r="G78" i="36"/>
  <c r="H78" i="36"/>
  <c r="H129" i="36"/>
  <c r="H63" i="36"/>
  <c r="I236" i="36"/>
  <c r="I299" i="36"/>
  <c r="H299" i="36"/>
  <c r="H322" i="36"/>
  <c r="H239" i="36"/>
  <c r="G239" i="36"/>
  <c r="H161" i="36"/>
  <c r="I161" i="36"/>
  <c r="F132" i="36"/>
  <c r="I206" i="36"/>
  <c r="I238" i="36"/>
  <c r="I160" i="36"/>
  <c r="H99" i="36"/>
  <c r="I227" i="36"/>
  <c r="I64" i="36"/>
  <c r="G64" i="36"/>
  <c r="H64" i="36"/>
  <c r="I94" i="36"/>
  <c r="I9" i="36"/>
  <c r="I121" i="36"/>
  <c r="I48" i="36"/>
  <c r="H138" i="36"/>
  <c r="G138" i="36"/>
  <c r="F316" i="36"/>
  <c r="I96" i="36"/>
  <c r="H103" i="36"/>
  <c r="I204" i="36"/>
  <c r="I37" i="36"/>
  <c r="I286" i="36"/>
  <c r="I313" i="36"/>
  <c r="I133" i="36"/>
  <c r="F125" i="36"/>
  <c r="I244" i="36"/>
  <c r="I303" i="36"/>
  <c r="H87" i="36"/>
  <c r="H277" i="36"/>
  <c r="I297" i="36"/>
  <c r="H309" i="36"/>
  <c r="I280" i="36"/>
  <c r="H257" i="36"/>
  <c r="I290" i="36"/>
  <c r="G81" i="36"/>
  <c r="H24" i="36"/>
  <c r="I164" i="36"/>
  <c r="H77" i="36"/>
  <c r="F146" i="36"/>
  <c r="I237" i="36"/>
  <c r="I56" i="36"/>
  <c r="I270" i="36"/>
  <c r="I8" i="36"/>
  <c r="H16" i="36"/>
  <c r="F152" i="36"/>
  <c r="I182" i="36"/>
  <c r="F218" i="36"/>
  <c r="H254" i="36"/>
  <c r="I54" i="36"/>
  <c r="F183" i="36"/>
  <c r="I22" i="36"/>
  <c r="I42" i="36"/>
  <c r="I111" i="36"/>
  <c r="H279" i="36"/>
  <c r="I323" i="36"/>
  <c r="F131" i="36"/>
  <c r="E12" i="36"/>
  <c r="H265" i="36"/>
  <c r="H245" i="36"/>
  <c r="H65" i="36"/>
  <c r="H293" i="36"/>
  <c r="D11" i="36"/>
  <c r="G91" i="36"/>
  <c r="I91" i="36"/>
  <c r="D226" i="36"/>
  <c r="I226" i="36"/>
  <c r="G226" i="36"/>
  <c r="G246" i="36"/>
  <c r="H246" i="36"/>
  <c r="I246" i="36"/>
  <c r="G308" i="36"/>
  <c r="H308" i="36"/>
  <c r="I101" i="36"/>
  <c r="G101" i="36"/>
  <c r="I40" i="36"/>
  <c r="G40" i="36"/>
  <c r="F165" i="36"/>
  <c r="D60" i="36"/>
  <c r="G68" i="36"/>
  <c r="I68" i="36"/>
  <c r="H282" i="36"/>
  <c r="D46" i="36"/>
  <c r="F242" i="36"/>
  <c r="H42" i="36"/>
  <c r="G65" i="36"/>
  <c r="H92" i="36"/>
  <c r="I77" i="36"/>
  <c r="H190" i="36"/>
  <c r="G237" i="36"/>
  <c r="H111" i="36"/>
  <c r="H304" i="36"/>
  <c r="G304" i="36"/>
  <c r="G121" i="36"/>
  <c r="H121" i="36"/>
  <c r="I261" i="36"/>
  <c r="H261" i="36"/>
  <c r="H323" i="36"/>
  <c r="G183" i="36"/>
  <c r="E190" i="36"/>
  <c r="D230" i="36"/>
  <c r="H174" i="36"/>
  <c r="E282" i="36"/>
  <c r="I46" i="36"/>
  <c r="G46" i="36"/>
  <c r="D36" i="36"/>
  <c r="H289" i="36"/>
  <c r="G72" i="36"/>
  <c r="E54" i="36"/>
  <c r="E170" i="36"/>
  <c r="I271" i="36"/>
  <c r="I298" i="36"/>
  <c r="E95" i="36"/>
  <c r="F96" i="36"/>
  <c r="I138" i="36"/>
  <c r="I243" i="36"/>
  <c r="I258" i="36"/>
  <c r="I188" i="36"/>
  <c r="G73" i="36"/>
  <c r="H240" i="36"/>
  <c r="G316" i="36"/>
  <c r="I108" i="36"/>
  <c r="G22" i="36"/>
  <c r="H110" i="36"/>
  <c r="I65" i="36"/>
  <c r="I254" i="36"/>
  <c r="H234" i="36"/>
  <c r="G92" i="36"/>
  <c r="H96" i="36"/>
  <c r="H160" i="36"/>
  <c r="G99" i="36"/>
  <c r="H130" i="36"/>
  <c r="I130" i="36"/>
  <c r="G310" i="36"/>
  <c r="I114" i="36"/>
  <c r="I190" i="36"/>
  <c r="H218" i="36"/>
  <c r="H210" i="36"/>
  <c r="G48" i="36"/>
  <c r="I27" i="36"/>
  <c r="I43" i="36"/>
  <c r="G169" i="36"/>
  <c r="I239" i="36"/>
  <c r="I242" i="36"/>
  <c r="G111" i="36"/>
  <c r="H27" i="36"/>
  <c r="G26" i="36"/>
  <c r="H149" i="36"/>
  <c r="G63" i="36"/>
  <c r="I63" i="36"/>
  <c r="H154" i="36"/>
  <c r="I154" i="36"/>
  <c r="D26" i="36"/>
  <c r="G282" i="36"/>
  <c r="H40" i="36"/>
  <c r="G165" i="36"/>
  <c r="H54" i="36"/>
  <c r="I95" i="36"/>
  <c r="H198" i="36"/>
  <c r="G265" i="36"/>
  <c r="I234" i="36"/>
  <c r="G56" i="36"/>
  <c r="H226" i="36"/>
  <c r="I198" i="36"/>
  <c r="H242" i="36"/>
  <c r="G54" i="36"/>
  <c r="H101" i="36"/>
  <c r="G321" i="36"/>
  <c r="H321" i="36"/>
  <c r="H173" i="36"/>
  <c r="G173" i="36"/>
  <c r="G292" i="36"/>
  <c r="G12" i="36"/>
  <c r="G323" i="36"/>
  <c r="I211" i="36"/>
  <c r="I44" i="36"/>
  <c r="F170" i="36"/>
  <c r="E70" i="36"/>
  <c r="G95" i="36"/>
  <c r="G96" i="36"/>
  <c r="G243" i="36"/>
  <c r="G240" i="36"/>
  <c r="F191" i="36"/>
  <c r="E292" i="36"/>
  <c r="D234" i="36"/>
  <c r="I92" i="36"/>
  <c r="H227" i="36"/>
  <c r="F167" i="36"/>
  <c r="H91" i="36"/>
  <c r="H114" i="36"/>
  <c r="H166" i="36"/>
  <c r="H170" i="36"/>
  <c r="H48" i="36"/>
  <c r="G43" i="36"/>
  <c r="G144" i="36"/>
  <c r="G218" i="36"/>
  <c r="D221" i="36"/>
  <c r="D213" i="36"/>
  <c r="G244" i="36"/>
  <c r="I230" i="36"/>
  <c r="H125" i="36"/>
  <c r="G142" i="36"/>
  <c r="H80" i="36"/>
  <c r="F299" i="36"/>
  <c r="G320" i="36"/>
  <c r="G208" i="36"/>
  <c r="H208" i="36"/>
  <c r="G284" i="36"/>
  <c r="H284" i="36"/>
  <c r="H260" i="36"/>
  <c r="E260" i="36"/>
  <c r="I260" i="36"/>
  <c r="F194" i="36"/>
  <c r="G194" i="36"/>
  <c r="H85" i="36"/>
  <c r="I85" i="36"/>
  <c r="G74" i="36"/>
  <c r="E74" i="36"/>
  <c r="E198" i="36"/>
  <c r="E136" i="36"/>
  <c r="E169" i="36"/>
  <c r="E321" i="36"/>
  <c r="E77" i="36"/>
  <c r="E163" i="36"/>
  <c r="E63" i="36"/>
  <c r="E109" i="36"/>
  <c r="E98" i="36"/>
  <c r="E150" i="36"/>
  <c r="E55" i="36"/>
  <c r="E114" i="36"/>
  <c r="E23" i="36"/>
  <c r="E148" i="36"/>
  <c r="E110" i="36"/>
  <c r="E39" i="36"/>
  <c r="E275" i="36"/>
  <c r="E318" i="36"/>
  <c r="E14" i="36"/>
  <c r="E220" i="36"/>
  <c r="E35" i="36"/>
  <c r="E20" i="36"/>
  <c r="E112" i="36"/>
  <c r="E224" i="36"/>
  <c r="E37" i="36"/>
  <c r="E322" i="36"/>
  <c r="E42" i="36"/>
  <c r="E295" i="36"/>
  <c r="E207" i="36"/>
  <c r="E127" i="36"/>
  <c r="E38" i="36"/>
  <c r="E68" i="36"/>
  <c r="I36" i="36"/>
  <c r="G238" i="36"/>
  <c r="I132" i="36"/>
  <c r="H194" i="36"/>
  <c r="E32" i="36"/>
  <c r="I208" i="36"/>
  <c r="E134" i="36"/>
  <c r="I24" i="36"/>
  <c r="E124" i="36"/>
  <c r="F294" i="36"/>
  <c r="H294" i="36"/>
  <c r="I151" i="36"/>
  <c r="G151" i="36"/>
  <c r="H151" i="36"/>
  <c r="F151" i="36"/>
  <c r="G177" i="36"/>
  <c r="I177" i="36"/>
  <c r="F159" i="36"/>
  <c r="G159" i="36"/>
  <c r="F263" i="36"/>
  <c r="I263" i="36"/>
  <c r="G263" i="36"/>
  <c r="H263" i="36"/>
  <c r="G217" i="36"/>
  <c r="H217" i="36"/>
  <c r="F13" i="36"/>
  <c r="I13" i="36"/>
  <c r="G13" i="36"/>
  <c r="H13" i="36"/>
  <c r="E13" i="36"/>
  <c r="G281" i="36"/>
  <c r="H281" i="36"/>
  <c r="I171" i="36"/>
  <c r="H171" i="36"/>
  <c r="G171" i="36"/>
  <c r="H235" i="36"/>
  <c r="E235" i="36"/>
  <c r="I235" i="36"/>
  <c r="G235" i="36"/>
  <c r="H131" i="36"/>
  <c r="G131" i="36"/>
  <c r="I131" i="36"/>
  <c r="H157" i="36"/>
  <c r="I157" i="36"/>
  <c r="H69" i="36"/>
  <c r="G69" i="36"/>
  <c r="D265" i="36"/>
  <c r="D314" i="36"/>
  <c r="D98" i="36"/>
  <c r="K98" i="36" s="1"/>
  <c r="D147" i="36"/>
  <c r="D321" i="36"/>
  <c r="K321" i="36" s="1"/>
  <c r="D196" i="36"/>
  <c r="D275" i="36"/>
  <c r="D207" i="36"/>
  <c r="D256" i="36"/>
  <c r="H256" i="36"/>
  <c r="I256" i="36"/>
  <c r="D211" i="36"/>
  <c r="E178" i="36"/>
  <c r="F229" i="36"/>
  <c r="I165" i="36"/>
  <c r="D183" i="36"/>
  <c r="D139" i="36"/>
  <c r="E186" i="36"/>
  <c r="F267" i="36"/>
  <c r="E133" i="36"/>
  <c r="F91" i="36"/>
  <c r="E233" i="36"/>
  <c r="H209" i="36"/>
  <c r="E255" i="36"/>
  <c r="E34" i="36"/>
  <c r="D38" i="36"/>
  <c r="E293" i="36"/>
  <c r="D310" i="36"/>
  <c r="I283" i="36"/>
  <c r="H41" i="36"/>
  <c r="E122" i="36"/>
  <c r="F68" i="36"/>
  <c r="D206" i="36"/>
  <c r="E36" i="36"/>
  <c r="F238" i="36"/>
  <c r="F46" i="36"/>
  <c r="E132" i="36"/>
  <c r="I309" i="36"/>
  <c r="D172" i="36"/>
  <c r="I289" i="36"/>
  <c r="H74" i="36"/>
  <c r="E257" i="36"/>
  <c r="D282" i="36"/>
  <c r="H165" i="36"/>
  <c r="F10" i="36"/>
  <c r="F154" i="36"/>
  <c r="G125" i="36"/>
  <c r="E274" i="36"/>
  <c r="F70" i="36"/>
  <c r="I12" i="36"/>
  <c r="F138" i="36"/>
  <c r="F305" i="36"/>
  <c r="F249" i="36"/>
  <c r="F250" i="36"/>
  <c r="D214" i="36"/>
  <c r="E180" i="36"/>
  <c r="F215" i="36"/>
  <c r="F79" i="36"/>
  <c r="E106" i="36"/>
  <c r="E131" i="36"/>
  <c r="E65" i="36"/>
  <c r="E265" i="36"/>
  <c r="E234" i="36"/>
  <c r="E222" i="36"/>
  <c r="E236" i="36"/>
  <c r="E82" i="36"/>
  <c r="F302" i="36"/>
  <c r="E147" i="36"/>
  <c r="G24" i="36"/>
  <c r="D288" i="36"/>
  <c r="F164" i="36"/>
  <c r="H119" i="36"/>
  <c r="H146" i="36"/>
  <c r="E177" i="36"/>
  <c r="E86" i="36"/>
  <c r="F290" i="36"/>
  <c r="E202" i="36"/>
  <c r="E59" i="36"/>
  <c r="I281" i="36"/>
  <c r="E101" i="36"/>
  <c r="F86" i="36"/>
  <c r="G86" i="36"/>
  <c r="I86" i="36"/>
  <c r="H86" i="36"/>
  <c r="H177" i="36"/>
  <c r="G309" i="36"/>
  <c r="I74" i="36"/>
  <c r="I194" i="36"/>
  <c r="I66" i="36"/>
  <c r="H66" i="36"/>
  <c r="E146" i="36"/>
  <c r="F237" i="36"/>
  <c r="G88" i="36"/>
  <c r="G85" i="36"/>
  <c r="H45" i="36"/>
  <c r="G45" i="36"/>
  <c r="F81" i="36"/>
  <c r="I81" i="36"/>
  <c r="G124" i="36"/>
  <c r="I124" i="36"/>
  <c r="F124" i="36"/>
  <c r="I274" i="36"/>
  <c r="G274" i="36"/>
  <c r="F274" i="36"/>
  <c r="D302" i="36"/>
  <c r="G302" i="36"/>
  <c r="E302" i="36"/>
  <c r="F47" i="36"/>
  <c r="I47" i="36"/>
  <c r="H193" i="36"/>
  <c r="I193" i="36"/>
  <c r="G193" i="36"/>
  <c r="H67" i="36"/>
  <c r="E67" i="36"/>
  <c r="G67" i="36"/>
  <c r="F118" i="36"/>
  <c r="E118" i="36"/>
  <c r="I118" i="36"/>
  <c r="I155" i="36"/>
  <c r="H155" i="36"/>
  <c r="G189" i="36"/>
  <c r="I189" i="36"/>
  <c r="E189" i="36"/>
  <c r="I197" i="36"/>
  <c r="H197" i="36"/>
  <c r="G184" i="36"/>
  <c r="H184" i="36"/>
  <c r="F228" i="36"/>
  <c r="F248" i="36"/>
  <c r="E248" i="36"/>
  <c r="H267" i="36"/>
  <c r="G267" i="36"/>
  <c r="E307" i="36"/>
  <c r="G260" i="36"/>
  <c r="F221" i="36"/>
  <c r="G221" i="36"/>
  <c r="I221" i="36"/>
  <c r="H221" i="36"/>
  <c r="G140" i="36"/>
  <c r="H140" i="36"/>
  <c r="E140" i="36"/>
  <c r="I250" i="36"/>
  <c r="G250" i="36"/>
  <c r="H250" i="36"/>
  <c r="D258" i="36"/>
  <c r="F258" i="36"/>
  <c r="G108" i="36"/>
  <c r="E108" i="36"/>
  <c r="I262" i="36"/>
  <c r="H262" i="36"/>
  <c r="G50" i="36"/>
  <c r="H50" i="36"/>
  <c r="H123" i="36"/>
  <c r="I123" i="36"/>
  <c r="G247" i="36"/>
  <c r="I247" i="36"/>
  <c r="G215" i="36"/>
  <c r="H215" i="36"/>
  <c r="E215" i="36"/>
  <c r="F209" i="36"/>
  <c r="I301" i="36"/>
  <c r="E301" i="36"/>
  <c r="G301" i="36"/>
  <c r="G90" i="36"/>
  <c r="E90" i="36"/>
  <c r="F90" i="36"/>
  <c r="E79" i="36"/>
  <c r="G79" i="36"/>
  <c r="I79" i="36"/>
  <c r="F292" i="36"/>
  <c r="I292" i="36"/>
  <c r="I316" i="36"/>
  <c r="H316" i="36"/>
  <c r="D316" i="36"/>
  <c r="E316" i="36"/>
  <c r="E296" i="36"/>
  <c r="E230" i="36"/>
  <c r="E310" i="36"/>
  <c r="E206" i="36"/>
  <c r="H132" i="36"/>
  <c r="E289" i="36"/>
  <c r="E87" i="36"/>
  <c r="E167" i="36"/>
  <c r="E249" i="36"/>
  <c r="E243" i="36"/>
  <c r="E188" i="36"/>
  <c r="E191" i="36"/>
  <c r="E158" i="36"/>
  <c r="E75" i="36"/>
  <c r="E99" i="36"/>
  <c r="E159" i="36"/>
  <c r="I116" i="36"/>
  <c r="H116" i="36"/>
  <c r="G28" i="36"/>
  <c r="I28" i="36"/>
  <c r="F117" i="36"/>
  <c r="E117" i="36"/>
  <c r="I117" i="36"/>
  <c r="G317" i="36"/>
  <c r="H317" i="36"/>
  <c r="I317" i="36"/>
  <c r="H185" i="36"/>
  <c r="G185" i="36"/>
  <c r="I185" i="36"/>
  <c r="H213" i="36"/>
  <c r="G213" i="36"/>
  <c r="E9" i="36"/>
  <c r="E279" i="36"/>
  <c r="I279" i="36"/>
  <c r="I241" i="36"/>
  <c r="H241" i="36"/>
  <c r="I49" i="36"/>
  <c r="H49" i="36"/>
  <c r="F320" i="36"/>
  <c r="F142" i="36"/>
  <c r="F55" i="36"/>
  <c r="F286" i="36"/>
  <c r="F78" i="36"/>
  <c r="F57" i="36"/>
  <c r="F137" i="36"/>
  <c r="F181" i="36"/>
  <c r="F158" i="36"/>
  <c r="F56" i="36"/>
  <c r="F94" i="36"/>
  <c r="F114" i="36"/>
  <c r="F186" i="36"/>
  <c r="F8" i="36"/>
  <c r="F163" i="36"/>
  <c r="F52" i="36"/>
  <c r="F240" i="36"/>
  <c r="F135" i="36"/>
  <c r="F236" i="36"/>
  <c r="F322" i="36"/>
  <c r="F234" i="36"/>
  <c r="F75" i="36"/>
  <c r="F65" i="36"/>
  <c r="F196" i="36"/>
  <c r="F39" i="36"/>
  <c r="F275" i="36"/>
  <c r="F32" i="36"/>
  <c r="F51" i="36"/>
  <c r="F277" i="36"/>
  <c r="F244" i="36"/>
  <c r="F150" i="36"/>
  <c r="F58" i="36"/>
  <c r="F100" i="36"/>
  <c r="F231" i="36"/>
  <c r="F82" i="36"/>
  <c r="F254" i="36"/>
  <c r="F148" i="36"/>
  <c r="F21" i="36"/>
  <c r="F265" i="36"/>
  <c r="F319" i="36"/>
  <c r="F276" i="36"/>
  <c r="F259" i="36"/>
  <c r="F180" i="36"/>
  <c r="F109" i="36"/>
  <c r="G44" i="36"/>
  <c r="F44" i="36"/>
  <c r="F12" i="36"/>
  <c r="H211" i="36"/>
  <c r="F178" i="36"/>
  <c r="E142" i="36"/>
  <c r="E229" i="36"/>
  <c r="F120" i="36"/>
  <c r="F19" i="36"/>
  <c r="D140" i="36"/>
  <c r="E267" i="36"/>
  <c r="F113" i="36"/>
  <c r="F296" i="36"/>
  <c r="F233" i="36"/>
  <c r="E209" i="36"/>
  <c r="E219" i="36"/>
  <c r="F219" i="36"/>
  <c r="E242" i="36"/>
  <c r="E283" i="36"/>
  <c r="F253" i="36"/>
  <c r="H206" i="36"/>
  <c r="G36" i="36"/>
  <c r="E174" i="36"/>
  <c r="F282" i="36"/>
  <c r="E46" i="36"/>
  <c r="I284" i="36"/>
  <c r="G241" i="36"/>
  <c r="F111" i="36"/>
  <c r="F289" i="36"/>
  <c r="H88" i="36"/>
  <c r="E72" i="36"/>
  <c r="E269" i="36"/>
  <c r="E251" i="36"/>
  <c r="E223" i="36"/>
  <c r="F104" i="36"/>
  <c r="D242" i="36"/>
  <c r="K242" i="36" s="1"/>
  <c r="F285" i="36"/>
  <c r="F273" i="36"/>
  <c r="D154" i="36"/>
  <c r="I70" i="36"/>
  <c r="D182" i="36"/>
  <c r="I213" i="36"/>
  <c r="E62" i="36"/>
  <c r="E76" i="36"/>
  <c r="E214" i="36"/>
  <c r="F279" i="36"/>
  <c r="F185" i="36"/>
  <c r="E314" i="36"/>
  <c r="F224" i="36"/>
  <c r="D159" i="36"/>
  <c r="K159" i="36" s="1"/>
  <c r="H124" i="36"/>
  <c r="E196" i="36"/>
  <c r="D301" i="36"/>
  <c r="D319" i="36"/>
  <c r="K319" i="36" s="1"/>
  <c r="H292" i="36"/>
  <c r="D65" i="36"/>
  <c r="K65" i="36" s="1"/>
  <c r="D75" i="36"/>
  <c r="E21" i="36"/>
  <c r="G254" i="36"/>
  <c r="E221" i="36"/>
  <c r="F37" i="36"/>
  <c r="F115" i="36"/>
  <c r="E115" i="36"/>
  <c r="F103" i="36"/>
  <c r="H28" i="36"/>
  <c r="F160" i="36"/>
  <c r="H117" i="36"/>
  <c r="H70" i="36"/>
  <c r="I41" i="36"/>
  <c r="D13" i="36"/>
  <c r="K13" i="36" s="1"/>
  <c r="F140" i="36"/>
  <c r="F310" i="36"/>
  <c r="I294" i="36"/>
  <c r="E287" i="36"/>
  <c r="F54" i="36"/>
  <c r="I217" i="36"/>
  <c r="E181" i="36"/>
  <c r="G288" i="36"/>
  <c r="H288" i="36"/>
  <c r="F106" i="36"/>
  <c r="I106" i="36"/>
  <c r="G106" i="36"/>
  <c r="I253" i="36"/>
  <c r="E253" i="36"/>
  <c r="G253" i="36"/>
  <c r="H73" i="36"/>
  <c r="E73" i="36"/>
  <c r="I153" i="36"/>
  <c r="H153" i="36"/>
  <c r="E298" i="36"/>
  <c r="I30" i="36"/>
  <c r="H30" i="36"/>
  <c r="I35" i="36"/>
  <c r="G35" i="36"/>
  <c r="G150" i="36"/>
  <c r="H150" i="36"/>
  <c r="F216" i="36"/>
  <c r="G216" i="36"/>
  <c r="H216" i="36"/>
  <c r="I232" i="36"/>
  <c r="F232" i="36"/>
  <c r="I252" i="36"/>
  <c r="H252" i="36"/>
  <c r="F252" i="36"/>
  <c r="I186" i="36"/>
  <c r="H186" i="36"/>
  <c r="H202" i="36"/>
  <c r="I202" i="36"/>
  <c r="G245" i="36"/>
  <c r="I245" i="36"/>
  <c r="D61" i="36"/>
  <c r="D137" i="36"/>
  <c r="E119" i="36"/>
  <c r="F17" i="36"/>
  <c r="I17" i="36"/>
  <c r="G17" i="36"/>
  <c r="H93" i="36"/>
  <c r="I300" i="36"/>
  <c r="G300" i="36"/>
  <c r="E264" i="36"/>
  <c r="G172" i="36"/>
  <c r="I172" i="36"/>
  <c r="E218" i="36"/>
  <c r="G122" i="36"/>
  <c r="D19" i="36"/>
  <c r="G233" i="36"/>
  <c r="D219" i="36"/>
  <c r="D295" i="36"/>
  <c r="K295" i="36" s="1"/>
  <c r="G156" i="36"/>
  <c r="D303" i="36"/>
  <c r="G206" i="36"/>
  <c r="D238" i="36"/>
  <c r="K238" i="36" s="1"/>
  <c r="D174" i="36"/>
  <c r="D320" i="36"/>
  <c r="K320" i="36" s="1"/>
  <c r="D201" i="36"/>
  <c r="D157" i="36"/>
  <c r="D289" i="36"/>
  <c r="D223" i="36"/>
  <c r="D70" i="36"/>
  <c r="D95" i="36"/>
  <c r="D12" i="36"/>
  <c r="D250" i="36"/>
  <c r="D62" i="36"/>
  <c r="D84" i="36"/>
  <c r="D21" i="36"/>
  <c r="D254" i="36"/>
  <c r="K254" i="36" s="1"/>
  <c r="D236" i="36"/>
  <c r="D261" i="36"/>
  <c r="D93" i="36"/>
  <c r="D228" i="36"/>
  <c r="D216" i="36"/>
  <c r="D257" i="36"/>
  <c r="K257" i="36" s="1"/>
  <c r="D194" i="36"/>
  <c r="D166" i="36"/>
  <c r="D44" i="36"/>
  <c r="D50" i="36"/>
  <c r="D104" i="36"/>
  <c r="D34" i="36"/>
  <c r="D146" i="36"/>
  <c r="D102" i="36"/>
  <c r="D124" i="36"/>
  <c r="D293" i="36"/>
  <c r="D144" i="36"/>
  <c r="D88" i="36"/>
  <c r="D209" i="36"/>
  <c r="D57" i="36"/>
  <c r="D40" i="36"/>
  <c r="D122" i="36"/>
  <c r="D308" i="36"/>
  <c r="D138" i="36"/>
  <c r="D33" i="36"/>
  <c r="D71" i="36"/>
  <c r="D298" i="36"/>
  <c r="D121" i="36"/>
  <c r="D233" i="36"/>
  <c r="D80" i="36"/>
  <c r="D294" i="36"/>
  <c r="D30" i="36"/>
  <c r="D312" i="36"/>
  <c r="D94" i="36"/>
  <c r="D281" i="36"/>
  <c r="D123" i="36"/>
  <c r="D126" i="36"/>
  <c r="D323" i="36"/>
  <c r="D195" i="36"/>
  <c r="D218" i="36"/>
  <c r="K218" i="36" s="1"/>
  <c r="D87" i="36"/>
  <c r="D141" i="36"/>
  <c r="D59" i="36"/>
  <c r="D205" i="36"/>
  <c r="D291" i="36"/>
  <c r="D290" i="36"/>
  <c r="D114" i="36"/>
  <c r="D266" i="36"/>
  <c r="D161" i="36"/>
  <c r="D48" i="36"/>
  <c r="D222" i="36"/>
  <c r="D186" i="36"/>
  <c r="K186" i="36" s="1"/>
  <c r="D200" i="36"/>
  <c r="D105" i="36"/>
  <c r="D25" i="36"/>
  <c r="D235" i="36"/>
  <c r="D251" i="36"/>
  <c r="D16" i="36"/>
  <c r="D9" i="36"/>
  <c r="D317" i="36"/>
  <c r="D311" i="36"/>
  <c r="D63" i="36"/>
  <c r="D191" i="36"/>
  <c r="D41" i="36"/>
  <c r="D189" i="36"/>
  <c r="D277" i="36"/>
  <c r="D246" i="36"/>
  <c r="D299" i="36"/>
  <c r="D45" i="36"/>
  <c r="D232" i="36"/>
  <c r="D150" i="36"/>
  <c r="D78" i="36"/>
  <c r="D300" i="36"/>
  <c r="D239" i="36"/>
  <c r="D171" i="36"/>
  <c r="D204" i="36"/>
  <c r="D255" i="36"/>
  <c r="D169" i="36"/>
  <c r="D297" i="36"/>
  <c r="D55" i="36"/>
  <c r="K55" i="36" s="1"/>
  <c r="D252" i="36"/>
  <c r="D109" i="36"/>
  <c r="K109" i="36" s="1"/>
  <c r="D274" i="36"/>
  <c r="D151" i="36"/>
  <c r="D136" i="36"/>
  <c r="D64" i="36"/>
  <c r="D163" i="36"/>
  <c r="D20" i="36"/>
  <c r="D99" i="36"/>
  <c r="D135" i="36"/>
  <c r="D116" i="36"/>
  <c r="D115" i="36"/>
  <c r="K115" i="36" s="1"/>
  <c r="D176" i="36"/>
  <c r="D305" i="36"/>
  <c r="K305" i="36" s="1"/>
  <c r="D133" i="36"/>
  <c r="D270" i="36"/>
  <c r="D271" i="36"/>
  <c r="D119" i="36"/>
  <c r="D86" i="36"/>
  <c r="D212" i="36"/>
  <c r="D67" i="36"/>
  <c r="D177" i="36"/>
  <c r="D77" i="36"/>
  <c r="D253" i="36"/>
  <c r="K253" i="36" s="1"/>
  <c r="D237" i="36"/>
  <c r="D51" i="36"/>
  <c r="K51" i="36" s="1"/>
  <c r="D52" i="36"/>
  <c r="D100" i="36"/>
  <c r="K100" i="36" s="1"/>
  <c r="D231" i="36"/>
  <c r="D272" i="36"/>
  <c r="D263" i="36"/>
  <c r="D56" i="36"/>
  <c r="D155" i="36"/>
  <c r="D130" i="36"/>
  <c r="D153" i="36"/>
  <c r="D160" i="36"/>
  <c r="D167" i="36"/>
  <c r="D27" i="36"/>
  <c r="D111" i="36"/>
  <c r="D241" i="36"/>
  <c r="D10" i="36"/>
  <c r="D203" i="36"/>
  <c r="D187" i="36"/>
  <c r="D307" i="36"/>
  <c r="K307" i="36" s="1"/>
  <c r="D129" i="36"/>
  <c r="D181" i="36"/>
  <c r="K181" i="36" s="1"/>
  <c r="D220" i="36"/>
  <c r="D66" i="36"/>
  <c r="D24" i="36"/>
  <c r="D179" i="36"/>
  <c r="D28" i="36"/>
  <c r="D103" i="36"/>
  <c r="D227" i="36"/>
  <c r="D278" i="36"/>
  <c r="D313" i="36"/>
  <c r="D91" i="36"/>
  <c r="D73" i="36"/>
  <c r="D37" i="36"/>
  <c r="K37" i="36" s="1"/>
  <c r="D23" i="36"/>
  <c r="D131" i="36"/>
  <c r="K131" i="36" s="1"/>
  <c r="D79" i="36"/>
  <c r="D118" i="36"/>
  <c r="K118" i="36" s="1"/>
  <c r="D215" i="36"/>
  <c r="D276" i="36"/>
  <c r="K276" i="36" s="1"/>
  <c r="D110" i="36"/>
  <c r="D39" i="36"/>
  <c r="K39" i="36" s="1"/>
  <c r="D158" i="36"/>
  <c r="D259" i="36"/>
  <c r="D22" i="36"/>
  <c r="D42" i="36"/>
  <c r="D127" i="36"/>
  <c r="D76" i="36"/>
  <c r="K76" i="36" s="1"/>
  <c r="D240" i="36"/>
  <c r="D286" i="36"/>
  <c r="D190" i="36"/>
  <c r="D249" i="36"/>
  <c r="K249" i="36" s="1"/>
  <c r="D152" i="36"/>
  <c r="D273" i="36"/>
  <c r="D170" i="36"/>
  <c r="D14" i="36"/>
  <c r="D107" i="36"/>
  <c r="D47" i="36"/>
  <c r="K47" i="36" s="1"/>
  <c r="D143" i="36"/>
  <c r="D244" i="36"/>
  <c r="D117" i="36"/>
  <c r="D58" i="36"/>
  <c r="D112" i="36"/>
  <c r="D32" i="36"/>
  <c r="K32" i="36" s="1"/>
  <c r="D92" i="36"/>
  <c r="D304" i="36"/>
  <c r="D148" i="36"/>
  <c r="D134" i="36"/>
  <c r="K134" i="36" s="1"/>
  <c r="D106" i="36"/>
  <c r="D180" i="36"/>
  <c r="K180" i="36" s="1"/>
  <c r="D224" i="36"/>
  <c r="D185" i="36"/>
  <c r="K185" i="36" s="1"/>
  <c r="D306" i="36"/>
  <c r="D108" i="36"/>
  <c r="D279" i="36"/>
  <c r="D287" i="36"/>
  <c r="D96" i="36"/>
  <c r="D113" i="36"/>
  <c r="D285" i="36"/>
  <c r="G16" i="36"/>
  <c r="G123" i="36"/>
  <c r="G139" i="36"/>
  <c r="G146" i="36"/>
  <c r="G293" i="36"/>
  <c r="G119" i="36"/>
  <c r="G290" i="36"/>
  <c r="G117" i="36"/>
  <c r="G261" i="36"/>
  <c r="G9" i="36"/>
  <c r="G116" i="36"/>
  <c r="G133" i="36"/>
  <c r="G291" i="36"/>
  <c r="G153" i="36"/>
  <c r="G285" i="36"/>
  <c r="G21" i="36"/>
  <c r="D142" i="36"/>
  <c r="K142" i="36" s="1"/>
  <c r="D315" i="36"/>
  <c r="D217" i="36"/>
  <c r="D83" i="36"/>
  <c r="D156" i="36"/>
  <c r="D199" i="36"/>
  <c r="D17" i="36"/>
  <c r="D248" i="36"/>
  <c r="D325" i="36"/>
  <c r="D68" i="36"/>
  <c r="D132" i="36"/>
  <c r="K132" i="36" s="1"/>
  <c r="D269" i="36"/>
  <c r="D165" i="36"/>
  <c r="K165" i="36" s="1"/>
  <c r="D54" i="36"/>
  <c r="D125" i="36"/>
  <c r="D198" i="36"/>
  <c r="G279" i="36"/>
  <c r="D318" i="36"/>
  <c r="D90" i="36"/>
  <c r="K90" i="36" s="1"/>
  <c r="D208" i="36"/>
  <c r="D292" i="36"/>
  <c r="K292" i="36" s="1"/>
  <c r="D322" i="36"/>
  <c r="D82" i="36"/>
  <c r="K82" i="36" s="1"/>
  <c r="D164" i="36"/>
  <c r="D197" i="36"/>
  <c r="D268" i="36"/>
  <c r="I146" i="36"/>
  <c r="I152" i="36"/>
  <c r="I293" i="36"/>
  <c r="I119" i="36"/>
  <c r="H122" i="36"/>
  <c r="H324" i="36"/>
  <c r="H290" i="36"/>
  <c r="H8" i="36"/>
  <c r="H152" i="36"/>
  <c r="F177" i="36"/>
  <c r="F69" i="36"/>
  <c r="F29" i="36"/>
  <c r="F89" i="36"/>
  <c r="F235" i="36"/>
  <c r="F225" i="36"/>
  <c r="F195" i="36"/>
  <c r="F241" i="36"/>
  <c r="F239" i="36"/>
  <c r="F122" i="36"/>
  <c r="F18" i="36"/>
  <c r="F26" i="36"/>
  <c r="F284" i="36"/>
  <c r="F260" i="36"/>
  <c r="F323" i="36"/>
  <c r="F145" i="36"/>
  <c r="F139" i="36"/>
  <c r="F199" i="36"/>
  <c r="F281" i="36"/>
  <c r="F315" i="36"/>
  <c r="F262" i="36"/>
  <c r="F107" i="36"/>
  <c r="F308" i="36"/>
  <c r="F197" i="36"/>
  <c r="F83" i="36"/>
  <c r="F41" i="36"/>
  <c r="F223" i="36"/>
  <c r="F243" i="36"/>
  <c r="F293" i="36"/>
  <c r="F43" i="36"/>
  <c r="F22" i="36"/>
  <c r="F34" i="36"/>
  <c r="F246" i="36"/>
  <c r="F35" i="36"/>
  <c r="F287" i="36"/>
  <c r="F45" i="36"/>
  <c r="F210" i="36"/>
  <c r="F182" i="36"/>
  <c r="F16" i="36"/>
  <c r="F230" i="36"/>
  <c r="F190" i="36"/>
  <c r="F149" i="36"/>
  <c r="F162" i="36"/>
  <c r="F126" i="36"/>
  <c r="F141" i="36"/>
  <c r="F38" i="36"/>
  <c r="F156" i="36"/>
  <c r="F42" i="36"/>
  <c r="F297" i="36"/>
  <c r="F312" i="36"/>
  <c r="F202" i="36"/>
  <c r="F220" i="36"/>
  <c r="F80" i="36"/>
  <c r="F9" i="36"/>
  <c r="F50" i="36"/>
  <c r="F161" i="36"/>
  <c r="F261" i="36"/>
  <c r="F198" i="36"/>
  <c r="F306" i="36"/>
  <c r="F205" i="36"/>
  <c r="F173" i="36"/>
  <c r="F266" i="36"/>
  <c r="F188" i="36"/>
  <c r="F317" i="36"/>
  <c r="F217" i="36"/>
  <c r="F67" i="36"/>
  <c r="F166" i="36"/>
  <c r="F77" i="36"/>
  <c r="F59" i="36"/>
  <c r="F155" i="36"/>
  <c r="F14" i="36"/>
  <c r="F110" i="36"/>
  <c r="F136" i="36"/>
  <c r="F278" i="36"/>
  <c r="F102" i="36"/>
  <c r="F61" i="36"/>
  <c r="F313" i="36"/>
  <c r="F60" i="36"/>
  <c r="F84" i="36"/>
  <c r="F119" i="36"/>
  <c r="F130" i="36"/>
  <c r="F204" i="36"/>
  <c r="F20" i="36"/>
  <c r="F28" i="36"/>
  <c r="F92" i="36"/>
  <c r="F304" i="36"/>
  <c r="F256" i="36"/>
  <c r="F74" i="36"/>
  <c r="F203" i="36"/>
  <c r="F193" i="36"/>
  <c r="F171" i="36"/>
  <c r="F63" i="36"/>
  <c r="F48" i="36"/>
  <c r="F93" i="36"/>
  <c r="F226" i="36"/>
  <c r="F30" i="36"/>
  <c r="F169" i="36"/>
  <c r="F62" i="36"/>
  <c r="F153" i="36"/>
  <c r="F270" i="36"/>
  <c r="F184" i="36"/>
  <c r="F144" i="36"/>
  <c r="F66" i="36"/>
  <c r="F64" i="36"/>
  <c r="F99" i="36"/>
  <c r="F24" i="36"/>
  <c r="F112" i="36"/>
  <c r="F179" i="36"/>
  <c r="F147" i="36"/>
  <c r="F95" i="36"/>
  <c r="F208" i="36"/>
  <c r="F227" i="36"/>
  <c r="F272" i="36"/>
  <c r="E44" i="36"/>
  <c r="E256" i="36"/>
  <c r="E245" i="36"/>
  <c r="E56" i="36"/>
  <c r="E88" i="36"/>
  <c r="E105" i="36"/>
  <c r="E324" i="36"/>
  <c r="E149" i="36"/>
  <c r="E308" i="36"/>
  <c r="E162" i="36"/>
  <c r="E128" i="36"/>
  <c r="E192" i="36"/>
  <c r="E303" i="36"/>
  <c r="E78" i="36"/>
  <c r="E156" i="36"/>
  <c r="E137" i="36"/>
  <c r="E212" i="36"/>
  <c r="E16" i="36"/>
  <c r="E247" i="36"/>
  <c r="E281" i="36"/>
  <c r="E141" i="36"/>
  <c r="E182" i="36"/>
  <c r="E53" i="36"/>
  <c r="E40" i="36"/>
  <c r="E145" i="36"/>
  <c r="E270" i="36"/>
  <c r="E300" i="36"/>
  <c r="E80" i="36"/>
  <c r="E15" i="36"/>
  <c r="E175" i="36"/>
  <c r="E228" i="36"/>
  <c r="E138" i="36"/>
  <c r="E94" i="36"/>
  <c r="E126" i="36"/>
  <c r="E262" i="36"/>
  <c r="E10" i="36"/>
  <c r="E123" i="36"/>
  <c r="E171" i="36"/>
  <c r="E226" i="36"/>
  <c r="E311" i="36"/>
  <c r="E11" i="36"/>
  <c r="E297" i="36"/>
  <c r="E246" i="36"/>
  <c r="E161" i="36"/>
  <c r="E313" i="36"/>
  <c r="E97" i="36"/>
  <c r="E69" i="36"/>
  <c r="E111" i="36"/>
  <c r="E49" i="36"/>
  <c r="E268" i="36"/>
  <c r="E225" i="36"/>
  <c r="K225" i="36" s="1"/>
  <c r="E31" i="36"/>
  <c r="E152" i="36"/>
  <c r="E107" i="36"/>
  <c r="E144" i="36"/>
  <c r="E205" i="36"/>
  <c r="E8" i="36"/>
  <c r="E139" i="36"/>
  <c r="E290" i="36"/>
  <c r="E50" i="36"/>
  <c r="E250" i="36"/>
  <c r="E266" i="36"/>
  <c r="E244" i="36"/>
  <c r="E19" i="36"/>
  <c r="E27" i="36"/>
  <c r="E154" i="36"/>
  <c r="E263" i="36"/>
  <c r="E271" i="36"/>
  <c r="E48" i="36"/>
  <c r="E93" i="36"/>
  <c r="E210" i="36"/>
  <c r="E277" i="36"/>
  <c r="E129" i="36"/>
  <c r="E26" i="36"/>
  <c r="E43" i="36"/>
  <c r="E66" i="36"/>
  <c r="E187" i="36"/>
  <c r="E261" i="36"/>
  <c r="E204" i="36"/>
  <c r="E113" i="36"/>
  <c r="E30" i="36"/>
  <c r="E25" i="36"/>
  <c r="E71" i="36"/>
  <c r="E325" i="36"/>
  <c r="E81" i="36"/>
  <c r="E102" i="36"/>
  <c r="E317" i="36"/>
  <c r="E193" i="36"/>
  <c r="E125" i="36"/>
  <c r="E91" i="36"/>
  <c r="E153" i="36"/>
  <c r="E164" i="36"/>
  <c r="E240" i="36"/>
  <c r="E160" i="36"/>
  <c r="E28" i="36"/>
  <c r="E231" i="36"/>
  <c r="E208" i="36"/>
  <c r="E304" i="36"/>
  <c r="E33" i="36"/>
  <c r="E280" i="36"/>
  <c r="E323" i="36"/>
  <c r="E22" i="36"/>
  <c r="E195" i="36"/>
  <c r="E241" i="36"/>
  <c r="E239" i="36"/>
  <c r="E155" i="36"/>
  <c r="E213" i="36"/>
  <c r="E60" i="36"/>
  <c r="E312" i="36"/>
  <c r="E252" i="36"/>
  <c r="E217" i="36"/>
  <c r="E259" i="36"/>
  <c r="E17" i="36"/>
  <c r="E216" i="36"/>
  <c r="E232" i="36"/>
  <c r="E299" i="36"/>
  <c r="E197" i="36"/>
  <c r="E41" i="36"/>
  <c r="E173" i="36"/>
  <c r="E64" i="36"/>
  <c r="E278" i="36"/>
  <c r="E45" i="36"/>
  <c r="E84" i="36"/>
  <c r="E237" i="36"/>
  <c r="E61" i="36"/>
  <c r="E130" i="36"/>
  <c r="E58" i="36"/>
  <c r="E288" i="36"/>
  <c r="E24" i="36"/>
  <c r="E135" i="36"/>
  <c r="E179" i="36"/>
  <c r="E103" i="36"/>
  <c r="E227" i="36"/>
  <c r="E96" i="36"/>
  <c r="E151" i="36"/>
  <c r="F311" i="36"/>
  <c r="D81" i="36"/>
  <c r="K81" i="36" s="1"/>
  <c r="E286" i="36"/>
  <c r="D210" i="36"/>
  <c r="K210" i="36" s="1"/>
  <c r="F73" i="36"/>
  <c r="D262" i="36"/>
  <c r="K262" i="36" s="1"/>
  <c r="F291" i="36"/>
  <c r="F268" i="36"/>
  <c r="F324" i="36"/>
  <c r="I324" i="36"/>
  <c r="I209" i="36"/>
  <c r="F300" i="36"/>
  <c r="F214" i="36"/>
  <c r="F172" i="36"/>
  <c r="F88" i="36"/>
  <c r="F40" i="36"/>
  <c r="F31" i="36"/>
  <c r="F108" i="36"/>
  <c r="F187" i="36"/>
  <c r="F105" i="36"/>
  <c r="F245" i="36"/>
  <c r="F72" i="36"/>
  <c r="F200" i="36"/>
  <c r="F303" i="36"/>
  <c r="F280" i="36"/>
  <c r="F192" i="36"/>
  <c r="F128" i="36"/>
  <c r="F264" i="36"/>
  <c r="F123" i="36"/>
  <c r="F85" i="36"/>
  <c r="F101" i="36"/>
  <c r="F53" i="36"/>
  <c r="F271" i="36"/>
  <c r="F33" i="36"/>
  <c r="F121" i="36"/>
  <c r="F309" i="36"/>
  <c r="F15" i="36"/>
  <c r="F71" i="36"/>
  <c r="F325" i="36"/>
  <c r="F175" i="36"/>
  <c r="D97" i="36"/>
  <c r="D128" i="36"/>
  <c r="D35" i="36"/>
  <c r="D245" i="36"/>
  <c r="K245" i="36" s="1"/>
  <c r="D229" i="36"/>
  <c r="D49" i="36"/>
  <c r="K49" i="36" s="1"/>
  <c r="D18" i="36"/>
  <c r="D145" i="36"/>
  <c r="K145" i="36" s="1"/>
  <c r="D264" i="36"/>
  <c r="D184" i="36"/>
  <c r="D149" i="36"/>
  <c r="D29" i="36"/>
  <c r="D43" i="36"/>
  <c r="D31" i="36"/>
  <c r="K31" i="36" s="1"/>
  <c r="D15" i="36"/>
  <c r="D162" i="36"/>
  <c r="K162" i="36" s="1"/>
  <c r="D192" i="36"/>
  <c r="D173" i="36"/>
  <c r="K173" i="36" s="1"/>
  <c r="D89" i="36"/>
  <c r="D168" i="36"/>
  <c r="D309" i="36"/>
  <c r="D280" i="36"/>
  <c r="K280" i="36" s="1"/>
  <c r="D324" i="36"/>
  <c r="D284" i="36"/>
  <c r="D260" i="36"/>
  <c r="D69" i="36"/>
  <c r="K69" i="36" s="1"/>
  <c r="D175" i="36"/>
  <c r="D85" i="36"/>
  <c r="D101" i="36"/>
  <c r="D74" i="36"/>
  <c r="K74" i="36" s="1"/>
  <c r="D72" i="36"/>
  <c r="D296" i="36"/>
  <c r="K296" i="36" s="1"/>
  <c r="D178" i="36"/>
  <c r="D267" i="36"/>
  <c r="K267" i="36" s="1"/>
  <c r="D283" i="36"/>
  <c r="G152" i="36"/>
  <c r="G8" i="36"/>
  <c r="G209" i="36"/>
  <c r="G137" i="36"/>
  <c r="G128" i="36"/>
  <c r="G324" i="36"/>
  <c r="G120" i="36"/>
  <c r="E89" i="36"/>
  <c r="E168" i="36"/>
  <c r="E309" i="36"/>
  <c r="E194" i="36"/>
  <c r="E284" i="36"/>
  <c r="E157" i="36"/>
  <c r="E184" i="36"/>
  <c r="E83" i="36"/>
  <c r="E183" i="36"/>
  <c r="E121" i="36"/>
  <c r="E200" i="36"/>
  <c r="E120" i="36"/>
  <c r="E29" i="36"/>
  <c r="E104" i="36"/>
  <c r="E18" i="36"/>
  <c r="E258" i="36"/>
  <c r="E285" i="36"/>
  <c r="E273" i="36"/>
  <c r="E172" i="36"/>
  <c r="E57" i="36"/>
  <c r="E211" i="36"/>
  <c r="E85" i="36"/>
  <c r="E315" i="36"/>
  <c r="E294" i="36"/>
  <c r="F129" i="36"/>
  <c r="E166" i="36"/>
  <c r="D202" i="36"/>
  <c r="E201" i="36"/>
  <c r="F27" i="36"/>
  <c r="D53" i="36"/>
  <c r="K53" i="36" s="1"/>
  <c r="H151" i="32"/>
  <c r="D157" i="9" s="1"/>
  <c r="H167" i="32"/>
  <c r="D173" i="9" s="1"/>
  <c r="H306" i="32"/>
  <c r="D312" i="9" s="1"/>
  <c r="H84" i="32"/>
  <c r="D90" i="9" s="1"/>
  <c r="H132" i="32"/>
  <c r="D138" i="9" s="1"/>
  <c r="H318" i="32"/>
  <c r="D324" i="9" s="1"/>
  <c r="H224" i="32"/>
  <c r="D230" i="9" s="1"/>
  <c r="H86" i="32"/>
  <c r="D92" i="9" s="1"/>
  <c r="H176" i="32"/>
  <c r="D182" i="9" s="1"/>
  <c r="H301" i="32"/>
  <c r="D307" i="9" s="1"/>
  <c r="H169" i="32"/>
  <c r="D175" i="9" s="1"/>
  <c r="H165" i="32"/>
  <c r="D171" i="9" s="1"/>
  <c r="G129" i="36"/>
  <c r="K202" i="36" l="1"/>
  <c r="K283" i="36"/>
  <c r="K178" i="36"/>
  <c r="K101" i="36"/>
  <c r="K229" i="36"/>
  <c r="K97" i="36"/>
  <c r="K322" i="36"/>
  <c r="K318" i="36"/>
  <c r="K54" i="36"/>
  <c r="K269" i="36"/>
  <c r="K68" i="36"/>
  <c r="K248" i="36"/>
  <c r="K224" i="36"/>
  <c r="K106" i="36"/>
  <c r="K148" i="36"/>
  <c r="K143" i="36"/>
  <c r="K170" i="36"/>
  <c r="K127" i="36"/>
  <c r="K158" i="36"/>
  <c r="K215" i="36"/>
  <c r="K79" i="36"/>
  <c r="K23" i="36"/>
  <c r="K167" i="36"/>
  <c r="K52" i="36"/>
  <c r="K86" i="36"/>
  <c r="K176" i="36"/>
  <c r="K163" i="36"/>
  <c r="K274" i="36"/>
  <c r="K255" i="36"/>
  <c r="K189" i="36"/>
  <c r="K191" i="36"/>
  <c r="K251" i="36"/>
  <c r="K222" i="36"/>
  <c r="K87" i="36"/>
  <c r="K124" i="36"/>
  <c r="K236" i="36"/>
  <c r="K12" i="36"/>
  <c r="K174" i="36"/>
  <c r="K284" i="36"/>
  <c r="K29" i="36"/>
  <c r="K184" i="36"/>
  <c r="K113" i="36"/>
  <c r="K287" i="36"/>
  <c r="K14" i="36"/>
  <c r="K140" i="36"/>
  <c r="K325" i="36"/>
  <c r="K265" i="36"/>
  <c r="K85" i="36"/>
  <c r="K168" i="36"/>
  <c r="K72" i="36"/>
  <c r="K175" i="36"/>
  <c r="K260" i="36"/>
  <c r="K324" i="36"/>
  <c r="K309" i="36"/>
  <c r="K89" i="36"/>
  <c r="K192" i="36"/>
  <c r="K15" i="36"/>
  <c r="K43" i="36"/>
  <c r="K149" i="36"/>
  <c r="K264" i="36"/>
  <c r="K18" i="36"/>
  <c r="K35" i="36"/>
  <c r="K128" i="36"/>
  <c r="K197" i="36"/>
  <c r="K125" i="36"/>
  <c r="K17" i="36"/>
  <c r="K156" i="36"/>
  <c r="K217" i="36"/>
  <c r="K108" i="36"/>
  <c r="K304" i="36"/>
  <c r="K58" i="36"/>
  <c r="K244" i="36"/>
  <c r="K273" i="36"/>
  <c r="K286" i="36"/>
  <c r="K42" i="36"/>
  <c r="K259" i="36"/>
  <c r="K91" i="36"/>
  <c r="K278" i="36"/>
  <c r="K103" i="36"/>
  <c r="K179" i="36"/>
  <c r="K66" i="36"/>
  <c r="K203" i="36"/>
  <c r="K241" i="36"/>
  <c r="K27" i="36"/>
  <c r="K160" i="36"/>
  <c r="K130" i="36"/>
  <c r="K56" i="36"/>
  <c r="K272" i="36"/>
  <c r="K177" i="36"/>
  <c r="K212" i="36"/>
  <c r="K119" i="36"/>
  <c r="K270" i="36"/>
  <c r="K135" i="36"/>
  <c r="K20" i="36"/>
  <c r="K64" i="36"/>
  <c r="K151" i="36"/>
  <c r="K169" i="36"/>
  <c r="K204" i="36"/>
  <c r="K239" i="36"/>
  <c r="K78" i="36"/>
  <c r="K232" i="36"/>
  <c r="K299" i="36"/>
  <c r="K277" i="36"/>
  <c r="K41" i="36"/>
  <c r="K63" i="36"/>
  <c r="K317" i="36"/>
  <c r="K16" i="36"/>
  <c r="K235" i="36"/>
  <c r="K105" i="36"/>
  <c r="K48" i="36"/>
  <c r="K266" i="36"/>
  <c r="K290" i="36"/>
  <c r="K205" i="36"/>
  <c r="K141" i="36"/>
  <c r="K323" i="36"/>
  <c r="K123" i="36"/>
  <c r="K94" i="36"/>
  <c r="K30" i="36"/>
  <c r="K80" i="36"/>
  <c r="K121" i="36"/>
  <c r="K71" i="36"/>
  <c r="K138" i="36"/>
  <c r="K122" i="36"/>
  <c r="K57" i="36"/>
  <c r="K88" i="36"/>
  <c r="K293" i="36"/>
  <c r="K102" i="36"/>
  <c r="K34" i="36"/>
  <c r="K50" i="36"/>
  <c r="K166" i="36"/>
  <c r="K228" i="36"/>
  <c r="K261" i="36"/>
  <c r="K84" i="36"/>
  <c r="K250" i="36"/>
  <c r="K95" i="36"/>
  <c r="K223" i="36"/>
  <c r="K157" i="36"/>
  <c r="K303" i="36"/>
  <c r="K137" i="36"/>
  <c r="K258" i="36"/>
  <c r="K302" i="36"/>
  <c r="K214" i="36"/>
  <c r="K282" i="36"/>
  <c r="K172" i="36"/>
  <c r="K206" i="36"/>
  <c r="K139" i="36"/>
  <c r="K256" i="36"/>
  <c r="K275" i="36"/>
  <c r="K221" i="36"/>
  <c r="K234" i="36"/>
  <c r="K26" i="36"/>
  <c r="K230" i="36"/>
  <c r="K46" i="36"/>
  <c r="K60" i="36"/>
  <c r="K11" i="36"/>
  <c r="K120" i="36"/>
  <c r="K243" i="36"/>
  <c r="K193" i="36"/>
  <c r="K268" i="36"/>
  <c r="K164" i="36"/>
  <c r="K208" i="36"/>
  <c r="K198" i="36"/>
  <c r="K199" i="36"/>
  <c r="K83" i="36"/>
  <c r="K315" i="36"/>
  <c r="K285" i="36"/>
  <c r="K96" i="36"/>
  <c r="K279" i="36"/>
  <c r="K306" i="36"/>
  <c r="K92" i="36"/>
  <c r="K112" i="36"/>
  <c r="K117" i="36"/>
  <c r="K107" i="36"/>
  <c r="K190" i="36"/>
  <c r="K240" i="36"/>
  <c r="K22" i="36"/>
  <c r="K110" i="36"/>
  <c r="K73" i="36"/>
  <c r="K313" i="36"/>
  <c r="K227" i="36"/>
  <c r="K28" i="36"/>
  <c r="K24" i="36"/>
  <c r="K220" i="36"/>
  <c r="K129" i="36"/>
  <c r="K187" i="36"/>
  <c r="K10" i="36"/>
  <c r="K111" i="36"/>
  <c r="K153" i="36"/>
  <c r="K155" i="36"/>
  <c r="K263" i="36"/>
  <c r="K231" i="36"/>
  <c r="K237" i="36"/>
  <c r="K77" i="36"/>
  <c r="K67" i="36"/>
  <c r="K271" i="36"/>
  <c r="K133" i="36"/>
  <c r="K116" i="36"/>
  <c r="K99" i="36"/>
  <c r="K136" i="36"/>
  <c r="K252" i="36"/>
  <c r="K297" i="36"/>
  <c r="K171" i="36"/>
  <c r="K300" i="36"/>
  <c r="K150" i="36"/>
  <c r="K45" i="36"/>
  <c r="K246" i="36"/>
  <c r="K311" i="36"/>
  <c r="K9" i="36"/>
  <c r="K25" i="36"/>
  <c r="K200" i="36"/>
  <c r="K161" i="36"/>
  <c r="K114" i="36"/>
  <c r="K291" i="36"/>
  <c r="K59" i="36"/>
  <c r="K195" i="36"/>
  <c r="K126" i="36"/>
  <c r="K281" i="36"/>
  <c r="K312" i="36"/>
  <c r="K294" i="36"/>
  <c r="K233" i="36"/>
  <c r="K298" i="36"/>
  <c r="K33" i="36"/>
  <c r="K308" i="36"/>
  <c r="K40" i="36"/>
  <c r="K209" i="36"/>
  <c r="K144" i="36"/>
  <c r="K146" i="36"/>
  <c r="K104" i="36"/>
  <c r="K44" i="36"/>
  <c r="K194" i="36"/>
  <c r="K216" i="36"/>
  <c r="K93" i="36"/>
  <c r="K21" i="36"/>
  <c r="K62" i="36"/>
  <c r="K70" i="36"/>
  <c r="K289" i="36"/>
  <c r="K201" i="36"/>
  <c r="K219" i="36"/>
  <c r="K19" i="36"/>
  <c r="K61" i="36"/>
  <c r="K75" i="36"/>
  <c r="K301" i="36"/>
  <c r="K182" i="36"/>
  <c r="K154" i="36"/>
  <c r="K316" i="36"/>
  <c r="K288" i="36"/>
  <c r="K310" i="36"/>
  <c r="K38" i="36"/>
  <c r="K183" i="36"/>
  <c r="K211" i="36"/>
  <c r="K207" i="36"/>
  <c r="K196" i="36"/>
  <c r="K147" i="36"/>
  <c r="K314" i="36"/>
  <c r="K213" i="36"/>
  <c r="K36" i="36"/>
  <c r="K226" i="36"/>
  <c r="K247" i="36"/>
  <c r="K188" i="36"/>
  <c r="K8" i="36"/>
  <c r="I48" i="49"/>
  <c r="I51" i="49"/>
  <c r="I163" i="49"/>
  <c r="I150" i="49"/>
  <c r="I288" i="49"/>
  <c r="I273" i="49"/>
  <c r="I52" i="49"/>
  <c r="I68" i="49"/>
  <c r="I196" i="49"/>
  <c r="I176" i="49"/>
  <c r="I166" i="49"/>
  <c r="I256" i="49"/>
  <c r="I308" i="49"/>
  <c r="I181" i="49"/>
  <c r="I237" i="49"/>
  <c r="I106" i="49"/>
  <c r="I249" i="49"/>
  <c r="I242" i="49"/>
  <c r="I135" i="49"/>
  <c r="I281" i="49"/>
  <c r="I14" i="49"/>
  <c r="I56" i="49"/>
  <c r="I72" i="49"/>
  <c r="I114" i="49"/>
  <c r="I212" i="49"/>
  <c r="I77" i="49"/>
  <c r="I229" i="49"/>
  <c r="I13" i="49"/>
  <c r="I267" i="49"/>
  <c r="I180" i="49"/>
  <c r="I126" i="49"/>
  <c r="I236" i="49"/>
  <c r="I59" i="49"/>
  <c r="H19" i="32"/>
  <c r="D25" i="9" s="1"/>
  <c r="E19" i="32"/>
  <c r="H241" i="32"/>
  <c r="D247" i="9" s="1"/>
  <c r="E241" i="32"/>
  <c r="H40" i="32"/>
  <c r="D46" i="9" s="1"/>
  <c r="E40" i="32"/>
  <c r="H258" i="32"/>
  <c r="D264" i="9" s="1"/>
  <c r="E258" i="32"/>
  <c r="H227" i="32"/>
  <c r="D233" i="9" s="1"/>
  <c r="E227" i="32"/>
  <c r="H13" i="32"/>
  <c r="D19" i="9" s="1"/>
  <c r="E13" i="32"/>
  <c r="H194" i="32"/>
  <c r="D200" i="9" s="1"/>
  <c r="E194" i="32"/>
  <c r="H249" i="32"/>
  <c r="D255" i="9" s="1"/>
  <c r="E249" i="32"/>
  <c r="H158" i="32"/>
  <c r="D164" i="9" s="1"/>
  <c r="E158" i="32"/>
  <c r="H190" i="32"/>
  <c r="D196" i="9" s="1"/>
  <c r="E190" i="32"/>
  <c r="H110" i="32"/>
  <c r="D116" i="9" s="1"/>
  <c r="E110" i="32"/>
  <c r="H18" i="32"/>
  <c r="D24" i="9" s="1"/>
  <c r="E18" i="32"/>
  <c r="H283" i="32"/>
  <c r="D289" i="9" s="1"/>
  <c r="E283" i="32"/>
  <c r="H231" i="32"/>
  <c r="D237" i="9" s="1"/>
  <c r="E231" i="32"/>
  <c r="H53" i="32"/>
  <c r="D59" i="9" s="1"/>
  <c r="E53" i="32"/>
  <c r="H198" i="32"/>
  <c r="D204" i="9" s="1"/>
  <c r="E198" i="32"/>
  <c r="H239" i="32"/>
  <c r="D245" i="9" s="1"/>
  <c r="E239" i="32"/>
  <c r="H270" i="32"/>
  <c r="D276" i="9" s="1"/>
  <c r="E270" i="32"/>
  <c r="H261" i="32"/>
  <c r="D267" i="9" s="1"/>
  <c r="E261" i="32"/>
  <c r="H71" i="32"/>
  <c r="D77" i="9" s="1"/>
  <c r="E71" i="32"/>
  <c r="H95" i="32"/>
  <c r="D101" i="9" s="1"/>
  <c r="E95" i="32"/>
  <c r="H43" i="32"/>
  <c r="D49" i="9" s="1"/>
  <c r="E43" i="32"/>
  <c r="H242" i="32"/>
  <c r="D248" i="9" s="1"/>
  <c r="E242" i="32"/>
  <c r="H174" i="32"/>
  <c r="D180" i="9" s="1"/>
  <c r="E174" i="32"/>
  <c r="H199" i="32"/>
  <c r="D205" i="9" s="1"/>
  <c r="E199" i="32"/>
  <c r="H245" i="32"/>
  <c r="D251" i="9" s="1"/>
  <c r="E245" i="32"/>
  <c r="H287" i="32"/>
  <c r="D293" i="9" s="1"/>
  <c r="E287" i="32"/>
  <c r="H102" i="32"/>
  <c r="D108" i="9" s="1"/>
  <c r="E102" i="32"/>
  <c r="H20" i="32"/>
  <c r="D26" i="9" s="1"/>
  <c r="E20" i="32"/>
  <c r="H136" i="32"/>
  <c r="D142" i="9" s="1"/>
  <c r="E136" i="32"/>
  <c r="H155" i="32"/>
  <c r="D161" i="9" s="1"/>
  <c r="E155" i="32"/>
  <c r="H312" i="32"/>
  <c r="D318" i="9" s="1"/>
  <c r="E312" i="32"/>
  <c r="H168" i="32"/>
  <c r="D174" i="9" s="1"/>
  <c r="E168" i="32"/>
  <c r="H162" i="32"/>
  <c r="D168" i="9" s="1"/>
  <c r="E162" i="32"/>
  <c r="H265" i="32"/>
  <c r="D271" i="9" s="1"/>
  <c r="E265" i="32"/>
  <c r="H304" i="32"/>
  <c r="D310" i="9" s="1"/>
  <c r="E304" i="32"/>
  <c r="H58" i="32"/>
  <c r="D64" i="9" s="1"/>
  <c r="E58" i="32"/>
  <c r="H55" i="32"/>
  <c r="D61" i="9" s="1"/>
  <c r="E55" i="32"/>
  <c r="H279" i="32"/>
  <c r="D285" i="9" s="1"/>
  <c r="E279" i="32"/>
  <c r="H52" i="32"/>
  <c r="D58" i="9" s="1"/>
  <c r="E52" i="32"/>
  <c r="H39" i="32"/>
  <c r="D45" i="9" s="1"/>
  <c r="E39" i="32"/>
  <c r="H311" i="32"/>
  <c r="D317" i="9" s="1"/>
  <c r="E311" i="32"/>
  <c r="H68" i="32"/>
  <c r="D74" i="9" s="1"/>
  <c r="E68" i="32"/>
  <c r="H24" i="32"/>
  <c r="D30" i="9" s="1"/>
  <c r="E24" i="32"/>
  <c r="H72" i="32"/>
  <c r="D78" i="9" s="1"/>
  <c r="E72" i="32"/>
  <c r="H320" i="32"/>
  <c r="D326" i="9" s="1"/>
  <c r="E320" i="32"/>
  <c r="H96" i="32"/>
  <c r="D102" i="9" s="1"/>
  <c r="E96" i="32"/>
  <c r="H26" i="32"/>
  <c r="D32" i="9" s="1"/>
  <c r="E26" i="32"/>
  <c r="H79" i="32"/>
  <c r="D85" i="9" s="1"/>
  <c r="E79" i="32"/>
  <c r="H278" i="32"/>
  <c r="D284" i="9" s="1"/>
  <c r="E278" i="32"/>
  <c r="H80" i="32"/>
  <c r="D86" i="9" s="1"/>
  <c r="E80" i="32"/>
  <c r="H126" i="32"/>
  <c r="D132" i="9" s="1"/>
  <c r="E126" i="32"/>
  <c r="H131" i="32"/>
  <c r="D137" i="9" s="1"/>
  <c r="E131" i="32"/>
  <c r="H181" i="32"/>
  <c r="D187" i="9" s="1"/>
  <c r="E181" i="32"/>
  <c r="H159" i="32"/>
  <c r="D165" i="9" s="1"/>
  <c r="E159" i="32"/>
  <c r="H104" i="32"/>
  <c r="D110" i="9" s="1"/>
  <c r="E104" i="32"/>
  <c r="H315" i="32"/>
  <c r="D321" i="9" s="1"/>
  <c r="E315" i="32"/>
  <c r="H273" i="32"/>
  <c r="D279" i="9" s="1"/>
  <c r="E273" i="32"/>
  <c r="H291" i="32"/>
  <c r="D297" i="9" s="1"/>
  <c r="E291" i="32"/>
  <c r="H222" i="32"/>
  <c r="D228" i="9" s="1"/>
  <c r="E222" i="32"/>
  <c r="H223" i="32"/>
  <c r="D229" i="9" s="1"/>
  <c r="E223" i="32"/>
  <c r="H83" i="32"/>
  <c r="D89" i="9" s="1"/>
  <c r="E83" i="32"/>
  <c r="H101" i="32"/>
  <c r="D107" i="9" s="1"/>
  <c r="E101" i="32"/>
  <c r="H213" i="32"/>
  <c r="D219" i="9" s="1"/>
  <c r="E213" i="32"/>
  <c r="H298" i="32"/>
  <c r="D304" i="9" s="1"/>
  <c r="E298" i="32"/>
  <c r="H214" i="32"/>
  <c r="D220" i="9" s="1"/>
  <c r="E214" i="32"/>
  <c r="H202" i="32"/>
  <c r="D208" i="9" s="1"/>
  <c r="E202" i="32"/>
  <c r="H164" i="32"/>
  <c r="D170" i="9" s="1"/>
  <c r="E164" i="32"/>
  <c r="H319" i="32"/>
  <c r="D325" i="9" s="1"/>
  <c r="H313" i="32"/>
  <c r="D319" i="9" s="1"/>
  <c r="H310" i="32"/>
  <c r="D316" i="9" s="1"/>
  <c r="X325" i="42"/>
  <c r="H294" i="32"/>
  <c r="D300" i="9" s="1"/>
  <c r="H21" i="49"/>
  <c r="I21" i="49" s="1"/>
  <c r="H170" i="32"/>
  <c r="D176" i="9" s="1"/>
  <c r="H257" i="32"/>
  <c r="D263" i="9" s="1"/>
  <c r="H125" i="32"/>
  <c r="D131" i="9" s="1"/>
  <c r="E15" i="48"/>
  <c r="F200" i="34"/>
  <c r="F237" i="34"/>
  <c r="F31" i="34"/>
  <c r="F210" i="34"/>
  <c r="F291" i="34"/>
  <c r="H259" i="32"/>
  <c r="D265" i="9" s="1"/>
  <c r="H149" i="32"/>
  <c r="D155" i="9" s="1"/>
  <c r="H67" i="32"/>
  <c r="D73" i="9" s="1"/>
  <c r="H137" i="32"/>
  <c r="D143" i="9" s="1"/>
  <c r="H141" i="32"/>
  <c r="D147" i="9" s="1"/>
  <c r="H12" i="49"/>
  <c r="I12" i="49" s="1"/>
  <c r="H54" i="49"/>
  <c r="I54" i="49" s="1"/>
  <c r="H111" i="49"/>
  <c r="I111" i="49" s="1"/>
  <c r="H233" i="49"/>
  <c r="I233" i="49" s="1"/>
  <c r="H292" i="49"/>
  <c r="I292" i="49" s="1"/>
  <c r="H98" i="49"/>
  <c r="I98" i="49" s="1"/>
  <c r="H128" i="49"/>
  <c r="I128" i="49" s="1"/>
  <c r="H148" i="49"/>
  <c r="I148" i="49" s="1"/>
  <c r="H174" i="49"/>
  <c r="I174" i="49" s="1"/>
  <c r="H197" i="49"/>
  <c r="I197" i="49" s="1"/>
  <c r="H213" i="49"/>
  <c r="I213" i="49" s="1"/>
  <c r="H226" i="49"/>
  <c r="I226" i="49" s="1"/>
  <c r="H260" i="49"/>
  <c r="I260" i="49" s="1"/>
  <c r="H289" i="49"/>
  <c r="I289" i="49" s="1"/>
  <c r="H306" i="49"/>
  <c r="I306" i="49" s="1"/>
  <c r="H30" i="49"/>
  <c r="I30" i="49" s="1"/>
  <c r="H62" i="49"/>
  <c r="I62" i="49" s="1"/>
  <c r="H86" i="49"/>
  <c r="I86" i="49" s="1"/>
  <c r="H109" i="49"/>
  <c r="I109" i="49" s="1"/>
  <c r="H136" i="49"/>
  <c r="I136" i="49" s="1"/>
  <c r="H154" i="49"/>
  <c r="I154" i="49" s="1"/>
  <c r="H175" i="49"/>
  <c r="I175" i="49" s="1"/>
  <c r="H190" i="49"/>
  <c r="I190" i="49" s="1"/>
  <c r="H210" i="49"/>
  <c r="I210" i="49" s="1"/>
  <c r="H231" i="49"/>
  <c r="I231" i="49" s="1"/>
  <c r="H265" i="49"/>
  <c r="I265" i="49" s="1"/>
  <c r="H282" i="49"/>
  <c r="I282" i="49" s="1"/>
  <c r="H302" i="49"/>
  <c r="I302" i="49" s="1"/>
  <c r="H317" i="49"/>
  <c r="I317" i="49" s="1"/>
  <c r="H102" i="49"/>
  <c r="I102" i="49" s="1"/>
  <c r="H122" i="49"/>
  <c r="I122" i="49" s="1"/>
  <c r="H137" i="49"/>
  <c r="I137" i="49" s="1"/>
  <c r="H191" i="49"/>
  <c r="I191" i="49" s="1"/>
  <c r="H207" i="49"/>
  <c r="I207" i="49" s="1"/>
  <c r="H223" i="49"/>
  <c r="I223" i="49" s="1"/>
  <c r="H254" i="49"/>
  <c r="I254" i="49" s="1"/>
  <c r="H279" i="49"/>
  <c r="I279" i="49" s="1"/>
  <c r="H295" i="49"/>
  <c r="I295" i="49" s="1"/>
  <c r="H314" i="49"/>
  <c r="I314" i="49" s="1"/>
  <c r="H104" i="49"/>
  <c r="I104" i="49" s="1"/>
  <c r="H151" i="49"/>
  <c r="I151" i="49" s="1"/>
  <c r="H33" i="49"/>
  <c r="I33" i="49" s="1"/>
  <c r="H129" i="49"/>
  <c r="I129" i="49" s="1"/>
  <c r="H7" i="49"/>
  <c r="I7" i="49" s="1"/>
  <c r="H182" i="49"/>
  <c r="I182" i="49" s="1"/>
  <c r="H303" i="49"/>
  <c r="I303" i="49" s="1"/>
  <c r="H204" i="49"/>
  <c r="I204" i="49" s="1"/>
  <c r="H41" i="49"/>
  <c r="I41" i="49" s="1"/>
  <c r="H252" i="49"/>
  <c r="I252" i="49" s="1"/>
  <c r="H88" i="49"/>
  <c r="I88" i="49" s="1"/>
  <c r="H259" i="49"/>
  <c r="I259" i="49" s="1"/>
  <c r="H43" i="49"/>
  <c r="I43" i="49" s="1"/>
  <c r="H50" i="49"/>
  <c r="I50" i="49" s="1"/>
  <c r="H82" i="49"/>
  <c r="I82" i="49" s="1"/>
  <c r="H239" i="49"/>
  <c r="I239" i="49" s="1"/>
  <c r="H26" i="49"/>
  <c r="I26" i="49" s="1"/>
  <c r="H73" i="49"/>
  <c r="I73" i="49" s="1"/>
  <c r="H92" i="49"/>
  <c r="I92" i="49" s="1"/>
  <c r="H134" i="49"/>
  <c r="I134" i="49" s="1"/>
  <c r="H220" i="49"/>
  <c r="I220" i="49" s="1"/>
  <c r="H238" i="49"/>
  <c r="I238" i="49" s="1"/>
  <c r="H272" i="49"/>
  <c r="I272" i="49" s="1"/>
  <c r="H323" i="49"/>
  <c r="I323" i="49" s="1"/>
  <c r="H105" i="49"/>
  <c r="I105" i="49" s="1"/>
  <c r="H152" i="49"/>
  <c r="I152" i="49" s="1"/>
  <c r="H185" i="49"/>
  <c r="I185" i="49" s="1"/>
  <c r="H217" i="49"/>
  <c r="I217" i="49" s="1"/>
  <c r="H230" i="49"/>
  <c r="I230" i="49" s="1"/>
  <c r="H264" i="49"/>
  <c r="I264" i="49" s="1"/>
  <c r="H277" i="49"/>
  <c r="I277" i="49" s="1"/>
  <c r="H293" i="49"/>
  <c r="I293" i="49" s="1"/>
  <c r="H66" i="49"/>
  <c r="I66" i="49" s="1"/>
  <c r="H89" i="49"/>
  <c r="I89" i="49" s="1"/>
  <c r="H113" i="49"/>
  <c r="I113" i="49" s="1"/>
  <c r="H140" i="49"/>
  <c r="I140" i="49" s="1"/>
  <c r="H158" i="49"/>
  <c r="I158" i="49" s="1"/>
  <c r="H178" i="49"/>
  <c r="I178" i="49" s="1"/>
  <c r="H198" i="49"/>
  <c r="I198" i="49" s="1"/>
  <c r="H214" i="49"/>
  <c r="I214" i="49" s="1"/>
  <c r="H235" i="49"/>
  <c r="I235" i="49" s="1"/>
  <c r="H253" i="49"/>
  <c r="I253" i="49" s="1"/>
  <c r="H270" i="49"/>
  <c r="I270" i="49" s="1"/>
  <c r="H290" i="49"/>
  <c r="I290" i="49" s="1"/>
  <c r="H307" i="49"/>
  <c r="I307" i="49" s="1"/>
  <c r="H17" i="49"/>
  <c r="I17" i="49" s="1"/>
  <c r="H53" i="49"/>
  <c r="I53" i="49" s="1"/>
  <c r="H110" i="49"/>
  <c r="I110" i="49" s="1"/>
  <c r="H142" i="49"/>
  <c r="I142" i="49" s="1"/>
  <c r="H171" i="49"/>
  <c r="I171" i="49" s="1"/>
  <c r="H195" i="49"/>
  <c r="I195" i="49" s="1"/>
  <c r="H228" i="49"/>
  <c r="I228" i="49" s="1"/>
  <c r="H241" i="49"/>
  <c r="I241" i="49" s="1"/>
  <c r="H258" i="49"/>
  <c r="I258" i="49" s="1"/>
  <c r="H283" i="49"/>
  <c r="I283" i="49" s="1"/>
  <c r="H299" i="49"/>
  <c r="I299" i="49" s="1"/>
  <c r="H318" i="49"/>
  <c r="I318" i="49" s="1"/>
  <c r="H64" i="49"/>
  <c r="I64" i="49" s="1"/>
  <c r="H138" i="49"/>
  <c r="I138" i="49" s="1"/>
  <c r="H160" i="49"/>
  <c r="I160" i="49" s="1"/>
  <c r="H208" i="49"/>
  <c r="I208" i="49" s="1"/>
  <c r="H305" i="49"/>
  <c r="I305" i="49" s="1"/>
  <c r="H34" i="49"/>
  <c r="I34" i="49" s="1"/>
  <c r="H153" i="49"/>
  <c r="I153" i="49" s="1"/>
  <c r="H117" i="49"/>
  <c r="I117" i="49" s="1"/>
  <c r="H186" i="49"/>
  <c r="I186" i="49" s="1"/>
  <c r="H18" i="49"/>
  <c r="I18" i="49" s="1"/>
  <c r="H177" i="49"/>
  <c r="I177" i="49" s="1"/>
  <c r="H243" i="49"/>
  <c r="I243" i="49" s="1"/>
  <c r="H216" i="49"/>
  <c r="I216" i="49" s="1"/>
  <c r="H112" i="49"/>
  <c r="I112" i="49" s="1"/>
  <c r="H255" i="49"/>
  <c r="I255" i="49" s="1"/>
  <c r="H315" i="49"/>
  <c r="I315" i="49" s="1"/>
  <c r="H44" i="49"/>
  <c r="I44" i="49" s="1"/>
  <c r="H93" i="49"/>
  <c r="I93" i="49" s="1"/>
  <c r="H99" i="49"/>
  <c r="I99" i="49" s="1"/>
  <c r="H275" i="49"/>
  <c r="I275" i="49" s="1"/>
  <c r="H23" i="49"/>
  <c r="I23" i="49" s="1"/>
  <c r="H27" i="49"/>
  <c r="I27" i="49" s="1"/>
  <c r="H155" i="49"/>
  <c r="I155" i="49" s="1"/>
  <c r="H169" i="49"/>
  <c r="I169" i="49" s="1"/>
  <c r="H247" i="49"/>
  <c r="I247" i="49" s="1"/>
  <c r="H97" i="49"/>
  <c r="I97" i="49" s="1"/>
  <c r="H156" i="49"/>
  <c r="I156" i="49" s="1"/>
  <c r="H224" i="49"/>
  <c r="I224" i="49" s="1"/>
  <c r="H65" i="49"/>
  <c r="I65" i="49" s="1"/>
  <c r="H116" i="49"/>
  <c r="I116" i="49" s="1"/>
  <c r="H189" i="49"/>
  <c r="I189" i="49" s="1"/>
  <c r="H205" i="49"/>
  <c r="I205" i="49" s="1"/>
  <c r="H221" i="49"/>
  <c r="I221" i="49" s="1"/>
  <c r="H268" i="49"/>
  <c r="I268" i="49" s="1"/>
  <c r="H37" i="49"/>
  <c r="I37" i="49" s="1"/>
  <c r="H94" i="49"/>
  <c r="I94" i="49" s="1"/>
  <c r="H121" i="49"/>
  <c r="I121" i="49" s="1"/>
  <c r="H145" i="49"/>
  <c r="I145" i="49" s="1"/>
  <c r="H162" i="49"/>
  <c r="I162" i="49" s="1"/>
  <c r="H202" i="49"/>
  <c r="I202" i="49" s="1"/>
  <c r="H218" i="49"/>
  <c r="I218" i="49" s="1"/>
  <c r="H240" i="49"/>
  <c r="I240" i="49" s="1"/>
  <c r="H257" i="49"/>
  <c r="I257" i="49" s="1"/>
  <c r="H294" i="49"/>
  <c r="I294" i="49" s="1"/>
  <c r="H309" i="49"/>
  <c r="I309" i="49" s="1"/>
  <c r="H9" i="49"/>
  <c r="I9" i="49" s="1"/>
  <c r="H22" i="49"/>
  <c r="I22" i="49" s="1"/>
  <c r="H57" i="49"/>
  <c r="I57" i="49" s="1"/>
  <c r="H132" i="49"/>
  <c r="I132" i="49" s="1"/>
  <c r="H146" i="49"/>
  <c r="I146" i="49" s="1"/>
  <c r="H183" i="49"/>
  <c r="I183" i="49" s="1"/>
  <c r="H199" i="49"/>
  <c r="I199" i="49" s="1"/>
  <c r="H215" i="49"/>
  <c r="I215" i="49" s="1"/>
  <c r="H246" i="49"/>
  <c r="I246" i="49" s="1"/>
  <c r="H262" i="49"/>
  <c r="I262" i="49" s="1"/>
  <c r="H287" i="49"/>
  <c r="I287" i="49" s="1"/>
  <c r="H320" i="49"/>
  <c r="I320" i="49" s="1"/>
  <c r="H69" i="49"/>
  <c r="I69" i="49" s="1"/>
  <c r="H184" i="49"/>
  <c r="I184" i="49" s="1"/>
  <c r="H311" i="49"/>
  <c r="I311" i="49" s="1"/>
  <c r="H234" i="49"/>
  <c r="I234" i="49" s="1"/>
  <c r="H131" i="49"/>
  <c r="I131" i="49" s="1"/>
  <c r="H227" i="49"/>
  <c r="I227" i="49" s="1"/>
  <c r="H96" i="49"/>
  <c r="I96" i="49" s="1"/>
  <c r="H179" i="49"/>
  <c r="I179" i="49" s="1"/>
  <c r="H316" i="49"/>
  <c r="I316" i="49" s="1"/>
  <c r="H300" i="49"/>
  <c r="I300" i="49" s="1"/>
  <c r="H124" i="49"/>
  <c r="I124" i="49" s="1"/>
  <c r="H280" i="49"/>
  <c r="I280" i="49" s="1"/>
  <c r="H29" i="49"/>
  <c r="I29" i="49" s="1"/>
  <c r="H45" i="49"/>
  <c r="I45" i="49" s="1"/>
  <c r="H74" i="49"/>
  <c r="I74" i="49" s="1"/>
  <c r="H194" i="49"/>
  <c r="I194" i="49" s="1"/>
  <c r="H24" i="49"/>
  <c r="I24" i="49" s="1"/>
  <c r="H164" i="49"/>
  <c r="I164" i="49" s="1"/>
  <c r="H46" i="49"/>
  <c r="I46" i="49" s="1"/>
  <c r="H81" i="49"/>
  <c r="I81" i="49" s="1"/>
  <c r="H170" i="49"/>
  <c r="I170" i="49" s="1"/>
  <c r="H251" i="49"/>
  <c r="I251" i="49" s="1"/>
  <c r="H70" i="49"/>
  <c r="I70" i="49" s="1"/>
  <c r="H120" i="49"/>
  <c r="I120" i="49" s="1"/>
  <c r="H144" i="49"/>
  <c r="I144" i="49" s="1"/>
  <c r="H161" i="49"/>
  <c r="I161" i="49" s="1"/>
  <c r="H193" i="49"/>
  <c r="I193" i="49" s="1"/>
  <c r="H209" i="49"/>
  <c r="I209" i="49" s="1"/>
  <c r="H269" i="49"/>
  <c r="I269" i="49" s="1"/>
  <c r="H285" i="49"/>
  <c r="I285" i="49" s="1"/>
  <c r="H301" i="49"/>
  <c r="I301" i="49" s="1"/>
  <c r="H38" i="49"/>
  <c r="I38" i="49" s="1"/>
  <c r="H61" i="49"/>
  <c r="I61" i="49" s="1"/>
  <c r="H149" i="49"/>
  <c r="I149" i="49" s="1"/>
  <c r="H167" i="49"/>
  <c r="I167" i="49" s="1"/>
  <c r="H206" i="49"/>
  <c r="I206" i="49" s="1"/>
  <c r="H222" i="49"/>
  <c r="I222" i="49" s="1"/>
  <c r="H245" i="49"/>
  <c r="I245" i="49" s="1"/>
  <c r="H261" i="49"/>
  <c r="I261" i="49" s="1"/>
  <c r="H278" i="49"/>
  <c r="I278" i="49" s="1"/>
  <c r="H298" i="49"/>
  <c r="I298" i="49" s="1"/>
  <c r="H313" i="49"/>
  <c r="I313" i="49" s="1"/>
  <c r="H58" i="49"/>
  <c r="I58" i="49" s="1"/>
  <c r="H76" i="49"/>
  <c r="I76" i="49" s="1"/>
  <c r="H100" i="49"/>
  <c r="I100" i="49" s="1"/>
  <c r="H118" i="49"/>
  <c r="I118" i="49" s="1"/>
  <c r="H133" i="49"/>
  <c r="I133" i="49" s="1"/>
  <c r="H159" i="49"/>
  <c r="I159" i="49" s="1"/>
  <c r="H187" i="49"/>
  <c r="I187" i="49" s="1"/>
  <c r="H203" i="49"/>
  <c r="I203" i="49" s="1"/>
  <c r="H219" i="49"/>
  <c r="I219" i="49" s="1"/>
  <c r="H250" i="49"/>
  <c r="I250" i="49" s="1"/>
  <c r="H266" i="49"/>
  <c r="I266" i="49" s="1"/>
  <c r="H291" i="49"/>
  <c r="I291" i="49" s="1"/>
  <c r="H310" i="49"/>
  <c r="I310" i="49" s="1"/>
  <c r="H101" i="49"/>
  <c r="I101" i="49" s="1"/>
  <c r="H147" i="49"/>
  <c r="I147" i="49" s="1"/>
  <c r="H192" i="49"/>
  <c r="I192" i="49" s="1"/>
  <c r="H276" i="49"/>
  <c r="I276" i="49" s="1"/>
  <c r="H319" i="49"/>
  <c r="I319" i="49" s="1"/>
  <c r="H40" i="49"/>
  <c r="I40" i="49" s="1"/>
  <c r="H322" i="49"/>
  <c r="I322" i="49" s="1"/>
  <c r="H168" i="49"/>
  <c r="I168" i="49" s="1"/>
  <c r="H286" i="49"/>
  <c r="I286" i="49" s="1"/>
  <c r="H172" i="49"/>
  <c r="I172" i="49" s="1"/>
  <c r="H271" i="49"/>
  <c r="I271" i="49" s="1"/>
  <c r="H141" i="49"/>
  <c r="I141" i="49" s="1"/>
  <c r="H321" i="49"/>
  <c r="I321" i="49" s="1"/>
  <c r="H42" i="49"/>
  <c r="I42" i="49" s="1"/>
  <c r="H173" i="49"/>
  <c r="I173" i="49" s="1"/>
  <c r="H10" i="49"/>
  <c r="I10" i="49" s="1"/>
  <c r="H49" i="49"/>
  <c r="I49" i="49" s="1"/>
  <c r="H78" i="49"/>
  <c r="I78" i="49" s="1"/>
  <c r="H108" i="49"/>
  <c r="I108" i="49" s="1"/>
  <c r="T7" i="19"/>
  <c r="H6" i="49" s="1"/>
  <c r="I6" i="49" s="1"/>
  <c r="H20" i="49"/>
  <c r="I20" i="49" s="1"/>
  <c r="H25" i="49"/>
  <c r="I25" i="49" s="1"/>
  <c r="H263" i="49"/>
  <c r="I263" i="49" s="1"/>
  <c r="H269" i="32"/>
  <c r="D275" i="9" s="1"/>
  <c r="H118" i="32"/>
  <c r="D124" i="9" s="1"/>
  <c r="H66" i="32"/>
  <c r="D72" i="9" s="1"/>
  <c r="H210" i="32"/>
  <c r="D216" i="9" s="1"/>
  <c r="H240" i="32"/>
  <c r="D246" i="9" s="1"/>
  <c r="H38" i="32"/>
  <c r="D44" i="9" s="1"/>
  <c r="H309" i="32"/>
  <c r="D315" i="9" s="1"/>
  <c r="H70" i="32"/>
  <c r="D76" i="9" s="1"/>
  <c r="H105" i="32"/>
  <c r="D111" i="9" s="1"/>
  <c r="H89" i="32"/>
  <c r="D95" i="9" s="1"/>
  <c r="H74" i="32"/>
  <c r="D80" i="9" s="1"/>
  <c r="H228" i="32"/>
  <c r="D234" i="9" s="1"/>
  <c r="H45" i="32"/>
  <c r="D51" i="9" s="1"/>
  <c r="H128" i="32"/>
  <c r="D134" i="9" s="1"/>
  <c r="H91" i="32"/>
  <c r="D97" i="9" s="1"/>
  <c r="H48" i="32"/>
  <c r="D54" i="9" s="1"/>
  <c r="H172" i="32"/>
  <c r="D178" i="9" s="1"/>
  <c r="H182" i="32"/>
  <c r="D188" i="9" s="1"/>
  <c r="H100" i="32"/>
  <c r="D106" i="9" s="1"/>
  <c r="H275" i="32"/>
  <c r="D281" i="9" s="1"/>
  <c r="H250" i="32"/>
  <c r="D256" i="9" s="1"/>
  <c r="H42" i="32"/>
  <c r="D48" i="9" s="1"/>
  <c r="H76" i="32"/>
  <c r="D82" i="9" s="1"/>
  <c r="H114" i="32"/>
  <c r="D120" i="9" s="1"/>
  <c r="H253" i="32"/>
  <c r="D259" i="9" s="1"/>
  <c r="H51" i="32"/>
  <c r="D57" i="9" s="1"/>
  <c r="H8" i="32"/>
  <c r="D14" i="9" s="1"/>
  <c r="H154" i="32"/>
  <c r="D160" i="9" s="1"/>
  <c r="H274" i="32"/>
  <c r="D280" i="9" s="1"/>
  <c r="H57" i="32"/>
  <c r="D63" i="9" s="1"/>
  <c r="H145" i="32"/>
  <c r="D151" i="9" s="1"/>
  <c r="H121" i="32"/>
  <c r="D127" i="9" s="1"/>
  <c r="H33" i="32"/>
  <c r="D39" i="9" s="1"/>
  <c r="H302" i="32"/>
  <c r="D308" i="9" s="1"/>
  <c r="H246" i="32"/>
  <c r="D252" i="9" s="1"/>
  <c r="H221" i="32"/>
  <c r="D227" i="9" s="1"/>
  <c r="H219" i="32"/>
  <c r="D225" i="9" s="1"/>
  <c r="H303" i="32"/>
  <c r="D309" i="9" s="1"/>
  <c r="H236" i="32"/>
  <c r="D242" i="9" s="1"/>
  <c r="H206" i="32"/>
  <c r="D212" i="9" s="1"/>
  <c r="H124" i="32"/>
  <c r="D130" i="9" s="1"/>
  <c r="H22" i="32"/>
  <c r="D28" i="9" s="1"/>
  <c r="H61" i="32"/>
  <c r="D67" i="9" s="1"/>
  <c r="H187" i="32"/>
  <c r="D193" i="9" s="1"/>
  <c r="H65" i="32"/>
  <c r="D71" i="9" s="1"/>
  <c r="H56" i="32"/>
  <c r="D62" i="9" s="1"/>
  <c r="H195" i="32"/>
  <c r="D201" i="9" s="1"/>
  <c r="H47" i="32"/>
  <c r="D53" i="9" s="1"/>
  <c r="H62" i="32"/>
  <c r="D68" i="9" s="1"/>
  <c r="H266" i="32"/>
  <c r="D272" i="9" s="1"/>
  <c r="H234" i="32"/>
  <c r="D240" i="9" s="1"/>
  <c r="H106" i="32"/>
  <c r="D112" i="9" s="1"/>
  <c r="C5" i="32"/>
  <c r="C323" i="32" s="1"/>
  <c r="H323" i="32" s="1"/>
  <c r="Y325" i="19"/>
  <c r="H120" i="32"/>
  <c r="D126" i="9" s="1"/>
  <c r="H11" i="32"/>
  <c r="D17" i="9" s="1"/>
  <c r="H251" i="32"/>
  <c r="D257" i="9" s="1"/>
  <c r="H217" i="32"/>
  <c r="D223" i="9" s="1"/>
  <c r="H308" i="32"/>
  <c r="D314" i="9" s="1"/>
  <c r="H189" i="32"/>
  <c r="D195" i="9" s="1"/>
  <c r="H264" i="32"/>
  <c r="D270" i="9" s="1"/>
  <c r="H205" i="32"/>
  <c r="D211" i="9" s="1"/>
  <c r="H252" i="32"/>
  <c r="D258" i="9" s="1"/>
  <c r="H10" i="32"/>
  <c r="D16" i="9" s="1"/>
  <c r="H256" i="32"/>
  <c r="D262" i="9" s="1"/>
  <c r="H69" i="32"/>
  <c r="D75" i="9" s="1"/>
  <c r="H134" i="32"/>
  <c r="D140" i="9" s="1"/>
  <c r="H175" i="32"/>
  <c r="D181" i="9" s="1"/>
  <c r="H34" i="32"/>
  <c r="D40" i="9" s="1"/>
  <c r="H197" i="32"/>
  <c r="D203" i="9" s="1"/>
  <c r="H94" i="32"/>
  <c r="D100" i="9" s="1"/>
  <c r="H186" i="32"/>
  <c r="D192" i="9" s="1"/>
  <c r="H146" i="32"/>
  <c r="D152" i="9" s="1"/>
  <c r="H263" i="32"/>
  <c r="D269" i="9" s="1"/>
  <c r="H112" i="32"/>
  <c r="D118" i="9" s="1"/>
  <c r="H290" i="32"/>
  <c r="D296" i="9" s="1"/>
  <c r="H82" i="32"/>
  <c r="D88" i="9" s="1"/>
  <c r="H50" i="32"/>
  <c r="D56" i="9" s="1"/>
  <c r="H41" i="32"/>
  <c r="D47" i="9" s="1"/>
  <c r="H153" i="32"/>
  <c r="D159" i="9" s="1"/>
  <c r="H23" i="32"/>
  <c r="D29" i="9" s="1"/>
  <c r="H229" i="32"/>
  <c r="D235" i="9" s="1"/>
  <c r="H88" i="32"/>
  <c r="D94" i="9" s="1"/>
  <c r="H262" i="32"/>
  <c r="D268" i="9" s="1"/>
  <c r="F16" i="49"/>
  <c r="F60" i="49"/>
  <c r="F11" i="49"/>
  <c r="F196" i="49"/>
  <c r="F296" i="49"/>
  <c r="H316" i="32"/>
  <c r="D322" i="9" s="1"/>
  <c r="H260" i="32"/>
  <c r="D266" i="9" s="1"/>
  <c r="H133" i="32"/>
  <c r="D139" i="9" s="1"/>
  <c r="F242" i="49"/>
  <c r="F15" i="49"/>
  <c r="F201" i="49"/>
  <c r="F31" i="49"/>
  <c r="F13" i="49"/>
  <c r="F130" i="49"/>
  <c r="H212" i="32"/>
  <c r="D218" i="9" s="1"/>
  <c r="H267" i="32"/>
  <c r="D273" i="9" s="1"/>
  <c r="H244" i="32"/>
  <c r="D250" i="9" s="1"/>
  <c r="F91" i="49"/>
  <c r="F127" i="49"/>
  <c r="F188" i="49"/>
  <c r="F267" i="49"/>
  <c r="F48" i="49"/>
  <c r="F256" i="49"/>
  <c r="F14" i="49"/>
  <c r="F75" i="49"/>
  <c r="F85" i="49"/>
  <c r="F95" i="49"/>
  <c r="F125" i="49"/>
  <c r="F181" i="49"/>
  <c r="F72" i="49"/>
  <c r="F90" i="49"/>
  <c r="F114" i="49"/>
  <c r="F232" i="49"/>
  <c r="F304" i="49"/>
  <c r="F106" i="49"/>
  <c r="F19" i="49"/>
  <c r="F200" i="49"/>
  <c r="F51" i="49"/>
  <c r="F79" i="49"/>
  <c r="F249" i="49"/>
  <c r="F28" i="49"/>
  <c r="F236" i="49"/>
  <c r="F59" i="49"/>
  <c r="F165" i="49"/>
  <c r="H15" i="32"/>
  <c r="D21" i="9" s="1"/>
  <c r="F35" i="49"/>
  <c r="F77" i="49"/>
  <c r="F119" i="49"/>
  <c r="F284" i="49"/>
  <c r="F308" i="49"/>
  <c r="F52" i="49"/>
  <c r="F83" i="49"/>
  <c r="F80" i="49"/>
  <c r="F163" i="49"/>
  <c r="F237" i="49"/>
  <c r="F176" i="49"/>
  <c r="F244" i="49"/>
  <c r="F166" i="49"/>
  <c r="H204" i="32"/>
  <c r="D210" i="9" s="1"/>
  <c r="H97" i="32"/>
  <c r="D103" i="9" s="1"/>
  <c r="H103" i="32"/>
  <c r="D109" i="9" s="1"/>
  <c r="H277" i="32"/>
  <c r="D283" i="9" s="1"/>
  <c r="H215" i="32"/>
  <c r="D221" i="9" s="1"/>
  <c r="H230" i="32"/>
  <c r="D236" i="9" s="1"/>
  <c r="F123" i="49"/>
  <c r="F229" i="49"/>
  <c r="F288" i="49"/>
  <c r="F32" i="49"/>
  <c r="F139" i="49"/>
  <c r="F157" i="49"/>
  <c r="F248" i="49"/>
  <c r="F297" i="49"/>
  <c r="F56" i="49"/>
  <c r="F84" i="49"/>
  <c r="F180" i="49"/>
  <c r="F274" i="49"/>
  <c r="F67" i="49"/>
  <c r="F68" i="49"/>
  <c r="F126" i="49"/>
  <c r="F211" i="49"/>
  <c r="F47" i="49"/>
  <c r="F143" i="49"/>
  <c r="F212" i="49"/>
  <c r="F39" i="49"/>
  <c r="F107" i="49"/>
  <c r="F150" i="49"/>
  <c r="H98" i="32"/>
  <c r="D104" i="9" s="1"/>
  <c r="H157" i="32"/>
  <c r="D163" i="9" s="1"/>
  <c r="H152" i="32"/>
  <c r="D158" i="9" s="1"/>
  <c r="H293" i="32"/>
  <c r="D299" i="9" s="1"/>
  <c r="H226" i="32"/>
  <c r="D232" i="9" s="1"/>
  <c r="H87" i="32"/>
  <c r="D93" i="9" s="1"/>
  <c r="H17" i="32"/>
  <c r="D23" i="9" s="1"/>
  <c r="H7" i="32"/>
  <c r="D13" i="9" s="1"/>
  <c r="H27" i="32"/>
  <c r="D33" i="9" s="1"/>
  <c r="H142" i="32"/>
  <c r="D148" i="9" s="1"/>
  <c r="H78" i="32"/>
  <c r="D84" i="9" s="1"/>
  <c r="H108" i="32"/>
  <c r="D114" i="9" s="1"/>
  <c r="H248" i="32"/>
  <c r="D254" i="9" s="1"/>
  <c r="H161" i="32"/>
  <c r="D167" i="9" s="1"/>
  <c r="H192" i="32"/>
  <c r="D198" i="9" s="1"/>
  <c r="H297" i="32"/>
  <c r="D303" i="9" s="1"/>
  <c r="H6" i="32"/>
  <c r="D12" i="9" s="1"/>
  <c r="H25" i="32"/>
  <c r="D31" i="9" s="1"/>
  <c r="H288" i="32"/>
  <c r="D294" i="9" s="1"/>
  <c r="H218" i="32"/>
  <c r="D224" i="9" s="1"/>
  <c r="H299" i="32"/>
  <c r="D305" i="9" s="1"/>
  <c r="H156" i="32"/>
  <c r="D162" i="9" s="1"/>
  <c r="H127" i="32"/>
  <c r="D133" i="9" s="1"/>
  <c r="H129" i="32"/>
  <c r="D135" i="9" s="1"/>
  <c r="H314" i="32"/>
  <c r="D320" i="9" s="1"/>
  <c r="H285" i="32"/>
  <c r="D291" i="9" s="1"/>
  <c r="H35" i="32"/>
  <c r="D41" i="9" s="1"/>
  <c r="H109" i="32"/>
  <c r="D115" i="9" s="1"/>
  <c r="H225" i="32"/>
  <c r="D231" i="9" s="1"/>
  <c r="H281" i="32"/>
  <c r="D287" i="9" s="1"/>
  <c r="H135" i="32"/>
  <c r="D141" i="9" s="1"/>
  <c r="H90" i="32"/>
  <c r="D96" i="9" s="1"/>
  <c r="H49" i="32"/>
  <c r="D55" i="9" s="1"/>
  <c r="H123" i="32"/>
  <c r="D129" i="9" s="1"/>
  <c r="H148" i="32"/>
  <c r="D154" i="9" s="1"/>
  <c r="H193" i="32"/>
  <c r="D199" i="9" s="1"/>
  <c r="H77" i="32"/>
  <c r="D83" i="9" s="1"/>
  <c r="H32" i="32"/>
  <c r="D38" i="9" s="1"/>
  <c r="H292" i="32"/>
  <c r="D298" i="9" s="1"/>
  <c r="H238" i="32"/>
  <c r="D244" i="9" s="1"/>
  <c r="H180" i="32"/>
  <c r="D186" i="9" s="1"/>
  <c r="H317" i="32"/>
  <c r="D323" i="9" s="1"/>
  <c r="H300" i="32"/>
  <c r="D306" i="9" s="1"/>
  <c r="H46" i="32"/>
  <c r="D52" i="9" s="1"/>
  <c r="H115" i="32"/>
  <c r="D121" i="9" s="1"/>
  <c r="H30" i="32"/>
  <c r="D36" i="9" s="1"/>
  <c r="H99" i="32"/>
  <c r="D105" i="9" s="1"/>
  <c r="H144" i="32"/>
  <c r="D150" i="9" s="1"/>
  <c r="H286" i="32"/>
  <c r="D292" i="9" s="1"/>
  <c r="H173" i="32"/>
  <c r="D179" i="9" s="1"/>
  <c r="H268" i="32"/>
  <c r="D274" i="9" s="1"/>
  <c r="H9" i="32"/>
  <c r="D15" i="9" s="1"/>
  <c r="H31" i="32"/>
  <c r="D37" i="9" s="1"/>
  <c r="H196" i="32"/>
  <c r="D202" i="9" s="1"/>
  <c r="H75" i="32"/>
  <c r="D81" i="9" s="1"/>
  <c r="H237" i="32"/>
  <c r="D243" i="9" s="1"/>
  <c r="H119" i="32"/>
  <c r="D125" i="9" s="1"/>
  <c r="H12" i="32"/>
  <c r="D18" i="9" s="1"/>
  <c r="H280" i="32"/>
  <c r="D286" i="9" s="1"/>
  <c r="H201" i="32"/>
  <c r="D207" i="9" s="1"/>
  <c r="H14" i="32"/>
  <c r="D20" i="9" s="1"/>
  <c r="H178" i="32"/>
  <c r="D184" i="9" s="1"/>
  <c r="H63" i="32"/>
  <c r="D69" i="9" s="1"/>
  <c r="H211" i="32"/>
  <c r="D217" i="9" s="1"/>
  <c r="H113" i="32"/>
  <c r="D119" i="9" s="1"/>
  <c r="H282" i="32"/>
  <c r="D288" i="9" s="1"/>
  <c r="H21" i="32"/>
  <c r="D27" i="9" s="1"/>
  <c r="H177" i="32"/>
  <c r="D183" i="9" s="1"/>
  <c r="H185" i="32"/>
  <c r="D191" i="9" s="1"/>
  <c r="H255" i="32"/>
  <c r="D261" i="9" s="1"/>
  <c r="H289" i="32"/>
  <c r="D295" i="9" s="1"/>
  <c r="H305" i="32"/>
  <c r="D311" i="9" s="1"/>
  <c r="H16" i="32"/>
  <c r="D22" i="9" s="1"/>
  <c r="H254" i="32"/>
  <c r="D260" i="9" s="1"/>
  <c r="H208" i="32"/>
  <c r="D214" i="9" s="1"/>
  <c r="H140" i="32"/>
  <c r="D146" i="9" s="1"/>
  <c r="H36" i="32"/>
  <c r="D42" i="9" s="1"/>
  <c r="H54" i="32"/>
  <c r="D60" i="9" s="1"/>
  <c r="H81" i="32"/>
  <c r="D87" i="9" s="1"/>
  <c r="H216" i="32"/>
  <c r="D222" i="9" s="1"/>
  <c r="H139" i="32"/>
  <c r="D145" i="9" s="1"/>
  <c r="H166" i="32"/>
  <c r="D172" i="9" s="1"/>
  <c r="O325" i="19"/>
  <c r="H116" i="32"/>
  <c r="D122" i="9" s="1"/>
  <c r="H85" i="32"/>
  <c r="D91" i="9" s="1"/>
  <c r="H122" i="32"/>
  <c r="D128" i="9" s="1"/>
  <c r="H130" i="32"/>
  <c r="D136" i="9" s="1"/>
  <c r="H171" i="32"/>
  <c r="D177" i="9" s="1"/>
  <c r="H209" i="32"/>
  <c r="D215" i="9" s="1"/>
  <c r="H117" i="32"/>
  <c r="D123" i="9" s="1"/>
  <c r="H44" i="32"/>
  <c r="D50" i="9" s="1"/>
  <c r="H28" i="32"/>
  <c r="D34" i="9" s="1"/>
  <c r="H107" i="32"/>
  <c r="D113" i="9" s="1"/>
  <c r="H147" i="32"/>
  <c r="D153" i="9" s="1"/>
  <c r="H203" i="32"/>
  <c r="D209" i="9" s="1"/>
  <c r="H307" i="32"/>
  <c r="D313" i="9" s="1"/>
  <c r="H220" i="32"/>
  <c r="D226" i="9" s="1"/>
  <c r="H59" i="32"/>
  <c r="D65" i="9" s="1"/>
  <c r="H235" i="32"/>
  <c r="D241" i="9" s="1"/>
  <c r="H64" i="32"/>
  <c r="D70" i="9" s="1"/>
  <c r="H93" i="32"/>
  <c r="D99" i="9" s="1"/>
  <c r="H233" i="32"/>
  <c r="D239" i="9" s="1"/>
  <c r="H179" i="32"/>
  <c r="D185" i="9" s="1"/>
  <c r="H143" i="32"/>
  <c r="D149" i="9" s="1"/>
  <c r="H207" i="32"/>
  <c r="D213" i="9" s="1"/>
  <c r="H232" i="32"/>
  <c r="D238" i="9" s="1"/>
  <c r="H160" i="32"/>
  <c r="D166" i="9" s="1"/>
  <c r="H276" i="32"/>
  <c r="D282" i="9" s="1"/>
  <c r="H191" i="32"/>
  <c r="D197" i="9" s="1"/>
  <c r="H296" i="32"/>
  <c r="D302" i="9" s="1"/>
  <c r="H322" i="32"/>
  <c r="D328" i="9" s="1"/>
  <c r="H184" i="32"/>
  <c r="D190" i="9" s="1"/>
  <c r="H29" i="32"/>
  <c r="D35" i="9" s="1"/>
  <c r="H188" i="32"/>
  <c r="D194" i="9" s="1"/>
  <c r="H163" i="32"/>
  <c r="D169" i="9" s="1"/>
  <c r="H111" i="32"/>
  <c r="D117" i="9" s="1"/>
  <c r="H247" i="32"/>
  <c r="D253" i="9" s="1"/>
  <c r="H295" i="32"/>
  <c r="D301" i="9" s="1"/>
  <c r="H60" i="32"/>
  <c r="D66" i="9" s="1"/>
  <c r="H150" i="32"/>
  <c r="D156" i="9" s="1"/>
  <c r="H92" i="32"/>
  <c r="D98" i="9" s="1"/>
  <c r="H272" i="32"/>
  <c r="D278" i="9" s="1"/>
  <c r="H200" i="32"/>
  <c r="D206" i="9" s="1"/>
  <c r="H37" i="32"/>
  <c r="D43" i="9" s="1"/>
  <c r="H243" i="32"/>
  <c r="D249" i="9" s="1"/>
  <c r="H73" i="32"/>
  <c r="D79" i="9" s="1"/>
  <c r="H284" i="32"/>
  <c r="D290" i="9" s="1"/>
  <c r="H321" i="32"/>
  <c r="D327" i="9" s="1"/>
  <c r="H138" i="32"/>
  <c r="D144" i="9" s="1"/>
  <c r="H183" i="32"/>
  <c r="D189" i="9" s="1"/>
  <c r="F233" i="34"/>
  <c r="F183" i="34"/>
  <c r="F23" i="34"/>
  <c r="F43" i="34"/>
  <c r="F109" i="34"/>
  <c r="F105" i="34"/>
  <c r="F157" i="34"/>
  <c r="F80" i="34"/>
  <c r="F332" i="34"/>
  <c r="F26" i="34"/>
  <c r="F270" i="34"/>
  <c r="F89" i="34"/>
  <c r="F172" i="34"/>
  <c r="F90" i="34"/>
  <c r="F326" i="34"/>
  <c r="F173" i="34"/>
  <c r="F186" i="34"/>
  <c r="F268" i="34"/>
  <c r="F98" i="34"/>
  <c r="F62" i="34"/>
  <c r="F256" i="34"/>
  <c r="F287" i="34"/>
  <c r="F232" i="34"/>
  <c r="F156" i="34"/>
  <c r="F120" i="34"/>
  <c r="F151" i="34"/>
  <c r="F178" i="34"/>
  <c r="F198" i="34"/>
  <c r="F135" i="34"/>
  <c r="F166" i="34"/>
  <c r="F119" i="34"/>
  <c r="F60" i="34"/>
  <c r="F94" i="34"/>
  <c r="F123" i="34"/>
  <c r="F28" i="34"/>
  <c r="F159" i="34"/>
  <c r="F63" i="34"/>
  <c r="F86" i="34"/>
  <c r="F307" i="34"/>
  <c r="F243" i="34"/>
  <c r="F194" i="34"/>
  <c r="F226" i="34"/>
  <c r="F129" i="34"/>
  <c r="F146" i="34"/>
  <c r="F65" i="34"/>
  <c r="F174" i="34"/>
  <c r="F262" i="34"/>
  <c r="F165" i="34"/>
  <c r="F104" i="34"/>
  <c r="F314" i="34"/>
  <c r="F114" i="34"/>
  <c r="F100" i="34"/>
  <c r="F87" i="34"/>
  <c r="F81" i="34"/>
  <c r="F18" i="34"/>
  <c r="F175" i="34"/>
  <c r="F239" i="34"/>
  <c r="F245" i="34"/>
  <c r="F143" i="34"/>
  <c r="F117" i="34"/>
  <c r="F177" i="34"/>
  <c r="F285" i="34"/>
  <c r="F24" i="34"/>
  <c r="F88" i="34"/>
  <c r="F188" i="34"/>
  <c r="F303" i="34"/>
  <c r="F167" i="34"/>
  <c r="F290" i="34"/>
  <c r="F215" i="34"/>
  <c r="F155" i="34"/>
  <c r="F269" i="34"/>
  <c r="F27" i="34"/>
  <c r="F250" i="34"/>
  <c r="F317" i="34"/>
  <c r="F51" i="34"/>
  <c r="F272" i="34"/>
  <c r="F218" i="34"/>
  <c r="F207" i="34"/>
  <c r="F323" i="34"/>
  <c r="F125" i="34"/>
  <c r="F115" i="34"/>
  <c r="K152" i="36"/>
  <c r="F160" i="34" s="1"/>
  <c r="F248" i="34"/>
  <c r="F30" i="34"/>
  <c r="F118" i="34"/>
  <c r="F235" i="34"/>
  <c r="F32" i="34"/>
  <c r="F137" i="34"/>
  <c r="F163" i="34"/>
  <c r="F75" i="34"/>
  <c r="F127" i="34"/>
  <c r="F313" i="34"/>
  <c r="F72" i="34"/>
  <c r="F247" i="34"/>
  <c r="F240" i="34"/>
  <c r="F71" i="34"/>
  <c r="F113" i="34"/>
  <c r="F56" i="34"/>
  <c r="F298" i="34"/>
  <c r="F149" i="34"/>
  <c r="F331" i="34"/>
  <c r="F102" i="34"/>
  <c r="F79" i="34"/>
  <c r="F130" i="34"/>
  <c r="F96" i="34"/>
  <c r="F110" i="34"/>
  <c r="F58" i="34"/>
  <c r="F265" i="34"/>
  <c r="F29" i="34"/>
  <c r="F258" i="34"/>
  <c r="F231" i="34"/>
  <c r="F328" i="34"/>
  <c r="F83" i="34"/>
  <c r="F327" i="34"/>
  <c r="F324" i="34"/>
  <c r="F222" i="34"/>
  <c r="F180" i="34"/>
  <c r="F318" i="34"/>
  <c r="F191" i="34"/>
  <c r="F219" i="34"/>
  <c r="F238" i="34"/>
  <c r="F304" i="34"/>
  <c r="F93" i="34"/>
  <c r="F292" i="34"/>
  <c r="F176" i="34"/>
  <c r="F170" i="34"/>
  <c r="F37" i="34"/>
  <c r="F153" i="34"/>
  <c r="F253" i="34"/>
  <c r="F205" i="34"/>
  <c r="F216" i="34"/>
  <c r="F206" i="34"/>
  <c r="F140" i="34"/>
  <c r="F76" i="34"/>
  <c r="F333" i="34"/>
  <c r="F164" i="34"/>
  <c r="F150" i="34"/>
  <c r="F295" i="34"/>
  <c r="F193" i="34"/>
  <c r="F142" i="34"/>
  <c r="F40" i="34"/>
  <c r="F252" i="34"/>
  <c r="F22" i="34"/>
  <c r="F257" i="34"/>
  <c r="F84" i="34"/>
  <c r="F267" i="34"/>
  <c r="F284" i="34"/>
  <c r="F139" i="34"/>
  <c r="F99" i="34"/>
  <c r="F111" i="34"/>
  <c r="F74" i="34"/>
  <c r="F315" i="34"/>
  <c r="F249" i="34"/>
  <c r="F64" i="34"/>
  <c r="F108" i="34"/>
  <c r="F261" i="34"/>
  <c r="F220" i="34"/>
  <c r="F279" i="34"/>
  <c r="F184" i="34"/>
  <c r="F107" i="34"/>
  <c r="F144" i="34"/>
  <c r="F260" i="34"/>
  <c r="F263" i="34"/>
  <c r="F308" i="34"/>
  <c r="F53" i="34"/>
  <c r="F197" i="34"/>
  <c r="F319" i="34"/>
  <c r="F259" i="34"/>
  <c r="F208" i="34"/>
  <c r="F169" i="34"/>
  <c r="F299" i="34"/>
  <c r="F95" i="34"/>
  <c r="F134" i="34"/>
  <c r="F320" i="34"/>
  <c r="F241" i="34"/>
  <c r="F41" i="34"/>
  <c r="F48" i="34"/>
  <c r="F152" i="34"/>
  <c r="F154" i="34"/>
  <c r="F52" i="34"/>
  <c r="F224" i="34"/>
  <c r="F244" i="34"/>
  <c r="F20" i="34"/>
  <c r="F297" i="34"/>
  <c r="F182" i="34"/>
  <c r="F311" i="34"/>
  <c r="F227" i="34"/>
  <c r="F145" i="34"/>
  <c r="F73" i="34"/>
  <c r="F309" i="34"/>
  <c r="F190" i="34"/>
  <c r="F296" i="34"/>
  <c r="F283" i="34"/>
  <c r="F106" i="34"/>
  <c r="F34" i="34"/>
  <c r="F128" i="34"/>
  <c r="F196" i="34"/>
  <c r="F97" i="34"/>
  <c r="F276" i="34"/>
  <c r="F91" i="34"/>
  <c r="F293" i="34"/>
  <c r="F223" i="34"/>
  <c r="F321" i="34"/>
  <c r="F36" i="34"/>
  <c r="F228" i="34"/>
  <c r="F195" i="34"/>
  <c r="F161" i="34"/>
  <c r="F271" i="34"/>
  <c r="F85" i="34"/>
  <c r="F278" i="34"/>
  <c r="F212" i="34"/>
  <c r="F49" i="34"/>
  <c r="F325" i="34"/>
  <c r="F274" i="34"/>
  <c r="F213" i="34"/>
  <c r="F131" i="34"/>
  <c r="F38" i="34"/>
  <c r="F301" i="34"/>
  <c r="F42" i="34"/>
  <c r="F236" i="34"/>
  <c r="F92" i="34"/>
  <c r="F103" i="34"/>
  <c r="F246" i="34"/>
  <c r="F69" i="34"/>
  <c r="F148" i="34"/>
  <c r="F266" i="34"/>
  <c r="F310" i="34"/>
  <c r="F46" i="34"/>
  <c r="F204" i="34"/>
  <c r="F322" i="34"/>
  <c r="F221" i="34"/>
  <c r="F54" i="34"/>
  <c r="F68" i="34"/>
  <c r="F19" i="34"/>
  <c r="F255" i="34"/>
  <c r="F251" i="34"/>
  <c r="F201" i="34"/>
  <c r="F61" i="34"/>
  <c r="F275" i="34"/>
  <c r="F82" i="34"/>
  <c r="F288" i="34"/>
  <c r="F181" i="34"/>
  <c r="F39" i="34"/>
  <c r="F192" i="34"/>
  <c r="F57" i="34"/>
  <c r="F136" i="34"/>
  <c r="F330" i="34"/>
  <c r="F300" i="34"/>
  <c r="F133" i="34"/>
  <c r="F277" i="34"/>
  <c r="F25" i="34"/>
  <c r="F225" i="34"/>
  <c r="F121" i="34"/>
  <c r="F116" i="34"/>
  <c r="F312" i="34"/>
  <c r="F66" i="34"/>
  <c r="F55" i="34"/>
  <c r="F281" i="34"/>
  <c r="F294" i="34"/>
  <c r="F50" i="34"/>
  <c r="F47" i="34"/>
  <c r="F126" i="34"/>
  <c r="F45" i="34"/>
  <c r="F286" i="34"/>
  <c r="F187" i="34"/>
  <c r="F189" i="34"/>
  <c r="F211" i="34"/>
  <c r="F35" i="34"/>
  <c r="F138" i="34"/>
  <c r="F280" i="34"/>
  <c r="F59" i="34"/>
  <c r="F185" i="34"/>
  <c r="F141" i="34"/>
  <c r="F124" i="34"/>
  <c r="F171" i="34"/>
  <c r="F282" i="34"/>
  <c r="F305" i="34"/>
  <c r="F179" i="34"/>
  <c r="F158" i="34"/>
  <c r="F254" i="34"/>
  <c r="F199" i="34"/>
  <c r="F17" i="34"/>
  <c r="F33" i="34"/>
  <c r="F230" i="34"/>
  <c r="F122" i="34"/>
  <c r="F67" i="34"/>
  <c r="F203" i="34"/>
  <c r="F289" i="34"/>
  <c r="F302" i="34"/>
  <c r="F306" i="34"/>
  <c r="F316" i="34"/>
  <c r="F217" i="34"/>
  <c r="F132" i="34"/>
  <c r="F112" i="34"/>
  <c r="F202" i="34"/>
  <c r="F101" i="34"/>
  <c r="F70" i="34"/>
  <c r="F78" i="34"/>
  <c r="F209" i="34"/>
  <c r="F21" i="34"/>
  <c r="F162" i="34"/>
  <c r="F214" i="34"/>
  <c r="F147" i="34"/>
  <c r="F264" i="34"/>
  <c r="F329" i="34"/>
  <c r="F273" i="34"/>
  <c r="F229" i="34"/>
  <c r="F242" i="34"/>
  <c r="F44" i="34"/>
  <c r="F234" i="34"/>
  <c r="F168" i="34"/>
  <c r="I326" i="36"/>
  <c r="E326" i="36"/>
  <c r="J326" i="36"/>
  <c r="H326" i="36"/>
  <c r="F326" i="36"/>
  <c r="D326" i="36"/>
  <c r="G325" i="19"/>
  <c r="G326" i="36"/>
  <c r="H271" i="32"/>
  <c r="D277" i="9" s="1"/>
  <c r="K326" i="36" l="1"/>
  <c r="E5" i="32"/>
  <c r="E323" i="32" s="1"/>
  <c r="I324" i="49"/>
  <c r="J6" i="49" s="1"/>
  <c r="L6" i="49" s="1"/>
  <c r="E14" i="48"/>
  <c r="F15" i="48" s="1"/>
  <c r="H5" i="32"/>
  <c r="D11" i="9" s="1"/>
  <c r="D329" i="9" s="1"/>
  <c r="U7" i="19"/>
  <c r="G6" i="49" s="1"/>
  <c r="F6" i="49"/>
  <c r="F16" i="34"/>
  <c r="F28" i="48"/>
  <c r="C114" i="39"/>
  <c r="F115" i="49"/>
  <c r="J239" i="13"/>
  <c r="F239" i="49"/>
  <c r="C258" i="12"/>
  <c r="F259" i="49"/>
  <c r="C203" i="39"/>
  <c r="F204" i="49"/>
  <c r="F128" i="32"/>
  <c r="G128" i="32" s="1"/>
  <c r="F129" i="49"/>
  <c r="C313" i="39"/>
  <c r="F314" i="49"/>
  <c r="J223" i="13"/>
  <c r="F223" i="49"/>
  <c r="C121" i="33"/>
  <c r="F122" i="49"/>
  <c r="C281" i="39"/>
  <c r="F282" i="49"/>
  <c r="C153" i="33"/>
  <c r="F154" i="49"/>
  <c r="C61" i="33"/>
  <c r="E61" i="33" s="1"/>
  <c r="F62" i="49"/>
  <c r="C305" i="39"/>
  <c r="F306" i="49"/>
  <c r="C212" i="39"/>
  <c r="F213" i="49"/>
  <c r="F127" i="32"/>
  <c r="F128" i="49"/>
  <c r="C291" i="12"/>
  <c r="F292" i="49"/>
  <c r="C11" i="12"/>
  <c r="F12" i="49"/>
  <c r="C134" i="33"/>
  <c r="F135" i="49"/>
  <c r="F63" i="49"/>
  <c r="F78" i="49"/>
  <c r="C171" i="12"/>
  <c r="F172" i="49"/>
  <c r="C275" i="33"/>
  <c r="F276" i="49"/>
  <c r="C309" i="12"/>
  <c r="F310" i="49"/>
  <c r="F265" i="32"/>
  <c r="F266" i="49"/>
  <c r="C186" i="12"/>
  <c r="F187" i="49"/>
  <c r="F100" i="49"/>
  <c r="C57" i="33"/>
  <c r="F58" i="49"/>
  <c r="F261" i="49"/>
  <c r="F166" i="32"/>
  <c r="G166" i="32" s="1"/>
  <c r="F167" i="49"/>
  <c r="C268" i="12"/>
  <c r="F269" i="49"/>
  <c r="C143" i="12"/>
  <c r="F144" i="49"/>
  <c r="F69" i="32"/>
  <c r="F70" i="49"/>
  <c r="F45" i="32"/>
  <c r="F46" i="49"/>
  <c r="C73" i="12"/>
  <c r="F74" i="49"/>
  <c r="C123" i="33"/>
  <c r="F124" i="49"/>
  <c r="F96" i="49"/>
  <c r="F310" i="32"/>
  <c r="G310" i="32" s="1"/>
  <c r="F311" i="49"/>
  <c r="C286" i="12"/>
  <c r="F287" i="49"/>
  <c r="J199" i="13"/>
  <c r="F199" i="49"/>
  <c r="F56" i="32"/>
  <c r="F57" i="49"/>
  <c r="F293" i="32"/>
  <c r="F294" i="49"/>
  <c r="J202" i="13"/>
  <c r="F202" i="49"/>
  <c r="C204" i="39"/>
  <c r="F205" i="49"/>
  <c r="F96" i="32"/>
  <c r="G96" i="32" s="1"/>
  <c r="F97" i="49"/>
  <c r="J27" i="13"/>
  <c r="F27" i="49"/>
  <c r="C92" i="33"/>
  <c r="F93" i="49"/>
  <c r="F111" i="32"/>
  <c r="G111" i="32" s="1"/>
  <c r="F112" i="49"/>
  <c r="C17" i="12"/>
  <c r="F18" i="49"/>
  <c r="J34" i="13"/>
  <c r="F34" i="49"/>
  <c r="F137" i="32"/>
  <c r="F138" i="49"/>
  <c r="C282" i="33"/>
  <c r="F283" i="49"/>
  <c r="C141" i="12"/>
  <c r="F142" i="49"/>
  <c r="J307" i="13"/>
  <c r="F307" i="49"/>
  <c r="C234" i="39"/>
  <c r="F235" i="49"/>
  <c r="C157" i="33"/>
  <c r="F158" i="49"/>
  <c r="C65" i="33"/>
  <c r="F66" i="49"/>
  <c r="C229" i="39"/>
  <c r="F230" i="49"/>
  <c r="J220" i="13"/>
  <c r="F220" i="49"/>
  <c r="J26" i="13"/>
  <c r="F26" i="49"/>
  <c r="F273" i="49"/>
  <c r="C87" i="33"/>
  <c r="E87" i="33" s="1"/>
  <c r="F88" i="49"/>
  <c r="F303" i="49"/>
  <c r="J7" i="13"/>
  <c r="F7" i="49"/>
  <c r="F33" i="49"/>
  <c r="F104" i="49"/>
  <c r="F295" i="49"/>
  <c r="J254" i="13"/>
  <c r="F254" i="49"/>
  <c r="C206" i="12"/>
  <c r="F207" i="49"/>
  <c r="C136" i="12"/>
  <c r="F137" i="49"/>
  <c r="C301" i="33"/>
  <c r="F302" i="49"/>
  <c r="F265" i="49"/>
  <c r="F210" i="49"/>
  <c r="C174" i="39"/>
  <c r="F175" i="49"/>
  <c r="F136" i="49"/>
  <c r="C29" i="12"/>
  <c r="F30" i="49"/>
  <c r="F288" i="32"/>
  <c r="G288" i="32" s="1"/>
  <c r="F289" i="49"/>
  <c r="C225" i="39"/>
  <c r="F226" i="49"/>
  <c r="C196" i="33"/>
  <c r="F197" i="49"/>
  <c r="C147" i="12"/>
  <c r="F148" i="49"/>
  <c r="F98" i="49"/>
  <c r="F232" i="32"/>
  <c r="F233" i="49"/>
  <c r="J54" i="13"/>
  <c r="F54" i="49"/>
  <c r="F8" i="49"/>
  <c r="C49" i="39"/>
  <c r="F50" i="49"/>
  <c r="C251" i="12"/>
  <c r="F252" i="49"/>
  <c r="F181" i="32"/>
  <c r="G181" i="32" s="1"/>
  <c r="F182" i="49"/>
  <c r="C150" i="39"/>
  <c r="F151" i="49"/>
  <c r="J279" i="13"/>
  <c r="F279" i="49"/>
  <c r="C190" i="12"/>
  <c r="F191" i="49"/>
  <c r="C316" i="12"/>
  <c r="F317" i="49"/>
  <c r="C230" i="39"/>
  <c r="F231" i="49"/>
  <c r="F189" i="32"/>
  <c r="F190" i="49"/>
  <c r="C108" i="12"/>
  <c r="F109" i="49"/>
  <c r="C259" i="39"/>
  <c r="F260" i="49"/>
  <c r="C173" i="12"/>
  <c r="F174" i="49"/>
  <c r="J111" i="13"/>
  <c r="F111" i="49"/>
  <c r="F86" i="32"/>
  <c r="F87" i="49"/>
  <c r="J312" i="13"/>
  <c r="F312" i="49"/>
  <c r="F224" i="32"/>
  <c r="F225" i="49"/>
  <c r="C24" i="12"/>
  <c r="F25" i="49"/>
  <c r="J10" i="13"/>
  <c r="F10" i="49"/>
  <c r="J141" i="13"/>
  <c r="F141" i="49"/>
  <c r="C167" i="39"/>
  <c r="F168" i="49"/>
  <c r="C39" i="33"/>
  <c r="F40" i="49"/>
  <c r="C146" i="39"/>
  <c r="F147" i="49"/>
  <c r="F219" i="49"/>
  <c r="C132" i="39"/>
  <c r="F133" i="49"/>
  <c r="C297" i="12"/>
  <c r="F298" i="49"/>
  <c r="J222" i="13"/>
  <c r="F222" i="49"/>
  <c r="F60" i="32"/>
  <c r="F61" i="49"/>
  <c r="C300" i="12"/>
  <c r="F301" i="49"/>
  <c r="F193" i="49"/>
  <c r="J170" i="13"/>
  <c r="F170" i="49"/>
  <c r="J24" i="13"/>
  <c r="F24" i="49"/>
  <c r="C315" i="33"/>
  <c r="E315" i="33" s="1"/>
  <c r="F316" i="49"/>
  <c r="J131" i="13"/>
  <c r="F131" i="49"/>
  <c r="C245" i="12"/>
  <c r="F246" i="49"/>
  <c r="C145" i="39"/>
  <c r="F146" i="49"/>
  <c r="C8" i="39"/>
  <c r="F9" i="49"/>
  <c r="C239" i="39"/>
  <c r="F240" i="49"/>
  <c r="C144" i="39"/>
  <c r="F145" i="49"/>
  <c r="C267" i="39"/>
  <c r="F268" i="49"/>
  <c r="J116" i="13"/>
  <c r="F116" i="49"/>
  <c r="F223" i="32"/>
  <c r="G223" i="32" s="1"/>
  <c r="F224" i="49"/>
  <c r="C168" i="12"/>
  <c r="F169" i="49"/>
  <c r="C274" i="33"/>
  <c r="F275" i="49"/>
  <c r="C314" i="12"/>
  <c r="F315" i="49"/>
  <c r="J243" i="13"/>
  <c r="F243" i="49"/>
  <c r="C116" i="12"/>
  <c r="F117" i="49"/>
  <c r="F207" i="32"/>
  <c r="F208" i="49"/>
  <c r="C317" i="39"/>
  <c r="F318" i="49"/>
  <c r="J241" i="13"/>
  <c r="F241" i="49"/>
  <c r="C194" i="12"/>
  <c r="F195" i="49"/>
  <c r="J270" i="13"/>
  <c r="F270" i="49"/>
  <c r="C197" i="12"/>
  <c r="F198" i="49"/>
  <c r="F113" i="49"/>
  <c r="F276" i="32"/>
  <c r="F277" i="49"/>
  <c r="C184" i="39"/>
  <c r="F185" i="49"/>
  <c r="C271" i="12"/>
  <c r="F272" i="49"/>
  <c r="C91" i="33"/>
  <c r="F92" i="49"/>
  <c r="F70" i="32"/>
  <c r="F71" i="49"/>
  <c r="F281" i="49"/>
  <c r="C102" i="12"/>
  <c r="F103" i="49"/>
  <c r="J263" i="13"/>
  <c r="F263" i="49"/>
  <c r="F20" i="49"/>
  <c r="F49" i="49"/>
  <c r="C172" i="39"/>
  <c r="F173" i="49"/>
  <c r="F321" i="49"/>
  <c r="C270" i="39"/>
  <c r="F271" i="49"/>
  <c r="C285" i="33"/>
  <c r="E285" i="33" s="1"/>
  <c r="F286" i="49"/>
  <c r="F322" i="49"/>
  <c r="F319" i="49"/>
  <c r="C191" i="12"/>
  <c r="F192" i="49"/>
  <c r="F291" i="49"/>
  <c r="F250" i="49"/>
  <c r="F203" i="49"/>
  <c r="C158" i="33"/>
  <c r="F159" i="49"/>
  <c r="F117" i="32"/>
  <c r="G117" i="32" s="1"/>
  <c r="F118" i="49"/>
  <c r="C312" i="33"/>
  <c r="F313" i="49"/>
  <c r="F278" i="49"/>
  <c r="F244" i="32"/>
  <c r="G244" i="32" s="1"/>
  <c r="F245" i="49"/>
  <c r="F206" i="49"/>
  <c r="C148" i="12"/>
  <c r="F149" i="49"/>
  <c r="F38" i="49"/>
  <c r="J285" i="13"/>
  <c r="F285" i="49"/>
  <c r="F209" i="49"/>
  <c r="C160" i="33"/>
  <c r="F161" i="49"/>
  <c r="J120" i="13"/>
  <c r="F120" i="49"/>
  <c r="C250" i="33"/>
  <c r="F251" i="49"/>
  <c r="F81" i="49"/>
  <c r="C163" i="12"/>
  <c r="F164" i="49"/>
  <c r="C193" i="39"/>
  <c r="F194" i="49"/>
  <c r="J280" i="13"/>
  <c r="F280" i="49"/>
  <c r="F300" i="49"/>
  <c r="F179" i="49"/>
  <c r="F227" i="49"/>
  <c r="C233" i="33"/>
  <c r="F234" i="49"/>
  <c r="F184" i="49"/>
  <c r="C319" i="33"/>
  <c r="F320" i="49"/>
  <c r="C261" i="39"/>
  <c r="F262" i="49"/>
  <c r="J215" i="13"/>
  <c r="F215" i="49"/>
  <c r="F183" i="49"/>
  <c r="F132" i="49"/>
  <c r="C21" i="33"/>
  <c r="E21" i="33" s="1"/>
  <c r="F22" i="49"/>
  <c r="J309" i="13"/>
  <c r="F309" i="49"/>
  <c r="F257" i="49"/>
  <c r="C217" i="12"/>
  <c r="F218" i="49"/>
  <c r="F162" i="49"/>
  <c r="J121" i="13"/>
  <c r="F121" i="49"/>
  <c r="F37" i="49"/>
  <c r="F221" i="49"/>
  <c r="C188" i="33"/>
  <c r="E188" i="33" s="1"/>
  <c r="F189" i="49"/>
  <c r="C64" i="12"/>
  <c r="F65" i="49"/>
  <c r="F156" i="49"/>
  <c r="F246" i="32"/>
  <c r="F247" i="49"/>
  <c r="F155" i="49"/>
  <c r="F99" i="49"/>
  <c r="F255" i="49"/>
  <c r="F215" i="32"/>
  <c r="G215" i="32" s="1"/>
  <c r="F216" i="49"/>
  <c r="J177" i="13"/>
  <c r="F177" i="49"/>
  <c r="C185" i="39"/>
  <c r="F186" i="49"/>
  <c r="F153" i="49"/>
  <c r="F304" i="32"/>
  <c r="F305" i="49"/>
  <c r="F160" i="49"/>
  <c r="F64" i="49"/>
  <c r="F299" i="49"/>
  <c r="C257" i="33"/>
  <c r="F258" i="49"/>
  <c r="F227" i="32"/>
  <c r="G227" i="32" s="1"/>
  <c r="F228" i="49"/>
  <c r="C170" i="39"/>
  <c r="F171" i="49"/>
  <c r="J110" i="13"/>
  <c r="F110" i="49"/>
  <c r="F16" i="32"/>
  <c r="F17" i="49"/>
  <c r="F290" i="49"/>
  <c r="F253" i="49"/>
  <c r="F214" i="49"/>
  <c r="C177" i="33"/>
  <c r="E177" i="33" s="1"/>
  <c r="F178" i="49"/>
  <c r="C139" i="12"/>
  <c r="F140" i="49"/>
  <c r="J293" i="13"/>
  <c r="F293" i="49"/>
  <c r="F264" i="49"/>
  <c r="C216" i="12"/>
  <c r="F217" i="49"/>
  <c r="F152" i="49"/>
  <c r="C322" i="33"/>
  <c r="E322" i="33" s="1"/>
  <c r="F323" i="49"/>
  <c r="C237" i="12"/>
  <c r="F238" i="49"/>
  <c r="F133" i="32"/>
  <c r="F134" i="49"/>
  <c r="C72" i="39"/>
  <c r="F73" i="49"/>
  <c r="C107" i="33"/>
  <c r="E107" i="33" s="1"/>
  <c r="F108" i="49"/>
  <c r="C104" i="39"/>
  <c r="F105" i="49"/>
  <c r="C101" i="12"/>
  <c r="F102" i="49"/>
  <c r="F101" i="49"/>
  <c r="C93" i="39"/>
  <c r="F94" i="49"/>
  <c r="F89" i="49"/>
  <c r="F86" i="49"/>
  <c r="F82" i="49"/>
  <c r="C75" i="33"/>
  <c r="F76" i="49"/>
  <c r="C68" i="12"/>
  <c r="F69" i="49"/>
  <c r="F55" i="49"/>
  <c r="J53" i="13"/>
  <c r="F53" i="49"/>
  <c r="J45" i="13"/>
  <c r="F45" i="49"/>
  <c r="F44" i="49"/>
  <c r="F42" i="32"/>
  <c r="G42" i="32" s="1"/>
  <c r="F43" i="49"/>
  <c r="F42" i="49"/>
  <c r="C40" i="12"/>
  <c r="F41" i="49"/>
  <c r="C35" i="33"/>
  <c r="F36" i="49"/>
  <c r="F28" i="32"/>
  <c r="F29" i="49"/>
  <c r="H324" i="49"/>
  <c r="C22" i="39"/>
  <c r="F23" i="49"/>
  <c r="F21" i="49"/>
  <c r="F77" i="34"/>
  <c r="F334" i="34" s="1"/>
  <c r="T325" i="19"/>
  <c r="C62" i="12"/>
  <c r="G211" i="49"/>
  <c r="G32" i="49"/>
  <c r="G176" i="49"/>
  <c r="G35" i="49"/>
  <c r="G59" i="49"/>
  <c r="G72" i="49"/>
  <c r="G85" i="49"/>
  <c r="G127" i="49"/>
  <c r="G212" i="49"/>
  <c r="G126" i="49"/>
  <c r="G56" i="49"/>
  <c r="G288" i="49"/>
  <c r="G237" i="49"/>
  <c r="G284" i="49"/>
  <c r="G236" i="49"/>
  <c r="G200" i="49"/>
  <c r="G181" i="49"/>
  <c r="G48" i="49"/>
  <c r="G242" i="49"/>
  <c r="G11" i="49"/>
  <c r="G143" i="49"/>
  <c r="G180" i="49"/>
  <c r="G157" i="49"/>
  <c r="G229" i="49"/>
  <c r="G166" i="49"/>
  <c r="G163" i="49"/>
  <c r="G52" i="49"/>
  <c r="G119" i="49"/>
  <c r="G165" i="49"/>
  <c r="G28" i="49"/>
  <c r="G51" i="49"/>
  <c r="G19" i="49"/>
  <c r="G114" i="49"/>
  <c r="G125" i="49"/>
  <c r="G14" i="49"/>
  <c r="G267" i="49"/>
  <c r="G31" i="49"/>
  <c r="G39" i="49"/>
  <c r="G67" i="49"/>
  <c r="G304" i="49"/>
  <c r="G15" i="49"/>
  <c r="G196" i="49"/>
  <c r="G150" i="49"/>
  <c r="G274" i="49"/>
  <c r="G248" i="49"/>
  <c r="G83" i="49"/>
  <c r="G79" i="49"/>
  <c r="G232" i="49"/>
  <c r="G75" i="49"/>
  <c r="G91" i="49"/>
  <c r="G13" i="49"/>
  <c r="G16" i="49"/>
  <c r="G107" i="49"/>
  <c r="G47" i="49"/>
  <c r="G68" i="49"/>
  <c r="G84" i="49"/>
  <c r="G297" i="49"/>
  <c r="G139" i="49"/>
  <c r="G123" i="49"/>
  <c r="G244" i="49"/>
  <c r="G80" i="49"/>
  <c r="G308" i="49"/>
  <c r="G77" i="49"/>
  <c r="G249" i="49"/>
  <c r="G106" i="49"/>
  <c r="G90" i="49"/>
  <c r="G95" i="49"/>
  <c r="G256" i="49"/>
  <c r="G188" i="49"/>
  <c r="G130" i="49"/>
  <c r="G201" i="49"/>
  <c r="G296" i="49"/>
  <c r="G60" i="49"/>
  <c r="C5" i="9"/>
  <c r="D324" i="25"/>
  <c r="D323" i="33"/>
  <c r="R325" i="19"/>
  <c r="F153" i="32" l="1"/>
  <c r="C11" i="39"/>
  <c r="C204" i="12"/>
  <c r="C238" i="33"/>
  <c r="E238" i="33" s="1"/>
  <c r="J128" i="13"/>
  <c r="C33" i="33"/>
  <c r="E33" i="33" s="1"/>
  <c r="C121" i="39"/>
  <c r="J46" i="13"/>
  <c r="C65" i="12"/>
  <c r="C127" i="39"/>
  <c r="C230" i="12"/>
  <c r="J204" i="13"/>
  <c r="F219" i="32"/>
  <c r="G219" i="32" s="1"/>
  <c r="C306" i="33"/>
  <c r="E306" i="33" s="1"/>
  <c r="J112" i="13"/>
  <c r="J124" i="13"/>
  <c r="C253" i="33"/>
  <c r="E253" i="33" s="1"/>
  <c r="C278" i="33"/>
  <c r="E278" i="33" s="1"/>
  <c r="C198" i="33"/>
  <c r="E198" i="33" s="1"/>
  <c r="C229" i="33"/>
  <c r="E229" i="33" s="1"/>
  <c r="J158" i="13"/>
  <c r="J283" i="13"/>
  <c r="C111" i="39"/>
  <c r="C26" i="39"/>
  <c r="F198" i="32"/>
  <c r="G198" i="32" s="1"/>
  <c r="C6" i="33"/>
  <c r="F9" i="48" s="1"/>
  <c r="J9" i="13"/>
  <c r="C116" i="39"/>
  <c r="C169" i="33"/>
  <c r="E169" i="33" s="1"/>
  <c r="F146" i="32"/>
  <c r="G146" i="32" s="1"/>
  <c r="C245" i="39"/>
  <c r="J65" i="13"/>
  <c r="C197" i="33"/>
  <c r="E197" i="33" s="1"/>
  <c r="J234" i="13"/>
  <c r="J213" i="13"/>
  <c r="J50" i="13"/>
  <c r="F61" i="32"/>
  <c r="G61" i="32" s="1"/>
  <c r="C316" i="39"/>
  <c r="C181" i="33"/>
  <c r="E181" i="33" s="1"/>
  <c r="C286" i="39"/>
  <c r="C276" i="39"/>
  <c r="C317" i="12"/>
  <c r="J145" i="13"/>
  <c r="C140" i="39"/>
  <c r="J8" i="49"/>
  <c r="K8" i="49" s="1"/>
  <c r="J306" i="13"/>
  <c r="C221" i="33"/>
  <c r="E221" i="33" s="1"/>
  <c r="C110" i="33"/>
  <c r="E110" i="33" s="1"/>
  <c r="C281" i="33"/>
  <c r="E281" i="33" s="1"/>
  <c r="F258" i="32"/>
  <c r="G258" i="32" s="1"/>
  <c r="C65" i="39"/>
  <c r="C269" i="33"/>
  <c r="E269" i="33" s="1"/>
  <c r="C265" i="33"/>
  <c r="E265" i="33" s="1"/>
  <c r="F139" i="32"/>
  <c r="G139" i="32" s="1"/>
  <c r="C176" i="39"/>
  <c r="C110" i="39"/>
  <c r="F222" i="32"/>
  <c r="G222" i="32" s="1"/>
  <c r="C181" i="39"/>
  <c r="F104" i="32"/>
  <c r="G104" i="32" s="1"/>
  <c r="C130" i="12"/>
  <c r="F297" i="32"/>
  <c r="G297" i="32" s="1"/>
  <c r="C5" i="39"/>
  <c r="G36" i="49"/>
  <c r="J36" i="13"/>
  <c r="F35" i="32"/>
  <c r="G35" i="32" s="1"/>
  <c r="C35" i="39"/>
  <c r="G42" i="49"/>
  <c r="J42" i="13"/>
  <c r="C41" i="33"/>
  <c r="E41" i="33" s="1"/>
  <c r="C41" i="39"/>
  <c r="C41" i="12"/>
  <c r="F41" i="32"/>
  <c r="G41" i="32" s="1"/>
  <c r="G44" i="49"/>
  <c r="C43" i="39"/>
  <c r="C43" i="33"/>
  <c r="E43" i="33" s="1"/>
  <c r="F43" i="32"/>
  <c r="G43" i="32" s="1"/>
  <c r="G53" i="49"/>
  <c r="C52" i="33"/>
  <c r="E52" i="33" s="1"/>
  <c r="C52" i="12"/>
  <c r="F52" i="32"/>
  <c r="G52" i="32" s="1"/>
  <c r="G82" i="49"/>
  <c r="C81" i="12"/>
  <c r="G89" i="49"/>
  <c r="C88" i="39"/>
  <c r="C88" i="33"/>
  <c r="E88" i="33" s="1"/>
  <c r="J89" i="13"/>
  <c r="G101" i="49"/>
  <c r="C100" i="33"/>
  <c r="E100" i="33" s="1"/>
  <c r="C100" i="12"/>
  <c r="G105" i="49"/>
  <c r="C104" i="12"/>
  <c r="C104" i="33"/>
  <c r="E104" i="33" s="1"/>
  <c r="G73" i="49"/>
  <c r="J73" i="13"/>
  <c r="C72" i="33"/>
  <c r="E72" i="33" s="1"/>
  <c r="F72" i="32"/>
  <c r="G72" i="32" s="1"/>
  <c r="G238" i="49"/>
  <c r="F237" i="32"/>
  <c r="G237" i="32" s="1"/>
  <c r="C237" i="39"/>
  <c r="G152" i="49"/>
  <c r="F151" i="32"/>
  <c r="G151" i="32" s="1"/>
  <c r="C151" i="39"/>
  <c r="C151" i="33"/>
  <c r="E151" i="33" s="1"/>
  <c r="G264" i="49"/>
  <c r="C263" i="33"/>
  <c r="E263" i="33" s="1"/>
  <c r="C263" i="39"/>
  <c r="G140" i="49"/>
  <c r="C139" i="39"/>
  <c r="J140" i="13"/>
  <c r="G214" i="49"/>
  <c r="J214" i="13"/>
  <c r="F213" i="32"/>
  <c r="G213" i="32" s="1"/>
  <c r="C213" i="33"/>
  <c r="E213" i="33" s="1"/>
  <c r="G290" i="49"/>
  <c r="C289" i="12"/>
  <c r="C289" i="33"/>
  <c r="E289" i="33" s="1"/>
  <c r="C289" i="39"/>
  <c r="G110" i="49"/>
  <c r="C109" i="39"/>
  <c r="F109" i="32"/>
  <c r="G109" i="32" s="1"/>
  <c r="C109" i="33"/>
  <c r="E109" i="33" s="1"/>
  <c r="G228" i="49"/>
  <c r="C227" i="39"/>
  <c r="C227" i="12"/>
  <c r="G299" i="49"/>
  <c r="J299" i="13"/>
  <c r="C298" i="33"/>
  <c r="E298" i="33" s="1"/>
  <c r="F298" i="32"/>
  <c r="G298" i="32" s="1"/>
  <c r="G160" i="49"/>
  <c r="J160" i="13"/>
  <c r="C159" i="39"/>
  <c r="G153" i="49"/>
  <c r="F152" i="32"/>
  <c r="G152" i="32" s="1"/>
  <c r="J153" i="13"/>
  <c r="C152" i="12"/>
  <c r="C152" i="33"/>
  <c r="E152" i="33" s="1"/>
  <c r="G177" i="49"/>
  <c r="C176" i="12"/>
  <c r="C176" i="33"/>
  <c r="E176" i="33" s="1"/>
  <c r="G255" i="49"/>
  <c r="J255" i="13"/>
  <c r="F254" i="32"/>
  <c r="G254" i="32" s="1"/>
  <c r="C254" i="33"/>
  <c r="E254" i="33" s="1"/>
  <c r="C254" i="39"/>
  <c r="G155" i="49"/>
  <c r="C154" i="33"/>
  <c r="E154" i="33" s="1"/>
  <c r="J155" i="13"/>
  <c r="G156" i="49"/>
  <c r="C155" i="33"/>
  <c r="E155" i="33" s="1"/>
  <c r="C155" i="12"/>
  <c r="C155" i="39"/>
  <c r="G189" i="49"/>
  <c r="C188" i="39"/>
  <c r="F188" i="32"/>
  <c r="G188" i="32" s="1"/>
  <c r="J189" i="13"/>
  <c r="G37" i="49"/>
  <c r="C36" i="39"/>
  <c r="C36" i="12"/>
  <c r="C36" i="33"/>
  <c r="G162" i="49"/>
  <c r="C161" i="12"/>
  <c r="F161" i="32"/>
  <c r="G161" i="32" s="1"/>
  <c r="C161" i="39"/>
  <c r="G257" i="49"/>
  <c r="C256" i="39"/>
  <c r="C256" i="33"/>
  <c r="E256" i="33" s="1"/>
  <c r="F256" i="32"/>
  <c r="G256" i="32" s="1"/>
  <c r="G22" i="49"/>
  <c r="C21" i="39"/>
  <c r="C21" i="12"/>
  <c r="F21" i="32"/>
  <c r="G21" i="32" s="1"/>
  <c r="G183" i="49"/>
  <c r="C182" i="39"/>
  <c r="C182" i="12"/>
  <c r="F182" i="32"/>
  <c r="G182" i="32" s="1"/>
  <c r="G262" i="49"/>
  <c r="C261" i="33"/>
  <c r="E261" i="33" s="1"/>
  <c r="C261" i="12"/>
  <c r="G184" i="49"/>
  <c r="C183" i="12"/>
  <c r="C183" i="33"/>
  <c r="E183" i="33" s="1"/>
  <c r="C183" i="39"/>
  <c r="G227" i="49"/>
  <c r="F226" i="32"/>
  <c r="G226" i="32" s="1"/>
  <c r="C226" i="33"/>
  <c r="E226" i="33" s="1"/>
  <c r="J227" i="13"/>
  <c r="C226" i="39"/>
  <c r="G300" i="49"/>
  <c r="C299" i="12"/>
  <c r="C299" i="33"/>
  <c r="E299" i="33" s="1"/>
  <c r="G194" i="49"/>
  <c r="C193" i="12"/>
  <c r="F193" i="32"/>
  <c r="G193" i="32" s="1"/>
  <c r="C193" i="33"/>
  <c r="E193" i="33" s="1"/>
  <c r="G81" i="49"/>
  <c r="C80" i="33"/>
  <c r="E80" i="33" s="1"/>
  <c r="F80" i="32"/>
  <c r="G80" i="32" s="1"/>
  <c r="C80" i="39"/>
  <c r="G120" i="49"/>
  <c r="C119" i="33"/>
  <c r="E119" i="33" s="1"/>
  <c r="F119" i="32"/>
  <c r="G119" i="32" s="1"/>
  <c r="G209" i="49"/>
  <c r="C208" i="33"/>
  <c r="E208" i="33" s="1"/>
  <c r="F208" i="32"/>
  <c r="G208" i="32" s="1"/>
  <c r="C208" i="39"/>
  <c r="G38" i="49"/>
  <c r="C37" i="12"/>
  <c r="F37" i="32"/>
  <c r="G37" i="32" s="1"/>
  <c r="C37" i="33"/>
  <c r="E37" i="33" s="1"/>
  <c r="C37" i="39"/>
  <c r="G206" i="49"/>
  <c r="C205" i="39"/>
  <c r="C205" i="12"/>
  <c r="F205" i="32"/>
  <c r="G205" i="32" s="1"/>
  <c r="G278" i="49"/>
  <c r="C277" i="39"/>
  <c r="C277" i="12"/>
  <c r="F277" i="32"/>
  <c r="G277" i="32" s="1"/>
  <c r="C277" i="33"/>
  <c r="E277" i="33" s="1"/>
  <c r="G118" i="49"/>
  <c r="C117" i="12"/>
  <c r="G203" i="49"/>
  <c r="J203" i="13"/>
  <c r="C202" i="39"/>
  <c r="F202" i="32"/>
  <c r="G202" i="32" s="1"/>
  <c r="C202" i="33"/>
  <c r="E202" i="33" s="1"/>
  <c r="G291" i="49"/>
  <c r="C290" i="39"/>
  <c r="C290" i="12"/>
  <c r="F290" i="32"/>
  <c r="G290" i="32" s="1"/>
  <c r="G319" i="49"/>
  <c r="C318" i="39"/>
  <c r="F318" i="32"/>
  <c r="G318" i="32" s="1"/>
  <c r="C318" i="33"/>
  <c r="E318" i="33" s="1"/>
  <c r="G286" i="49"/>
  <c r="C285" i="39"/>
  <c r="C285" i="12"/>
  <c r="J286" i="13"/>
  <c r="G321" i="49"/>
  <c r="C320" i="33"/>
  <c r="E320" i="33" s="1"/>
  <c r="F320" i="32"/>
  <c r="G320" i="32" s="1"/>
  <c r="C320" i="12"/>
  <c r="J321" i="13"/>
  <c r="G49" i="49"/>
  <c r="C48" i="39"/>
  <c r="C48" i="33"/>
  <c r="E48" i="33" s="1"/>
  <c r="J49" i="13"/>
  <c r="C48" i="12"/>
  <c r="G263" i="49"/>
  <c r="C262" i="12"/>
  <c r="F262" i="32"/>
  <c r="G262" i="32" s="1"/>
  <c r="C262" i="33"/>
  <c r="E262" i="33" s="1"/>
  <c r="G281" i="49"/>
  <c r="C280" i="12"/>
  <c r="F280" i="32"/>
  <c r="G280" i="32" s="1"/>
  <c r="J281" i="13"/>
  <c r="C280" i="39"/>
  <c r="G92" i="49"/>
  <c r="J92" i="13"/>
  <c r="C91" i="39"/>
  <c r="C91" i="12"/>
  <c r="G185" i="49"/>
  <c r="C184" i="33"/>
  <c r="E184" i="33" s="1"/>
  <c r="J185" i="13"/>
  <c r="F184" i="32"/>
  <c r="G184" i="32" s="1"/>
  <c r="G113" i="49"/>
  <c r="F112" i="32"/>
  <c r="G112" i="32" s="1"/>
  <c r="J113" i="13"/>
  <c r="C112" i="12"/>
  <c r="G270" i="49"/>
  <c r="C269" i="39"/>
  <c r="C269" i="12"/>
  <c r="F269" i="32"/>
  <c r="G269" i="32" s="1"/>
  <c r="G241" i="49"/>
  <c r="C240" i="33"/>
  <c r="E240" i="33" s="1"/>
  <c r="F240" i="32"/>
  <c r="G240" i="32" s="1"/>
  <c r="C240" i="12"/>
  <c r="G208" i="49"/>
  <c r="C207" i="33"/>
  <c r="E207" i="33" s="1"/>
  <c r="J208" i="13"/>
  <c r="C207" i="39"/>
  <c r="G243" i="49"/>
  <c r="C242" i="12"/>
  <c r="F242" i="32"/>
  <c r="G242" i="32" s="1"/>
  <c r="C242" i="33"/>
  <c r="E242" i="33" s="1"/>
  <c r="G275" i="49"/>
  <c r="C274" i="12"/>
  <c r="J275" i="13"/>
  <c r="C274" i="39"/>
  <c r="G224" i="49"/>
  <c r="C223" i="39"/>
  <c r="J224" i="13"/>
  <c r="C223" i="33"/>
  <c r="E223" i="33" s="1"/>
  <c r="G268" i="49"/>
  <c r="J268" i="13"/>
  <c r="F267" i="32"/>
  <c r="G267" i="32" s="1"/>
  <c r="C267" i="12"/>
  <c r="C267" i="33"/>
  <c r="E267" i="33" s="1"/>
  <c r="G240" i="49"/>
  <c r="C239" i="12"/>
  <c r="C239" i="33"/>
  <c r="E239" i="33" s="1"/>
  <c r="F239" i="32"/>
  <c r="G239" i="32" s="1"/>
  <c r="G146" i="49"/>
  <c r="F145" i="32"/>
  <c r="G145" i="32" s="1"/>
  <c r="J146" i="13"/>
  <c r="C145" i="12"/>
  <c r="G131" i="49"/>
  <c r="C130" i="39"/>
  <c r="F130" i="32"/>
  <c r="G130" i="32" s="1"/>
  <c r="C130" i="33"/>
  <c r="E130" i="33" s="1"/>
  <c r="G24" i="49"/>
  <c r="C23" i="39"/>
  <c r="C23" i="33"/>
  <c r="E23" i="33" s="1"/>
  <c r="F23" i="32"/>
  <c r="G23" i="32" s="1"/>
  <c r="G193" i="49"/>
  <c r="J193" i="13"/>
  <c r="C192" i="12"/>
  <c r="C192" i="39"/>
  <c r="G61" i="49"/>
  <c r="C60" i="12"/>
  <c r="J61" i="13"/>
  <c r="C60" i="39"/>
  <c r="C60" i="33"/>
  <c r="E60" i="33" s="1"/>
  <c r="G298" i="49"/>
  <c r="C297" i="39"/>
  <c r="J298" i="13"/>
  <c r="C297" i="33"/>
  <c r="E297" i="33" s="1"/>
  <c r="G219" i="49"/>
  <c r="J219" i="13"/>
  <c r="C218" i="33"/>
  <c r="E218" i="33" s="1"/>
  <c r="C218" i="39"/>
  <c r="C218" i="12"/>
  <c r="F218" i="32"/>
  <c r="G218" i="32" s="1"/>
  <c r="G40" i="49"/>
  <c r="C39" i="39"/>
  <c r="C39" i="12"/>
  <c r="F39" i="32"/>
  <c r="G39" i="32" s="1"/>
  <c r="G141" i="49"/>
  <c r="C140" i="33"/>
  <c r="E140" i="33" s="1"/>
  <c r="C140" i="12"/>
  <c r="F140" i="32"/>
  <c r="G140" i="32" s="1"/>
  <c r="G25" i="49"/>
  <c r="C24" i="39"/>
  <c r="F24" i="32"/>
  <c r="G24" i="32" s="1"/>
  <c r="C24" i="33"/>
  <c r="E24" i="33" s="1"/>
  <c r="J25" i="13"/>
  <c r="G312" i="49"/>
  <c r="C311" i="39"/>
  <c r="F311" i="32"/>
  <c r="G311" i="32" s="1"/>
  <c r="C311" i="33"/>
  <c r="E311" i="33" s="1"/>
  <c r="G111" i="49"/>
  <c r="C110" i="12"/>
  <c r="F110" i="32"/>
  <c r="G110" i="32" s="1"/>
  <c r="G260" i="49"/>
  <c r="C259" i="33"/>
  <c r="E259" i="33" s="1"/>
  <c r="J260" i="13"/>
  <c r="F259" i="32"/>
  <c r="G259" i="32" s="1"/>
  <c r="G190" i="49"/>
  <c r="J190" i="13"/>
  <c r="C189" i="33"/>
  <c r="E189" i="33" s="1"/>
  <c r="C189" i="12"/>
  <c r="G317" i="49"/>
  <c r="C316" i="33"/>
  <c r="E316" i="33" s="1"/>
  <c r="J317" i="13"/>
  <c r="F316" i="32"/>
  <c r="G316" i="32" s="1"/>
  <c r="G279" i="49"/>
  <c r="C278" i="12"/>
  <c r="F278" i="32"/>
  <c r="G278" i="32" s="1"/>
  <c r="G182" i="49"/>
  <c r="C181" i="12"/>
  <c r="J182" i="13"/>
  <c r="G50" i="49"/>
  <c r="C49" i="12"/>
  <c r="F49" i="32"/>
  <c r="G49" i="32" s="1"/>
  <c r="G54" i="49"/>
  <c r="C53" i="12"/>
  <c r="C53" i="39"/>
  <c r="F53" i="32"/>
  <c r="G53" i="32" s="1"/>
  <c r="C53" i="33"/>
  <c r="E53" i="33" s="1"/>
  <c r="G98" i="49"/>
  <c r="F97" i="32"/>
  <c r="G97" i="32" s="1"/>
  <c r="C97" i="12"/>
  <c r="J98" i="13"/>
  <c r="C97" i="33"/>
  <c r="E97" i="33" s="1"/>
  <c r="G197" i="49"/>
  <c r="J197" i="13"/>
  <c r="F196" i="32"/>
  <c r="G196" i="32" s="1"/>
  <c r="C196" i="39"/>
  <c r="C196" i="12"/>
  <c r="G289" i="49"/>
  <c r="C288" i="39"/>
  <c r="J289" i="13"/>
  <c r="C288" i="12"/>
  <c r="G136" i="49"/>
  <c r="C135" i="33"/>
  <c r="E135" i="33" s="1"/>
  <c r="J136" i="13"/>
  <c r="F135" i="32"/>
  <c r="G135" i="32" s="1"/>
  <c r="C135" i="39"/>
  <c r="G210" i="49"/>
  <c r="C209" i="39"/>
  <c r="C209" i="33"/>
  <c r="E209" i="33" s="1"/>
  <c r="J210" i="13"/>
  <c r="C209" i="12"/>
  <c r="F209" i="32"/>
  <c r="G209" i="32" s="1"/>
  <c r="G302" i="49"/>
  <c r="C301" i="39"/>
  <c r="J302" i="13"/>
  <c r="C301" i="12"/>
  <c r="G207" i="49"/>
  <c r="C206" i="39"/>
  <c r="J207" i="13"/>
  <c r="C206" i="33"/>
  <c r="E206" i="33" s="1"/>
  <c r="G295" i="49"/>
  <c r="J295" i="13"/>
  <c r="C294" i="33"/>
  <c r="E294" i="33" s="1"/>
  <c r="C294" i="39"/>
  <c r="F294" i="32"/>
  <c r="G294" i="32" s="1"/>
  <c r="G33" i="49"/>
  <c r="C32" i="39"/>
  <c r="J33" i="13"/>
  <c r="C32" i="33"/>
  <c r="E32" i="33" s="1"/>
  <c r="F32" i="32"/>
  <c r="G32" i="32" s="1"/>
  <c r="G303" i="49"/>
  <c r="J303" i="13"/>
  <c r="C302" i="33"/>
  <c r="E302" i="33" s="1"/>
  <c r="C302" i="39"/>
  <c r="C302" i="12"/>
  <c r="F302" i="32"/>
  <c r="G302" i="32" s="1"/>
  <c r="G273" i="49"/>
  <c r="C272" i="12"/>
  <c r="J273" i="13"/>
  <c r="C272" i="33"/>
  <c r="E272" i="33" s="1"/>
  <c r="F272" i="32"/>
  <c r="G272" i="32" s="1"/>
  <c r="G220" i="49"/>
  <c r="C219" i="39"/>
  <c r="C219" i="12"/>
  <c r="G66" i="49"/>
  <c r="J66" i="13"/>
  <c r="F65" i="32"/>
  <c r="G65" i="32" s="1"/>
  <c r="G235" i="49"/>
  <c r="J235" i="13"/>
  <c r="C234" i="12"/>
  <c r="F234" i="32"/>
  <c r="G234" i="32" s="1"/>
  <c r="G142" i="49"/>
  <c r="J142" i="13"/>
  <c r="C141" i="33"/>
  <c r="E141" i="33" s="1"/>
  <c r="C141" i="39"/>
  <c r="F141" i="32"/>
  <c r="G141" i="32" s="1"/>
  <c r="G138" i="49"/>
  <c r="C137" i="39"/>
  <c r="J138" i="13"/>
  <c r="C137" i="12"/>
  <c r="G18" i="49"/>
  <c r="J18" i="13"/>
  <c r="F17" i="32"/>
  <c r="G17" i="32" s="1"/>
  <c r="C17" i="33"/>
  <c r="E17" i="33" s="1"/>
  <c r="G93" i="49"/>
  <c r="C92" i="39"/>
  <c r="J93" i="13"/>
  <c r="C92" i="12"/>
  <c r="G97" i="49"/>
  <c r="J97" i="13"/>
  <c r="C96" i="12"/>
  <c r="C96" i="39"/>
  <c r="C96" i="33"/>
  <c r="E96" i="33" s="1"/>
  <c r="G202" i="49"/>
  <c r="C201" i="12"/>
  <c r="F201" i="32"/>
  <c r="G201" i="32" s="1"/>
  <c r="C201" i="33"/>
  <c r="E201" i="33" s="1"/>
  <c r="G57" i="49"/>
  <c r="C56" i="12"/>
  <c r="J57" i="13"/>
  <c r="C56" i="39"/>
  <c r="G287" i="49"/>
  <c r="F286" i="32"/>
  <c r="G286" i="32" s="1"/>
  <c r="C286" i="33"/>
  <c r="E286" i="33" s="1"/>
  <c r="J287" i="13"/>
  <c r="G96" i="49"/>
  <c r="C95" i="33"/>
  <c r="E95" i="33" s="1"/>
  <c r="C95" i="12"/>
  <c r="F95" i="32"/>
  <c r="G95" i="32" s="1"/>
  <c r="G74" i="49"/>
  <c r="J74" i="13"/>
  <c r="C73" i="33"/>
  <c r="E73" i="33" s="1"/>
  <c r="F73" i="32"/>
  <c r="G73" i="32" s="1"/>
  <c r="G70" i="49"/>
  <c r="C69" i="39"/>
  <c r="C69" i="33"/>
  <c r="E69" i="33" s="1"/>
  <c r="C69" i="12"/>
  <c r="G269" i="49"/>
  <c r="C268" i="39"/>
  <c r="J269" i="13"/>
  <c r="C268" i="33"/>
  <c r="E268" i="33" s="1"/>
  <c r="F268" i="32"/>
  <c r="G268" i="32" s="1"/>
  <c r="G261" i="49"/>
  <c r="J261" i="13"/>
  <c r="F260" i="32"/>
  <c r="G260" i="32" s="1"/>
  <c r="C260" i="12"/>
  <c r="C260" i="39"/>
  <c r="G100" i="49"/>
  <c r="C99" i="12"/>
  <c r="J100" i="13"/>
  <c r="C99" i="33"/>
  <c r="E99" i="33" s="1"/>
  <c r="F99" i="32"/>
  <c r="G99" i="32" s="1"/>
  <c r="G266" i="49"/>
  <c r="C265" i="39"/>
  <c r="J266" i="13"/>
  <c r="C265" i="12"/>
  <c r="G276" i="49"/>
  <c r="J276" i="13"/>
  <c r="F275" i="32"/>
  <c r="G275" i="32" s="1"/>
  <c r="C275" i="12"/>
  <c r="C275" i="39"/>
  <c r="G78" i="49"/>
  <c r="C77" i="39"/>
  <c r="F77" i="32"/>
  <c r="G77" i="32" s="1"/>
  <c r="J78" i="13"/>
  <c r="C77" i="12"/>
  <c r="G135" i="49"/>
  <c r="C134" i="39"/>
  <c r="J135" i="13"/>
  <c r="C134" i="12"/>
  <c r="F134" i="32"/>
  <c r="G134" i="32" s="1"/>
  <c r="G292" i="49"/>
  <c r="F291" i="32"/>
  <c r="G291" i="32" s="1"/>
  <c r="J292" i="13"/>
  <c r="C291" i="39"/>
  <c r="G213" i="49"/>
  <c r="C212" i="12"/>
  <c r="C212" i="33"/>
  <c r="E212" i="33" s="1"/>
  <c r="G62" i="49"/>
  <c r="C61" i="12"/>
  <c r="C61" i="39"/>
  <c r="G282" i="49"/>
  <c r="C281" i="12"/>
  <c r="F281" i="32"/>
  <c r="G281" i="32" s="1"/>
  <c r="G223" i="49"/>
  <c r="C222" i="12"/>
  <c r="C222" i="39"/>
  <c r="G129" i="49"/>
  <c r="J129" i="13"/>
  <c r="C128" i="12"/>
  <c r="C128" i="39"/>
  <c r="G259" i="49"/>
  <c r="J259" i="13"/>
  <c r="C258" i="33"/>
  <c r="E258" i="33" s="1"/>
  <c r="C258" i="39"/>
  <c r="G115" i="49"/>
  <c r="J115" i="13"/>
  <c r="C114" i="33"/>
  <c r="E114" i="33" s="1"/>
  <c r="C114" i="12"/>
  <c r="C291" i="33"/>
  <c r="E291" i="33" s="1"/>
  <c r="F212" i="32"/>
  <c r="G212" i="32" s="1"/>
  <c r="C259" i="12"/>
  <c r="J62" i="13"/>
  <c r="C189" i="39"/>
  <c r="J282" i="13"/>
  <c r="C222" i="33"/>
  <c r="E222" i="33" s="1"/>
  <c r="C278" i="39"/>
  <c r="C128" i="33"/>
  <c r="E128" i="33" s="1"/>
  <c r="C49" i="33"/>
  <c r="E49" i="33" s="1"/>
  <c r="C219" i="33"/>
  <c r="E219" i="33" s="1"/>
  <c r="J105" i="13"/>
  <c r="C112" i="33"/>
  <c r="E112" i="33" s="1"/>
  <c r="C234" i="33"/>
  <c r="E234" i="33" s="1"/>
  <c r="C207" i="12"/>
  <c r="C17" i="39"/>
  <c r="F274" i="32"/>
  <c r="G274" i="32" s="1"/>
  <c r="C223" i="12"/>
  <c r="J240" i="13"/>
  <c r="C56" i="33"/>
  <c r="E56" i="33" s="1"/>
  <c r="C95" i="39"/>
  <c r="C73" i="39"/>
  <c r="F192" i="32"/>
  <c r="G192" i="32" s="1"/>
  <c r="C99" i="39"/>
  <c r="J40" i="13"/>
  <c r="C35" i="12"/>
  <c r="C288" i="33"/>
  <c r="E288" i="33" s="1"/>
  <c r="F301" i="32"/>
  <c r="G301" i="32" s="1"/>
  <c r="C294" i="12"/>
  <c r="F81" i="32"/>
  <c r="G81" i="32" s="1"/>
  <c r="J152" i="13"/>
  <c r="C213" i="39"/>
  <c r="C298" i="39"/>
  <c r="F154" i="32"/>
  <c r="G154" i="32" s="1"/>
  <c r="J118" i="13"/>
  <c r="G69" i="49"/>
  <c r="J69" i="13"/>
  <c r="F68" i="32"/>
  <c r="G68" i="32" s="1"/>
  <c r="C68" i="33"/>
  <c r="E68" i="33" s="1"/>
  <c r="F91" i="32"/>
  <c r="G91" i="32" s="1"/>
  <c r="C184" i="12"/>
  <c r="C112" i="39"/>
  <c r="C52" i="39"/>
  <c r="C240" i="39"/>
  <c r="C137" i="33"/>
  <c r="E137" i="33" s="1"/>
  <c r="C242" i="39"/>
  <c r="F92" i="32"/>
  <c r="G92" i="32" s="1"/>
  <c r="C201" i="39"/>
  <c r="C145" i="33"/>
  <c r="E145" i="33" s="1"/>
  <c r="C68" i="39"/>
  <c r="J96" i="13"/>
  <c r="C23" i="12"/>
  <c r="J70" i="13"/>
  <c r="C192" i="33"/>
  <c r="E192" i="33" s="1"/>
  <c r="C260" i="33"/>
  <c r="E260" i="33" s="1"/>
  <c r="C77" i="33"/>
  <c r="E77" i="33" s="1"/>
  <c r="C311" i="12"/>
  <c r="F114" i="32"/>
  <c r="G114" i="32" s="1"/>
  <c r="C97" i="39"/>
  <c r="C135" i="12"/>
  <c r="F206" i="32"/>
  <c r="G206" i="32" s="1"/>
  <c r="C32" i="12"/>
  <c r="C81" i="39"/>
  <c r="C263" i="12"/>
  <c r="J290" i="13"/>
  <c r="C159" i="33"/>
  <c r="E159" i="33" s="1"/>
  <c r="C154" i="39"/>
  <c r="C161" i="33"/>
  <c r="E161" i="33" s="1"/>
  <c r="C119" i="39"/>
  <c r="J319" i="13"/>
  <c r="G21" i="49"/>
  <c r="C20" i="12"/>
  <c r="J159" i="13"/>
  <c r="C5" i="12"/>
  <c r="C25" i="12"/>
  <c r="C271" i="33"/>
  <c r="E271" i="33" s="1"/>
  <c r="F115" i="32"/>
  <c r="G115" i="32" s="1"/>
  <c r="C315" i="12"/>
  <c r="F5" i="32"/>
  <c r="J6" i="13"/>
  <c r="F308" i="32"/>
  <c r="G308" i="32" s="1"/>
  <c r="F284" i="32"/>
  <c r="G284" i="32" s="1"/>
  <c r="C100" i="39"/>
  <c r="C20" i="39"/>
  <c r="J314" i="13"/>
  <c r="C293" i="39"/>
  <c r="J311" i="13"/>
  <c r="C5" i="33"/>
  <c r="E5" i="33" s="1"/>
  <c r="C20" i="33"/>
  <c r="E20" i="33" s="1"/>
  <c r="J7" i="49"/>
  <c r="L7" i="49" s="1"/>
  <c r="J9" i="49"/>
  <c r="J13" i="49"/>
  <c r="J17" i="49"/>
  <c r="J21" i="49"/>
  <c r="J25" i="49"/>
  <c r="J29" i="49"/>
  <c r="J33" i="49"/>
  <c r="J37" i="49"/>
  <c r="J41" i="49"/>
  <c r="J45" i="49"/>
  <c r="J49" i="49"/>
  <c r="J53" i="49"/>
  <c r="J57" i="49"/>
  <c r="J61" i="49"/>
  <c r="J65" i="49"/>
  <c r="J69" i="49"/>
  <c r="J12" i="49"/>
  <c r="J18" i="49"/>
  <c r="J23" i="49"/>
  <c r="J28" i="49"/>
  <c r="J34" i="49"/>
  <c r="J39" i="49"/>
  <c r="J44" i="49"/>
  <c r="J50" i="49"/>
  <c r="J55" i="49"/>
  <c r="J60" i="49"/>
  <c r="J66" i="49"/>
  <c r="J71" i="49"/>
  <c r="J75" i="49"/>
  <c r="J79" i="49"/>
  <c r="J83" i="49"/>
  <c r="J87" i="49"/>
  <c r="J91" i="49"/>
  <c r="J95" i="49"/>
  <c r="J99" i="49"/>
  <c r="J103" i="49"/>
  <c r="J107" i="49"/>
  <c r="J111" i="49"/>
  <c r="J115" i="49"/>
  <c r="J119" i="49"/>
  <c r="L119" i="49" s="1"/>
  <c r="J123" i="49"/>
  <c r="J127" i="49"/>
  <c r="L127" i="49" s="1"/>
  <c r="J131" i="49"/>
  <c r="L131" i="49" s="1"/>
  <c r="J135" i="49"/>
  <c r="L135" i="49" s="1"/>
  <c r="J139" i="49"/>
  <c r="J143" i="49"/>
  <c r="J147" i="49"/>
  <c r="J151" i="49"/>
  <c r="L151" i="49" s="1"/>
  <c r="J155" i="49"/>
  <c r="L155" i="49" s="1"/>
  <c r="J159" i="49"/>
  <c r="J163" i="49"/>
  <c r="J167" i="49"/>
  <c r="J171" i="49"/>
  <c r="J175" i="49"/>
  <c r="J179" i="49"/>
  <c r="J183" i="49"/>
  <c r="J187" i="49"/>
  <c r="J191" i="49"/>
  <c r="J195" i="49"/>
  <c r="J199" i="49"/>
  <c r="J203" i="49"/>
  <c r="J207" i="49"/>
  <c r="L207" i="49" s="1"/>
  <c r="J211" i="49"/>
  <c r="J215" i="49"/>
  <c r="J219" i="49"/>
  <c r="J223" i="49"/>
  <c r="J227" i="49"/>
  <c r="J231" i="49"/>
  <c r="L231" i="49" s="1"/>
  <c r="J235" i="49"/>
  <c r="J11" i="49"/>
  <c r="J19" i="49"/>
  <c r="J26" i="49"/>
  <c r="J32" i="49"/>
  <c r="J40" i="49"/>
  <c r="J47" i="49"/>
  <c r="J54" i="49"/>
  <c r="J62" i="49"/>
  <c r="J68" i="49"/>
  <c r="J74" i="49"/>
  <c r="J80" i="49"/>
  <c r="J85" i="49"/>
  <c r="J90" i="49"/>
  <c r="J96" i="49"/>
  <c r="J101" i="49"/>
  <c r="J106" i="49"/>
  <c r="J112" i="49"/>
  <c r="L112" i="49" s="1"/>
  <c r="J117" i="49"/>
  <c r="L117" i="49" s="1"/>
  <c r="J122" i="49"/>
  <c r="L122" i="49" s="1"/>
  <c r="J128" i="49"/>
  <c r="L128" i="49" s="1"/>
  <c r="J133" i="49"/>
  <c r="J138" i="49"/>
  <c r="J144" i="49"/>
  <c r="L144" i="49" s="1"/>
  <c r="J149" i="49"/>
  <c r="L149" i="49" s="1"/>
  <c r="J154" i="49"/>
  <c r="L154" i="49" s="1"/>
  <c r="J160" i="49"/>
  <c r="J165" i="49"/>
  <c r="J170" i="49"/>
  <c r="J176" i="49"/>
  <c r="J181" i="49"/>
  <c r="J186" i="49"/>
  <c r="J192" i="49"/>
  <c r="J197" i="49"/>
  <c r="J202" i="49"/>
  <c r="J208" i="49"/>
  <c r="L208" i="49" s="1"/>
  <c r="J213" i="49"/>
  <c r="J218" i="49"/>
  <c r="J224" i="49"/>
  <c r="J229" i="49"/>
  <c r="J234" i="49"/>
  <c r="J239" i="49"/>
  <c r="J243" i="49"/>
  <c r="J247" i="49"/>
  <c r="J251" i="49"/>
  <c r="J255" i="49"/>
  <c r="J259" i="49"/>
  <c r="J263" i="49"/>
  <c r="J267" i="49"/>
  <c r="J271" i="49"/>
  <c r="J275" i="49"/>
  <c r="J279" i="49"/>
  <c r="J283" i="49"/>
  <c r="L283" i="49" s="1"/>
  <c r="J287" i="49"/>
  <c r="L287" i="49" s="1"/>
  <c r="J291" i="49"/>
  <c r="L291" i="49" s="1"/>
  <c r="J295" i="49"/>
  <c r="J299" i="49"/>
  <c r="J303" i="49"/>
  <c r="J307" i="49"/>
  <c r="J311" i="49"/>
  <c r="J315" i="49"/>
  <c r="J319" i="49"/>
  <c r="J323" i="49"/>
  <c r="J10" i="49"/>
  <c r="J20" i="49"/>
  <c r="J30" i="49"/>
  <c r="J38" i="49"/>
  <c r="J48" i="49"/>
  <c r="J58" i="49"/>
  <c r="J67" i="49"/>
  <c r="J76" i="49"/>
  <c r="J82" i="49"/>
  <c r="J89" i="49"/>
  <c r="J97" i="49"/>
  <c r="J104" i="49"/>
  <c r="J110" i="49"/>
  <c r="J118" i="49"/>
  <c r="J125" i="49"/>
  <c r="J132" i="49"/>
  <c r="J140" i="49"/>
  <c r="J146" i="49"/>
  <c r="J153" i="49"/>
  <c r="J161" i="49"/>
  <c r="J168" i="49"/>
  <c r="J174" i="49"/>
  <c r="J182" i="49"/>
  <c r="J189" i="49"/>
  <c r="J196" i="49"/>
  <c r="L196" i="49" s="1"/>
  <c r="J204" i="49"/>
  <c r="J210" i="49"/>
  <c r="J217" i="49"/>
  <c r="J225" i="49"/>
  <c r="J232" i="49"/>
  <c r="J238" i="49"/>
  <c r="J244" i="49"/>
  <c r="J249" i="49"/>
  <c r="J254" i="49"/>
  <c r="J260" i="49"/>
  <c r="J265" i="49"/>
  <c r="J270" i="49"/>
  <c r="J276" i="49"/>
  <c r="J281" i="49"/>
  <c r="J286" i="49"/>
  <c r="L286" i="49" s="1"/>
  <c r="J292" i="49"/>
  <c r="L292" i="49" s="1"/>
  <c r="J297" i="49"/>
  <c r="J302" i="49"/>
  <c r="J308" i="49"/>
  <c r="J313" i="49"/>
  <c r="J318" i="49"/>
  <c r="J14" i="49"/>
  <c r="L14" i="49" s="1"/>
  <c r="J22" i="49"/>
  <c r="J31" i="49"/>
  <c r="J42" i="49"/>
  <c r="J51" i="49"/>
  <c r="J59" i="49"/>
  <c r="J70" i="49"/>
  <c r="J77" i="49"/>
  <c r="J84" i="49"/>
  <c r="J92" i="49"/>
  <c r="J98" i="49"/>
  <c r="J105" i="49"/>
  <c r="J113" i="49"/>
  <c r="J120" i="49"/>
  <c r="L120" i="49" s="1"/>
  <c r="J126" i="49"/>
  <c r="L126" i="49" s="1"/>
  <c r="J134" i="49"/>
  <c r="L134" i="49" s="1"/>
  <c r="J141" i="49"/>
  <c r="J148" i="49"/>
  <c r="J156" i="49"/>
  <c r="L156" i="49" s="1"/>
  <c r="J162" i="49"/>
  <c r="J169" i="49"/>
  <c r="J177" i="49"/>
  <c r="J184" i="49"/>
  <c r="J190" i="49"/>
  <c r="J198" i="49"/>
  <c r="J205" i="49"/>
  <c r="J212" i="49"/>
  <c r="J220" i="49"/>
  <c r="J226" i="49"/>
  <c r="L226" i="49" s="1"/>
  <c r="J233" i="49"/>
  <c r="J240" i="49"/>
  <c r="J245" i="49"/>
  <c r="J250" i="49"/>
  <c r="J256" i="49"/>
  <c r="J261" i="49"/>
  <c r="J266" i="49"/>
  <c r="J272" i="49"/>
  <c r="J277" i="49"/>
  <c r="J282" i="49"/>
  <c r="J288" i="49"/>
  <c r="L288" i="49" s="1"/>
  <c r="J293" i="49"/>
  <c r="J298" i="49"/>
  <c r="J304" i="49"/>
  <c r="L304" i="49" s="1"/>
  <c r="J309" i="49"/>
  <c r="J314" i="49"/>
  <c r="L314" i="49" s="1"/>
  <c r="J320" i="49"/>
  <c r="J15" i="49"/>
  <c r="J24" i="49"/>
  <c r="J35" i="49"/>
  <c r="J43" i="49"/>
  <c r="J52" i="49"/>
  <c r="J63" i="49"/>
  <c r="J72" i="49"/>
  <c r="J78" i="49"/>
  <c r="J86" i="49"/>
  <c r="J93" i="49"/>
  <c r="J100" i="49"/>
  <c r="J108" i="49"/>
  <c r="J114" i="49"/>
  <c r="L114" i="49" s="1"/>
  <c r="J121" i="49"/>
  <c r="L121" i="49" s="1"/>
  <c r="J129" i="49"/>
  <c r="L129" i="49" s="1"/>
  <c r="J136" i="49"/>
  <c r="J142" i="49"/>
  <c r="J150" i="49"/>
  <c r="L150" i="49" s="1"/>
  <c r="J157" i="49"/>
  <c r="J164" i="49"/>
  <c r="J172" i="49"/>
  <c r="J178" i="49"/>
  <c r="J185" i="49"/>
  <c r="J193" i="49"/>
  <c r="J200" i="49"/>
  <c r="J206" i="49"/>
  <c r="J214" i="49"/>
  <c r="J221" i="49"/>
  <c r="J228" i="49"/>
  <c r="J236" i="49"/>
  <c r="J241" i="49"/>
  <c r="J246" i="49"/>
  <c r="J252" i="49"/>
  <c r="J257" i="49"/>
  <c r="J262" i="49"/>
  <c r="J268" i="49"/>
  <c r="J273" i="49"/>
  <c r="J278" i="49"/>
  <c r="J284" i="49"/>
  <c r="L284" i="49" s="1"/>
  <c r="J289" i="49"/>
  <c r="L289" i="49" s="1"/>
  <c r="J294" i="49"/>
  <c r="J300" i="49"/>
  <c r="J305" i="49"/>
  <c r="L305" i="49" s="1"/>
  <c r="J310" i="49"/>
  <c r="J316" i="49"/>
  <c r="J321" i="49"/>
  <c r="J46" i="49"/>
  <c r="J81" i="49"/>
  <c r="J109" i="49"/>
  <c r="J137" i="49"/>
  <c r="L137" i="49" s="1"/>
  <c r="J166" i="49"/>
  <c r="J194" i="49"/>
  <c r="J222" i="49"/>
  <c r="J248" i="49"/>
  <c r="J269" i="49"/>
  <c r="J290" i="49"/>
  <c r="L290" i="49" s="1"/>
  <c r="J312" i="49"/>
  <c r="J64" i="49"/>
  <c r="J180" i="49"/>
  <c r="J258" i="49"/>
  <c r="J301" i="49"/>
  <c r="J36" i="49"/>
  <c r="J73" i="49"/>
  <c r="J102" i="49"/>
  <c r="J130" i="49"/>
  <c r="L130" i="49" s="1"/>
  <c r="J158" i="49"/>
  <c r="L158" i="49" s="1"/>
  <c r="J188" i="49"/>
  <c r="J216" i="49"/>
  <c r="J242" i="49"/>
  <c r="J264" i="49"/>
  <c r="J285" i="49"/>
  <c r="L285" i="49" s="1"/>
  <c r="J306" i="49"/>
  <c r="J16" i="49"/>
  <c r="J56" i="49"/>
  <c r="J88" i="49"/>
  <c r="J116" i="49"/>
  <c r="J145" i="49"/>
  <c r="J173" i="49"/>
  <c r="J201" i="49"/>
  <c r="J230" i="49"/>
  <c r="L230" i="49" s="1"/>
  <c r="J253" i="49"/>
  <c r="J274" i="49"/>
  <c r="J296" i="49"/>
  <c r="J317" i="49"/>
  <c r="J27" i="49"/>
  <c r="J94" i="49"/>
  <c r="J124" i="49"/>
  <c r="L124" i="49" s="1"/>
  <c r="J152" i="49"/>
  <c r="J209" i="49"/>
  <c r="J237" i="49"/>
  <c r="J280" i="49"/>
  <c r="J322" i="49"/>
  <c r="L322" i="49" s="1"/>
  <c r="C313" i="33"/>
  <c r="E313" i="33" s="1"/>
  <c r="C310" i="33"/>
  <c r="E310" i="33" s="1"/>
  <c r="C299" i="39"/>
  <c r="C293" i="33"/>
  <c r="E293" i="33" s="1"/>
  <c r="C292" i="39"/>
  <c r="J262" i="13"/>
  <c r="J228" i="13"/>
  <c r="C221" i="39"/>
  <c r="C190" i="39"/>
  <c r="C167" i="12"/>
  <c r="C166" i="33"/>
  <c r="E166" i="33" s="1"/>
  <c r="F159" i="32"/>
  <c r="G159" i="32" s="1"/>
  <c r="C132" i="12"/>
  <c r="J94" i="13"/>
  <c r="C93" i="33"/>
  <c r="E93" i="33" s="1"/>
  <c r="F88" i="32"/>
  <c r="G88" i="32" s="1"/>
  <c r="F57" i="32"/>
  <c r="G57" i="32" s="1"/>
  <c r="J44" i="13"/>
  <c r="J29" i="13"/>
  <c r="F20" i="32"/>
  <c r="G20" i="32" s="1"/>
  <c r="G23" i="49"/>
  <c r="C22" i="12"/>
  <c r="G29" i="49"/>
  <c r="C28" i="33"/>
  <c r="E28" i="33" s="1"/>
  <c r="C28" i="12"/>
  <c r="G41" i="49"/>
  <c r="J41" i="13"/>
  <c r="F40" i="32"/>
  <c r="G40" i="32" s="1"/>
  <c r="C40" i="39"/>
  <c r="C40" i="33"/>
  <c r="E40" i="33" s="1"/>
  <c r="G43" i="49"/>
  <c r="C42" i="39"/>
  <c r="C42" i="12"/>
  <c r="G45" i="49"/>
  <c r="C44" i="12"/>
  <c r="F44" i="32"/>
  <c r="G44" i="32" s="1"/>
  <c r="C44" i="39"/>
  <c r="G55" i="49"/>
  <c r="C54" i="12"/>
  <c r="C54" i="39"/>
  <c r="F54" i="32"/>
  <c r="G54" i="32" s="1"/>
  <c r="G76" i="49"/>
  <c r="J76" i="13"/>
  <c r="C75" i="39"/>
  <c r="F75" i="32"/>
  <c r="G75" i="32" s="1"/>
  <c r="G86" i="49"/>
  <c r="C85" i="12"/>
  <c r="C85" i="39"/>
  <c r="C85" i="33"/>
  <c r="E85" i="33" s="1"/>
  <c r="J86" i="13"/>
  <c r="G94" i="49"/>
  <c r="F93" i="32"/>
  <c r="G93" i="32" s="1"/>
  <c r="C93" i="12"/>
  <c r="G102" i="49"/>
  <c r="F101" i="32"/>
  <c r="G101" i="32" s="1"/>
  <c r="J102" i="13"/>
  <c r="C101" i="39"/>
  <c r="C101" i="33"/>
  <c r="E101" i="33" s="1"/>
  <c r="G108" i="49"/>
  <c r="J108" i="13"/>
  <c r="C107" i="12"/>
  <c r="F107" i="32"/>
  <c r="G107" i="32" s="1"/>
  <c r="G134" i="49"/>
  <c r="C133" i="39"/>
  <c r="C133" i="33"/>
  <c r="E133" i="33" s="1"/>
  <c r="C133" i="12"/>
  <c r="J134" i="13"/>
  <c r="G323" i="49"/>
  <c r="C322" i="12"/>
  <c r="F322" i="32"/>
  <c r="G322" i="32" s="1"/>
  <c r="C322" i="39"/>
  <c r="G217" i="49"/>
  <c r="J217" i="13"/>
  <c r="F216" i="32"/>
  <c r="G216" i="32" s="1"/>
  <c r="C216" i="33"/>
  <c r="E216" i="33" s="1"/>
  <c r="C216" i="39"/>
  <c r="G293" i="49"/>
  <c r="C292" i="33"/>
  <c r="E292" i="33" s="1"/>
  <c r="F292" i="32"/>
  <c r="G292" i="32" s="1"/>
  <c r="C292" i="12"/>
  <c r="G178" i="49"/>
  <c r="C177" i="12"/>
  <c r="J178" i="13"/>
  <c r="C177" i="39"/>
  <c r="F177" i="32"/>
  <c r="G177" i="32" s="1"/>
  <c r="G253" i="49"/>
  <c r="C252" i="33"/>
  <c r="E252" i="33" s="1"/>
  <c r="J253" i="13"/>
  <c r="C252" i="12"/>
  <c r="F252" i="32"/>
  <c r="G252" i="32" s="1"/>
  <c r="G17" i="49"/>
  <c r="J17" i="13"/>
  <c r="C16" i="33"/>
  <c r="E16" i="33" s="1"/>
  <c r="C16" i="39"/>
  <c r="C16" i="12"/>
  <c r="G171" i="49"/>
  <c r="F170" i="32"/>
  <c r="G170" i="32" s="1"/>
  <c r="C170" i="33"/>
  <c r="E170" i="33" s="1"/>
  <c r="C170" i="12"/>
  <c r="J171" i="13"/>
  <c r="G258" i="49"/>
  <c r="C257" i="12"/>
  <c r="C257" i="39"/>
  <c r="J258" i="13"/>
  <c r="F257" i="32"/>
  <c r="G257" i="32" s="1"/>
  <c r="G64" i="49"/>
  <c r="C63" i="12"/>
  <c r="F63" i="32"/>
  <c r="G63" i="32" s="1"/>
  <c r="C63" i="33"/>
  <c r="E63" i="33" s="1"/>
  <c r="J64" i="13"/>
  <c r="G305" i="49"/>
  <c r="C304" i="39"/>
  <c r="J305" i="13"/>
  <c r="C304" i="12"/>
  <c r="C304" i="33"/>
  <c r="E304" i="33" s="1"/>
  <c r="G186" i="49"/>
  <c r="F185" i="32"/>
  <c r="G185" i="32" s="1"/>
  <c r="J186" i="13"/>
  <c r="C185" i="12"/>
  <c r="C185" i="33"/>
  <c r="E185" i="33" s="1"/>
  <c r="G216" i="49"/>
  <c r="C215" i="12"/>
  <c r="J216" i="13"/>
  <c r="C215" i="39"/>
  <c r="C215" i="33"/>
  <c r="E215" i="33" s="1"/>
  <c r="G99" i="49"/>
  <c r="J99" i="13"/>
  <c r="C98" i="33"/>
  <c r="E98" i="33" s="1"/>
  <c r="C98" i="39"/>
  <c r="F98" i="32"/>
  <c r="G98" i="32" s="1"/>
  <c r="G247" i="49"/>
  <c r="J247" i="13"/>
  <c r="C246" i="39"/>
  <c r="C246" i="12"/>
  <c r="C246" i="33"/>
  <c r="E246" i="33" s="1"/>
  <c r="G65" i="49"/>
  <c r="C64" i="33"/>
  <c r="E64" i="33" s="1"/>
  <c r="C64" i="39"/>
  <c r="F64" i="32"/>
  <c r="G64" i="32" s="1"/>
  <c r="G221" i="49"/>
  <c r="J221" i="13"/>
  <c r="F220" i="32"/>
  <c r="G220" i="32" s="1"/>
  <c r="C220" i="39"/>
  <c r="C220" i="33"/>
  <c r="E220" i="33" s="1"/>
  <c r="G121" i="49"/>
  <c r="C120" i="12"/>
  <c r="C120" i="33"/>
  <c r="E120" i="33" s="1"/>
  <c r="C120" i="39"/>
  <c r="G218" i="49"/>
  <c r="J218" i="13"/>
  <c r="C217" i="33"/>
  <c r="E217" i="33" s="1"/>
  <c r="F217" i="32"/>
  <c r="G217" i="32" s="1"/>
  <c r="C217" i="39"/>
  <c r="G309" i="49"/>
  <c r="C308" i="12"/>
  <c r="C308" i="33"/>
  <c r="E308" i="33" s="1"/>
  <c r="C308" i="39"/>
  <c r="G132" i="49"/>
  <c r="J132" i="13"/>
  <c r="F131" i="32"/>
  <c r="G131" i="32" s="1"/>
  <c r="C131" i="33"/>
  <c r="E131" i="33" s="1"/>
  <c r="C131" i="39"/>
  <c r="G215" i="49"/>
  <c r="F214" i="32"/>
  <c r="G214" i="32" s="1"/>
  <c r="C214" i="12"/>
  <c r="C214" i="39"/>
  <c r="G320" i="49"/>
  <c r="J320" i="13"/>
  <c r="F319" i="32"/>
  <c r="G319" i="32" s="1"/>
  <c r="C319" i="39"/>
  <c r="C319" i="12"/>
  <c r="G234" i="49"/>
  <c r="C233" i="12"/>
  <c r="C233" i="39"/>
  <c r="F233" i="32"/>
  <c r="G233" i="32" s="1"/>
  <c r="G179" i="49"/>
  <c r="J179" i="13"/>
  <c r="C178" i="39"/>
  <c r="C178" i="33"/>
  <c r="E178" i="33" s="1"/>
  <c r="C178" i="12"/>
  <c r="G280" i="49"/>
  <c r="C279" i="12"/>
  <c r="C279" i="39"/>
  <c r="C279" i="33"/>
  <c r="E279" i="33" s="1"/>
  <c r="G164" i="49"/>
  <c r="J164" i="13"/>
  <c r="F163" i="32"/>
  <c r="G163" i="32" s="1"/>
  <c r="C163" i="39"/>
  <c r="C163" i="33"/>
  <c r="E163" i="33" s="1"/>
  <c r="G251" i="49"/>
  <c r="C250" i="12"/>
  <c r="C250" i="39"/>
  <c r="F250" i="32"/>
  <c r="G250" i="32" s="1"/>
  <c r="G161" i="49"/>
  <c r="J161" i="13"/>
  <c r="C160" i="12"/>
  <c r="C160" i="39"/>
  <c r="F160" i="32"/>
  <c r="G160" i="32" s="1"/>
  <c r="G285" i="49"/>
  <c r="C284" i="12"/>
  <c r="C284" i="33"/>
  <c r="E284" i="33" s="1"/>
  <c r="C284" i="39"/>
  <c r="G149" i="49"/>
  <c r="J149" i="13"/>
  <c r="F148" i="32"/>
  <c r="G148" i="32" s="1"/>
  <c r="C148" i="33"/>
  <c r="E148" i="33" s="1"/>
  <c r="C148" i="39"/>
  <c r="G245" i="49"/>
  <c r="C244" i="12"/>
  <c r="C244" i="33"/>
  <c r="E244" i="33" s="1"/>
  <c r="C244" i="39"/>
  <c r="G313" i="49"/>
  <c r="J313" i="13"/>
  <c r="F312" i="32"/>
  <c r="G312" i="32" s="1"/>
  <c r="C312" i="39"/>
  <c r="C312" i="12"/>
  <c r="G159" i="49"/>
  <c r="C158" i="12"/>
  <c r="C158" i="39"/>
  <c r="F158" i="32"/>
  <c r="G158" i="32" s="1"/>
  <c r="G250" i="49"/>
  <c r="J250" i="13"/>
  <c r="C249" i="33"/>
  <c r="E249" i="33" s="1"/>
  <c r="C249" i="39"/>
  <c r="F249" i="32"/>
  <c r="G249" i="32" s="1"/>
  <c r="G192" i="49"/>
  <c r="C191" i="39"/>
  <c r="C191" i="33"/>
  <c r="E191" i="33" s="1"/>
  <c r="J192" i="13"/>
  <c r="F191" i="32"/>
  <c r="G191" i="32" s="1"/>
  <c r="G322" i="49"/>
  <c r="F321" i="32"/>
  <c r="G321" i="32" s="1"/>
  <c r="C321" i="33"/>
  <c r="E321" i="33" s="1"/>
  <c r="J322" i="13"/>
  <c r="C321" i="39"/>
  <c r="G271" i="49"/>
  <c r="C270" i="12"/>
  <c r="J271" i="13"/>
  <c r="C270" i="33"/>
  <c r="E270" i="33" s="1"/>
  <c r="F270" i="32"/>
  <c r="G270" i="32" s="1"/>
  <c r="G173" i="49"/>
  <c r="C172" i="33"/>
  <c r="E172" i="33" s="1"/>
  <c r="J173" i="13"/>
  <c r="C172" i="12"/>
  <c r="F172" i="32"/>
  <c r="G172" i="32" s="1"/>
  <c r="G20" i="49"/>
  <c r="C19" i="39"/>
  <c r="J20" i="13"/>
  <c r="F19" i="32"/>
  <c r="G19" i="32" s="1"/>
  <c r="C19" i="12"/>
  <c r="G103" i="49"/>
  <c r="F102" i="32"/>
  <c r="G102" i="32" s="1"/>
  <c r="J103" i="13"/>
  <c r="C102" i="39"/>
  <c r="C102" i="33"/>
  <c r="E102" i="33" s="1"/>
  <c r="G71" i="49"/>
  <c r="C70" i="12"/>
  <c r="J71" i="13"/>
  <c r="C70" i="33"/>
  <c r="E70" i="33" s="1"/>
  <c r="C70" i="39"/>
  <c r="G272" i="49"/>
  <c r="F271" i="32"/>
  <c r="G271" i="32" s="1"/>
  <c r="C271" i="39"/>
  <c r="G277" i="49"/>
  <c r="C276" i="12"/>
  <c r="C276" i="33"/>
  <c r="E276" i="33" s="1"/>
  <c r="G198" i="49"/>
  <c r="F197" i="32"/>
  <c r="G197" i="32" s="1"/>
  <c r="J198" i="13"/>
  <c r="G195" i="49"/>
  <c r="J195" i="13"/>
  <c r="C194" i="33"/>
  <c r="E194" i="33" s="1"/>
  <c r="C194" i="39"/>
  <c r="G318" i="49"/>
  <c r="F317" i="32"/>
  <c r="G317" i="32" s="1"/>
  <c r="J318" i="13"/>
  <c r="C317" i="33"/>
  <c r="E317" i="33" s="1"/>
  <c r="G117" i="49"/>
  <c r="F116" i="32"/>
  <c r="G116" i="32" s="1"/>
  <c r="C116" i="33"/>
  <c r="E116" i="33" s="1"/>
  <c r="J117" i="13"/>
  <c r="G315" i="49"/>
  <c r="C314" i="39"/>
  <c r="C314" i="33"/>
  <c r="E314" i="33" s="1"/>
  <c r="J315" i="13"/>
  <c r="G169" i="49"/>
  <c r="J169" i="13"/>
  <c r="F168" i="32"/>
  <c r="G168" i="32" s="1"/>
  <c r="C168" i="33"/>
  <c r="E168" i="33" s="1"/>
  <c r="G116" i="49"/>
  <c r="C115" i="33"/>
  <c r="E115" i="33" s="1"/>
  <c r="C115" i="12"/>
  <c r="G145" i="49"/>
  <c r="F144" i="32"/>
  <c r="G144" i="32" s="1"/>
  <c r="C144" i="33"/>
  <c r="E144" i="33" s="1"/>
  <c r="G9" i="49"/>
  <c r="C8" i="33"/>
  <c r="E8" i="33" s="1"/>
  <c r="C8" i="12"/>
  <c r="G246" i="49"/>
  <c r="F245" i="32"/>
  <c r="G245" i="32" s="1"/>
  <c r="J246" i="13"/>
  <c r="G316" i="49"/>
  <c r="C315" i="39"/>
  <c r="J316" i="13"/>
  <c r="F315" i="32"/>
  <c r="G315" i="32" s="1"/>
  <c r="G170" i="49"/>
  <c r="F169" i="32"/>
  <c r="G169" i="32" s="1"/>
  <c r="C169" i="12"/>
  <c r="G301" i="49"/>
  <c r="J301" i="13"/>
  <c r="F300" i="32"/>
  <c r="G300" i="32" s="1"/>
  <c r="C300" i="33"/>
  <c r="E300" i="33" s="1"/>
  <c r="G222" i="49"/>
  <c r="F221" i="32"/>
  <c r="G221" i="32" s="1"/>
  <c r="C221" i="12"/>
  <c r="G133" i="49"/>
  <c r="J133" i="13"/>
  <c r="F132" i="32"/>
  <c r="G132" i="32" s="1"/>
  <c r="C132" i="33"/>
  <c r="E132" i="33" s="1"/>
  <c r="G147" i="49"/>
  <c r="C146" i="12"/>
  <c r="J147" i="13"/>
  <c r="C146" i="33"/>
  <c r="E146" i="33" s="1"/>
  <c r="G168" i="49"/>
  <c r="J168" i="13"/>
  <c r="F167" i="32"/>
  <c r="G167" i="32" s="1"/>
  <c r="C167" i="33"/>
  <c r="E167" i="33" s="1"/>
  <c r="G10" i="49"/>
  <c r="C9" i="39"/>
  <c r="C9" i="33"/>
  <c r="E9" i="33" s="1"/>
  <c r="F9" i="32"/>
  <c r="G9" i="32" s="1"/>
  <c r="G225" i="49"/>
  <c r="C224" i="39"/>
  <c r="J225" i="13"/>
  <c r="C224" i="12"/>
  <c r="C224" i="33"/>
  <c r="E224" i="33" s="1"/>
  <c r="G87" i="49"/>
  <c r="C86" i="39"/>
  <c r="J87" i="13"/>
  <c r="C86" i="33"/>
  <c r="E86" i="33" s="1"/>
  <c r="C86" i="12"/>
  <c r="G174" i="49"/>
  <c r="F173" i="32"/>
  <c r="G173" i="32" s="1"/>
  <c r="J174" i="13"/>
  <c r="C173" i="33"/>
  <c r="E173" i="33" s="1"/>
  <c r="G109" i="49"/>
  <c r="C108" i="39"/>
  <c r="J109" i="13"/>
  <c r="F108" i="32"/>
  <c r="G108" i="32" s="1"/>
  <c r="G231" i="49"/>
  <c r="J231" i="13"/>
  <c r="F230" i="32"/>
  <c r="G230" i="32" s="1"/>
  <c r="C230" i="33"/>
  <c r="E230" i="33" s="1"/>
  <c r="G191" i="49"/>
  <c r="F190" i="32"/>
  <c r="G190" i="32" s="1"/>
  <c r="J191" i="13"/>
  <c r="C190" i="33"/>
  <c r="E190" i="33" s="1"/>
  <c r="G151" i="49"/>
  <c r="C150" i="33"/>
  <c r="E150" i="33" s="1"/>
  <c r="F150" i="32"/>
  <c r="G150" i="32" s="1"/>
  <c r="J151" i="13"/>
  <c r="G252" i="49"/>
  <c r="C251" i="33"/>
  <c r="E251" i="33" s="1"/>
  <c r="J252" i="13"/>
  <c r="F251" i="32"/>
  <c r="G251" i="32" s="1"/>
  <c r="G8" i="49"/>
  <c r="C7" i="39"/>
  <c r="F7" i="32"/>
  <c r="G7" i="32" s="1"/>
  <c r="C7" i="33"/>
  <c r="J8" i="13"/>
  <c r="G233" i="49"/>
  <c r="C232" i="12"/>
  <c r="C232" i="33"/>
  <c r="E232" i="33" s="1"/>
  <c r="C232" i="39"/>
  <c r="G148" i="49"/>
  <c r="J148" i="13"/>
  <c r="F147" i="32"/>
  <c r="G147" i="32" s="1"/>
  <c r="C147" i="33"/>
  <c r="E147" i="33" s="1"/>
  <c r="C147" i="39"/>
  <c r="G226" i="49"/>
  <c r="J226" i="13"/>
  <c r="C225" i="12"/>
  <c r="F225" i="32"/>
  <c r="G225" i="32" s="1"/>
  <c r="G30" i="49"/>
  <c r="J30" i="13"/>
  <c r="C29" i="33"/>
  <c r="E29" i="33" s="1"/>
  <c r="C29" i="39"/>
  <c r="F29" i="32"/>
  <c r="G29" i="32" s="1"/>
  <c r="G175" i="49"/>
  <c r="F174" i="32"/>
  <c r="G174" i="32" s="1"/>
  <c r="C174" i="33"/>
  <c r="E174" i="33" s="1"/>
  <c r="C174" i="12"/>
  <c r="J175" i="13"/>
  <c r="G265" i="49"/>
  <c r="C264" i="39"/>
  <c r="J265" i="13"/>
  <c r="F264" i="32"/>
  <c r="G264" i="32" s="1"/>
  <c r="C264" i="12"/>
  <c r="G137" i="49"/>
  <c r="J137" i="13"/>
  <c r="F136" i="32"/>
  <c r="G136" i="32" s="1"/>
  <c r="C136" i="39"/>
  <c r="C136" i="33"/>
  <c r="E136" i="33" s="1"/>
  <c r="G254" i="49"/>
  <c r="C253" i="12"/>
  <c r="C253" i="39"/>
  <c r="F253" i="32"/>
  <c r="G253" i="32" s="1"/>
  <c r="G104" i="49"/>
  <c r="J104" i="13"/>
  <c r="F103" i="32"/>
  <c r="G103" i="32" s="1"/>
  <c r="C103" i="39"/>
  <c r="C103" i="33"/>
  <c r="E103" i="33" s="1"/>
  <c r="G7" i="49"/>
  <c r="C6" i="12"/>
  <c r="F6" i="32"/>
  <c r="G6" i="32" s="1"/>
  <c r="C6" i="39"/>
  <c r="G88" i="49"/>
  <c r="C87" i="39"/>
  <c r="J88" i="13"/>
  <c r="F87" i="32"/>
  <c r="G87" i="32" s="1"/>
  <c r="C87" i="12"/>
  <c r="G26" i="49"/>
  <c r="F25" i="32"/>
  <c r="G25" i="32" s="1"/>
  <c r="C25" i="39"/>
  <c r="C25" i="33"/>
  <c r="E25" i="33" s="1"/>
  <c r="G230" i="49"/>
  <c r="C229" i="12"/>
  <c r="J230" i="13"/>
  <c r="G158" i="49"/>
  <c r="F157" i="32"/>
  <c r="G157" i="32" s="1"/>
  <c r="C157" i="12"/>
  <c r="G307" i="49"/>
  <c r="C306" i="39"/>
  <c r="C306" i="12"/>
  <c r="G283" i="49"/>
  <c r="C282" i="39"/>
  <c r="F282" i="32"/>
  <c r="G282" i="32" s="1"/>
  <c r="G34" i="49"/>
  <c r="C33" i="39"/>
  <c r="F33" i="32"/>
  <c r="G33" i="32" s="1"/>
  <c r="G112" i="49"/>
  <c r="C111" i="33"/>
  <c r="E111" i="33" s="1"/>
  <c r="C111" i="12"/>
  <c r="G27" i="49"/>
  <c r="F26" i="32"/>
  <c r="G26" i="32" s="1"/>
  <c r="C26" i="12"/>
  <c r="G205" i="49"/>
  <c r="J205" i="13"/>
  <c r="F204" i="32"/>
  <c r="G204" i="32" s="1"/>
  <c r="C204" i="33"/>
  <c r="E204" i="33" s="1"/>
  <c r="G294" i="49"/>
  <c r="J294" i="13"/>
  <c r="C293" i="12"/>
  <c r="G199" i="49"/>
  <c r="C198" i="39"/>
  <c r="C198" i="12"/>
  <c r="G311" i="49"/>
  <c r="C310" i="12"/>
  <c r="C310" i="39"/>
  <c r="G124" i="49"/>
  <c r="C123" i="12"/>
  <c r="C123" i="39"/>
  <c r="G46" i="49"/>
  <c r="C45" i="12"/>
  <c r="C45" i="39"/>
  <c r="G144" i="49"/>
  <c r="C143" i="39"/>
  <c r="J144" i="13"/>
  <c r="F143" i="32"/>
  <c r="G143" i="32" s="1"/>
  <c r="G167" i="49"/>
  <c r="C166" i="39"/>
  <c r="C166" i="12"/>
  <c r="G58" i="49"/>
  <c r="C57" i="12"/>
  <c r="C57" i="39"/>
  <c r="G187" i="49"/>
  <c r="C186" i="39"/>
  <c r="J187" i="13"/>
  <c r="C186" i="33"/>
  <c r="E186" i="33" s="1"/>
  <c r="G310" i="49"/>
  <c r="C309" i="39"/>
  <c r="C309" i="33"/>
  <c r="E309" i="33" s="1"/>
  <c r="F309" i="32"/>
  <c r="G309" i="32" s="1"/>
  <c r="G172" i="49"/>
  <c r="C171" i="39"/>
  <c r="J172" i="13"/>
  <c r="F171" i="32"/>
  <c r="G171" i="32" s="1"/>
  <c r="G63" i="49"/>
  <c r="J63" i="13"/>
  <c r="C62" i="33"/>
  <c r="E62" i="33" s="1"/>
  <c r="C62" i="39"/>
  <c r="F62" i="32"/>
  <c r="G62" i="32" s="1"/>
  <c r="G12" i="49"/>
  <c r="F11" i="32"/>
  <c r="G11" i="32" s="1"/>
  <c r="C11" i="33"/>
  <c r="E11" i="33" s="1"/>
  <c r="J12" i="13"/>
  <c r="G128" i="49"/>
  <c r="C127" i="12"/>
  <c r="C127" i="33"/>
  <c r="E127" i="33" s="1"/>
  <c r="G306" i="49"/>
  <c r="F305" i="32"/>
  <c r="G305" i="32" s="1"/>
  <c r="C305" i="12"/>
  <c r="G154" i="49"/>
  <c r="C153" i="39"/>
  <c r="C153" i="12"/>
  <c r="G122" i="49"/>
  <c r="F121" i="32"/>
  <c r="G121" i="32" s="1"/>
  <c r="C121" i="12"/>
  <c r="G314" i="49"/>
  <c r="C313" i="12"/>
  <c r="F313" i="32"/>
  <c r="G313" i="32" s="1"/>
  <c r="G204" i="49"/>
  <c r="C203" i="12"/>
  <c r="C203" i="33"/>
  <c r="E203" i="33" s="1"/>
  <c r="G239" i="49"/>
  <c r="C238" i="39"/>
  <c r="F238" i="32"/>
  <c r="G238" i="32" s="1"/>
  <c r="C173" i="39"/>
  <c r="C305" i="33"/>
  <c r="E305" i="33" s="1"/>
  <c r="C108" i="33"/>
  <c r="E108" i="33" s="1"/>
  <c r="J154" i="13"/>
  <c r="J122" i="13"/>
  <c r="C150" i="12"/>
  <c r="F203" i="32"/>
  <c r="G203" i="32" s="1"/>
  <c r="C251" i="39"/>
  <c r="C238" i="12"/>
  <c r="J272" i="13"/>
  <c r="F229" i="32"/>
  <c r="G229" i="32" s="1"/>
  <c r="J277" i="13"/>
  <c r="C157" i="39"/>
  <c r="C197" i="39"/>
  <c r="F306" i="32"/>
  <c r="G306" i="32" s="1"/>
  <c r="F194" i="32"/>
  <c r="G194" i="32" s="1"/>
  <c r="C282" i="12"/>
  <c r="C33" i="12"/>
  <c r="F314" i="32"/>
  <c r="G314" i="32" s="1"/>
  <c r="C26" i="33"/>
  <c r="E26" i="33" s="1"/>
  <c r="C168" i="39"/>
  <c r="C115" i="39"/>
  <c r="C144" i="12"/>
  <c r="F8" i="32"/>
  <c r="G8" i="32" s="1"/>
  <c r="C245" i="33"/>
  <c r="E245" i="33" s="1"/>
  <c r="F123" i="32"/>
  <c r="G123" i="32" s="1"/>
  <c r="C28" i="39"/>
  <c r="C45" i="33"/>
  <c r="E45" i="33" s="1"/>
  <c r="C169" i="39"/>
  <c r="C143" i="33"/>
  <c r="E143" i="33" s="1"/>
  <c r="C300" i="39"/>
  <c r="J167" i="13"/>
  <c r="J58" i="13"/>
  <c r="F186" i="32"/>
  <c r="G186" i="32" s="1"/>
  <c r="J310" i="13"/>
  <c r="C171" i="33"/>
  <c r="E171" i="33" s="1"/>
  <c r="C9" i="12"/>
  <c r="C7" i="12"/>
  <c r="J233" i="13"/>
  <c r="C225" i="33"/>
  <c r="E225" i="33" s="1"/>
  <c r="F85" i="32"/>
  <c r="G85" i="32" s="1"/>
  <c r="C264" i="33"/>
  <c r="E264" i="33" s="1"/>
  <c r="C103" i="12"/>
  <c r="J323" i="13"/>
  <c r="C252" i="39"/>
  <c r="C63" i="39"/>
  <c r="C98" i="12"/>
  <c r="C220" i="12"/>
  <c r="F120" i="32"/>
  <c r="G120" i="32" s="1"/>
  <c r="C131" i="12"/>
  <c r="C214" i="33"/>
  <c r="E214" i="33" s="1"/>
  <c r="F178" i="32"/>
  <c r="G178" i="32" s="1"/>
  <c r="F279" i="32"/>
  <c r="G279" i="32" s="1"/>
  <c r="J251" i="13"/>
  <c r="J245" i="13"/>
  <c r="C249" i="12"/>
  <c r="C321" i="12"/>
  <c r="C19" i="33"/>
  <c r="E19" i="33" s="1"/>
  <c r="C81" i="33"/>
  <c r="E81" i="33" s="1"/>
  <c r="J82" i="13"/>
  <c r="J21" i="13"/>
  <c r="C72" i="12"/>
  <c r="C237" i="33"/>
  <c r="E237" i="33" s="1"/>
  <c r="J238" i="13"/>
  <c r="C151" i="12"/>
  <c r="F263" i="32"/>
  <c r="G263" i="32" s="1"/>
  <c r="J264" i="13"/>
  <c r="C88" i="12"/>
  <c r="C139" i="33"/>
  <c r="E139" i="33" s="1"/>
  <c r="C213" i="12"/>
  <c r="F289" i="32"/>
  <c r="G289" i="32" s="1"/>
  <c r="C109" i="12"/>
  <c r="C227" i="33"/>
  <c r="E227" i="33" s="1"/>
  <c r="C298" i="12"/>
  <c r="C159" i="12"/>
  <c r="C152" i="39"/>
  <c r="F176" i="32"/>
  <c r="G176" i="32" s="1"/>
  <c r="C254" i="12"/>
  <c r="C43" i="12"/>
  <c r="C154" i="12"/>
  <c r="F155" i="32"/>
  <c r="G155" i="32" s="1"/>
  <c r="J156" i="13"/>
  <c r="C188" i="12"/>
  <c r="F36" i="32"/>
  <c r="J37" i="13"/>
  <c r="J162" i="13"/>
  <c r="C256" i="12"/>
  <c r="J257" i="13"/>
  <c r="J22" i="13"/>
  <c r="C182" i="33"/>
  <c r="E182" i="33" s="1"/>
  <c r="J183" i="13"/>
  <c r="F261" i="32"/>
  <c r="G261" i="32" s="1"/>
  <c r="F183" i="32"/>
  <c r="G183" i="32" s="1"/>
  <c r="J184" i="13"/>
  <c r="C226" i="12"/>
  <c r="F299" i="32"/>
  <c r="G299" i="32" s="1"/>
  <c r="J300" i="13"/>
  <c r="J194" i="13"/>
  <c r="C80" i="12"/>
  <c r="J81" i="13"/>
  <c r="C119" i="12"/>
  <c r="C208" i="12"/>
  <c r="J209" i="13"/>
  <c r="J38" i="13"/>
  <c r="C205" i="33"/>
  <c r="E205" i="33" s="1"/>
  <c r="J206" i="13"/>
  <c r="J278" i="13"/>
  <c r="C117" i="33"/>
  <c r="E117" i="33" s="1"/>
  <c r="C117" i="39"/>
  <c r="C202" i="12"/>
  <c r="C290" i="33"/>
  <c r="E290" i="33" s="1"/>
  <c r="J291" i="13"/>
  <c r="C318" i="12"/>
  <c r="F285" i="32"/>
  <c r="G285" i="32" s="1"/>
  <c r="C320" i="39"/>
  <c r="F48" i="32"/>
  <c r="G48" i="32" s="1"/>
  <c r="C262" i="39"/>
  <c r="C280" i="33"/>
  <c r="E280" i="33" s="1"/>
  <c r="C272" i="39"/>
  <c r="C107" i="39"/>
  <c r="F100" i="32"/>
  <c r="G100" i="32" s="1"/>
  <c r="J101" i="13"/>
  <c r="C75" i="12"/>
  <c r="C54" i="33"/>
  <c r="E54" i="33" s="1"/>
  <c r="J55" i="13"/>
  <c r="C44" i="33"/>
  <c r="E44" i="33" s="1"/>
  <c r="C42" i="33"/>
  <c r="E42" i="33" s="1"/>
  <c r="J43" i="13"/>
  <c r="C22" i="33"/>
  <c r="E22" i="33" s="1"/>
  <c r="J23" i="13"/>
  <c r="F324" i="49"/>
  <c r="F22" i="32"/>
  <c r="G22" i="32" s="1"/>
  <c r="J201" i="13"/>
  <c r="C200" i="39"/>
  <c r="C200" i="12"/>
  <c r="C200" i="33"/>
  <c r="F200" i="32"/>
  <c r="G200" i="32" s="1"/>
  <c r="J244" i="13"/>
  <c r="C243" i="39"/>
  <c r="C243" i="12"/>
  <c r="C243" i="33"/>
  <c r="F243" i="32"/>
  <c r="G243" i="32" s="1"/>
  <c r="J297" i="13"/>
  <c r="C296" i="39"/>
  <c r="C296" i="12"/>
  <c r="C296" i="33"/>
  <c r="F296" i="32"/>
  <c r="G296" i="32" s="1"/>
  <c r="J16" i="13"/>
  <c r="C15" i="39"/>
  <c r="C15" i="33"/>
  <c r="E15" i="33" s="1"/>
  <c r="F15" i="32"/>
  <c r="G15" i="32" s="1"/>
  <c r="C15" i="12"/>
  <c r="J248" i="13"/>
  <c r="C247" i="12"/>
  <c r="C247" i="33"/>
  <c r="F247" i="32"/>
  <c r="G247" i="32" s="1"/>
  <c r="C247" i="39"/>
  <c r="J67" i="13"/>
  <c r="C66" i="39"/>
  <c r="C66" i="12"/>
  <c r="F66" i="32"/>
  <c r="G66" i="32" s="1"/>
  <c r="C66" i="33"/>
  <c r="E66" i="33" s="1"/>
  <c r="J51" i="13"/>
  <c r="C50" i="39"/>
  <c r="C50" i="12"/>
  <c r="F50" i="32"/>
  <c r="G50" i="32" s="1"/>
  <c r="C50" i="33"/>
  <c r="E50" i="33" s="1"/>
  <c r="J143" i="13"/>
  <c r="C142" i="39"/>
  <c r="C142" i="12"/>
  <c r="F142" i="32"/>
  <c r="G142" i="32" s="1"/>
  <c r="C142" i="33"/>
  <c r="E142" i="33" s="1"/>
  <c r="J236" i="13"/>
  <c r="C235" i="39"/>
  <c r="C235" i="12"/>
  <c r="C235" i="33"/>
  <c r="F235" i="32"/>
  <c r="G235" i="32" s="1"/>
  <c r="J212" i="13"/>
  <c r="C211" i="39"/>
  <c r="C211" i="12"/>
  <c r="C211" i="33"/>
  <c r="F211" i="32"/>
  <c r="G211" i="32" s="1"/>
  <c r="J32" i="13"/>
  <c r="C31" i="39"/>
  <c r="C31" i="33"/>
  <c r="E31" i="33" s="1"/>
  <c r="C31" i="12"/>
  <c r="F31" i="32"/>
  <c r="G31" i="32" s="1"/>
  <c r="E196" i="33"/>
  <c r="J90" i="13"/>
  <c r="C89" i="39"/>
  <c r="C89" i="12"/>
  <c r="F89" i="32"/>
  <c r="G89" i="32" s="1"/>
  <c r="C89" i="33"/>
  <c r="E89" i="33" s="1"/>
  <c r="C12" i="39"/>
  <c r="J13" i="13"/>
  <c r="C12" i="12"/>
  <c r="C12" i="33"/>
  <c r="E12" i="33" s="1"/>
  <c r="F12" i="32"/>
  <c r="G12" i="32" s="1"/>
  <c r="C273" i="39"/>
  <c r="J274" i="13"/>
  <c r="C273" i="12"/>
  <c r="F273" i="32"/>
  <c r="G273" i="32" s="1"/>
  <c r="C273" i="33"/>
  <c r="E273" i="33" s="1"/>
  <c r="J125" i="13"/>
  <c r="C124" i="39"/>
  <c r="C124" i="12"/>
  <c r="C124" i="33"/>
  <c r="E124" i="33" s="1"/>
  <c r="F124" i="32"/>
  <c r="G124" i="32" s="1"/>
  <c r="J52" i="13"/>
  <c r="C51" i="39"/>
  <c r="C51" i="12"/>
  <c r="C51" i="33"/>
  <c r="F51" i="32"/>
  <c r="G51" i="32" s="1"/>
  <c r="U325" i="19"/>
  <c r="B55" i="40" s="1"/>
  <c r="B57" i="40" s="1"/>
  <c r="J11" i="13"/>
  <c r="C10" i="39"/>
  <c r="C10" i="12"/>
  <c r="F10" i="32"/>
  <c r="G10" i="32" s="1"/>
  <c r="C10" i="33"/>
  <c r="J56" i="13"/>
  <c r="C55" i="39"/>
  <c r="C55" i="12"/>
  <c r="C55" i="33"/>
  <c r="E55" i="33" s="1"/>
  <c r="F55" i="32"/>
  <c r="G55" i="32" s="1"/>
  <c r="J35" i="13"/>
  <c r="C34" i="39"/>
  <c r="C34" i="12"/>
  <c r="F34" i="32"/>
  <c r="G34" i="32" s="1"/>
  <c r="C34" i="33"/>
  <c r="J60" i="13"/>
  <c r="C59" i="39"/>
  <c r="C59" i="12"/>
  <c r="C59" i="33"/>
  <c r="F59" i="32"/>
  <c r="G59" i="32" s="1"/>
  <c r="J188" i="13"/>
  <c r="C187" i="39"/>
  <c r="C187" i="12"/>
  <c r="C187" i="33"/>
  <c r="F187" i="32"/>
  <c r="G187" i="32" s="1"/>
  <c r="J106" i="13"/>
  <c r="C105" i="39"/>
  <c r="C105" i="12"/>
  <c r="F105" i="32"/>
  <c r="G105" i="32" s="1"/>
  <c r="C105" i="33"/>
  <c r="E105" i="33" s="1"/>
  <c r="J308" i="13"/>
  <c r="C307" i="39"/>
  <c r="C307" i="12"/>
  <c r="C307" i="33"/>
  <c r="E307" i="33" s="1"/>
  <c r="F307" i="32"/>
  <c r="G307" i="32" s="1"/>
  <c r="J123" i="13"/>
  <c r="C122" i="39"/>
  <c r="C122" i="12"/>
  <c r="F122" i="32"/>
  <c r="G122" i="32" s="1"/>
  <c r="C122" i="33"/>
  <c r="E122" i="33" s="1"/>
  <c r="J84" i="13"/>
  <c r="C83" i="39"/>
  <c r="C83" i="12"/>
  <c r="C83" i="33"/>
  <c r="F83" i="32"/>
  <c r="G83" i="32" s="1"/>
  <c r="J91" i="13"/>
  <c r="C90" i="39"/>
  <c r="C90" i="12"/>
  <c r="F90" i="32"/>
  <c r="G90" i="32" s="1"/>
  <c r="C90" i="33"/>
  <c r="J79" i="13"/>
  <c r="C78" i="39"/>
  <c r="C78" i="12"/>
  <c r="F78" i="32"/>
  <c r="G78" i="32" s="1"/>
  <c r="C78" i="33"/>
  <c r="C149" i="39"/>
  <c r="C149" i="12"/>
  <c r="J150" i="13"/>
  <c r="F149" i="32"/>
  <c r="G149" i="32" s="1"/>
  <c r="C149" i="33"/>
  <c r="J15" i="13"/>
  <c r="C14" i="39"/>
  <c r="C14" i="12"/>
  <c r="F14" i="32"/>
  <c r="G14" i="32" s="1"/>
  <c r="C14" i="33"/>
  <c r="E14" i="33" s="1"/>
  <c r="J31" i="13"/>
  <c r="C30" i="39"/>
  <c r="C30" i="12"/>
  <c r="F30" i="32"/>
  <c r="G30" i="32" s="1"/>
  <c r="C30" i="33"/>
  <c r="E30" i="33" s="1"/>
  <c r="J114" i="13"/>
  <c r="C113" i="12"/>
  <c r="C113" i="39"/>
  <c r="F113" i="32"/>
  <c r="G113" i="32" s="1"/>
  <c r="C113" i="33"/>
  <c r="E113" i="33" s="1"/>
  <c r="J28" i="13"/>
  <c r="C27" i="39"/>
  <c r="C27" i="12"/>
  <c r="C27" i="33"/>
  <c r="E27" i="33" s="1"/>
  <c r="F27" i="32"/>
  <c r="G27" i="32" s="1"/>
  <c r="J163" i="13"/>
  <c r="C162" i="39"/>
  <c r="C162" i="12"/>
  <c r="F162" i="32"/>
  <c r="G162" i="32" s="1"/>
  <c r="C162" i="33"/>
  <c r="J157" i="13"/>
  <c r="C156" i="39"/>
  <c r="C156" i="12"/>
  <c r="C156" i="33"/>
  <c r="E156" i="33" s="1"/>
  <c r="F156" i="32"/>
  <c r="G156" i="32" s="1"/>
  <c r="J181" i="13"/>
  <c r="C180" i="39"/>
  <c r="C180" i="12"/>
  <c r="C180" i="33"/>
  <c r="E180" i="33" s="1"/>
  <c r="F180" i="32"/>
  <c r="G180" i="32" s="1"/>
  <c r="J284" i="13"/>
  <c r="C283" i="39"/>
  <c r="C283" i="12"/>
  <c r="C283" i="33"/>
  <c r="E283" i="33" s="1"/>
  <c r="F283" i="32"/>
  <c r="G283" i="32" s="1"/>
  <c r="J126" i="13"/>
  <c r="C125" i="12"/>
  <c r="C125" i="39"/>
  <c r="F125" i="32"/>
  <c r="G125" i="32" s="1"/>
  <c r="C125" i="33"/>
  <c r="J85" i="13"/>
  <c r="C84" i="39"/>
  <c r="C84" i="12"/>
  <c r="C84" i="33"/>
  <c r="E84" i="33" s="1"/>
  <c r="F84" i="32"/>
  <c r="G84" i="32" s="1"/>
  <c r="E75" i="33"/>
  <c r="J95" i="13"/>
  <c r="C94" i="39"/>
  <c r="C94" i="12"/>
  <c r="F94" i="32"/>
  <c r="G94" i="32" s="1"/>
  <c r="C94" i="33"/>
  <c r="E94" i="33" s="1"/>
  <c r="J68" i="13"/>
  <c r="C67" i="39"/>
  <c r="C67" i="12"/>
  <c r="C67" i="33"/>
  <c r="E67" i="33" s="1"/>
  <c r="F67" i="32"/>
  <c r="G67" i="32" s="1"/>
  <c r="J75" i="13"/>
  <c r="C74" i="39"/>
  <c r="C74" i="12"/>
  <c r="F74" i="32"/>
  <c r="G74" i="32" s="1"/>
  <c r="C74" i="33"/>
  <c r="J196" i="13"/>
  <c r="C195" i="39"/>
  <c r="C195" i="12"/>
  <c r="C195" i="33"/>
  <c r="F195" i="32"/>
  <c r="G195" i="32" s="1"/>
  <c r="C13" i="39"/>
  <c r="J14" i="13"/>
  <c r="C13" i="12"/>
  <c r="F13" i="32"/>
  <c r="G13" i="32" s="1"/>
  <c r="C13" i="33"/>
  <c r="J119" i="13"/>
  <c r="C118" i="39"/>
  <c r="C118" i="12"/>
  <c r="F118" i="32"/>
  <c r="G118" i="32" s="1"/>
  <c r="C118" i="33"/>
  <c r="E118" i="33" s="1"/>
  <c r="J229" i="13"/>
  <c r="C228" i="39"/>
  <c r="C228" i="12"/>
  <c r="C228" i="33"/>
  <c r="F228" i="32"/>
  <c r="G228" i="32" s="1"/>
  <c r="J48" i="13"/>
  <c r="C47" i="33"/>
  <c r="C47" i="39"/>
  <c r="F47" i="32"/>
  <c r="G47" i="32" s="1"/>
  <c r="C47" i="12"/>
  <c r="J288" i="13"/>
  <c r="C287" i="39"/>
  <c r="C287" i="33"/>
  <c r="C287" i="12"/>
  <c r="F287" i="32"/>
  <c r="G287" i="32" s="1"/>
  <c r="J59" i="13"/>
  <c r="C58" i="39"/>
  <c r="C58" i="12"/>
  <c r="F58" i="32"/>
  <c r="G58" i="32" s="1"/>
  <c r="C58" i="33"/>
  <c r="E58" i="33" s="1"/>
  <c r="E57" i="33"/>
  <c r="C129" i="39"/>
  <c r="C129" i="12"/>
  <c r="F129" i="32"/>
  <c r="G129" i="32" s="1"/>
  <c r="J130" i="13"/>
  <c r="C129" i="33"/>
  <c r="E129" i="33" s="1"/>
  <c r="J77" i="13"/>
  <c r="C76" i="39"/>
  <c r="C76" i="12"/>
  <c r="C76" i="33"/>
  <c r="E76" i="33" s="1"/>
  <c r="F76" i="32"/>
  <c r="G76" i="32" s="1"/>
  <c r="J47" i="13"/>
  <c r="C46" i="39"/>
  <c r="C46" i="12"/>
  <c r="F46" i="32"/>
  <c r="G46" i="32" s="1"/>
  <c r="C46" i="33"/>
  <c r="J232" i="13"/>
  <c r="C231" i="12"/>
  <c r="C231" i="33"/>
  <c r="E231" i="33" s="1"/>
  <c r="C231" i="39"/>
  <c r="F231" i="32"/>
  <c r="G231" i="32" s="1"/>
  <c r="J39" i="13"/>
  <c r="C38" i="39"/>
  <c r="C38" i="12"/>
  <c r="F38" i="32"/>
  <c r="G38" i="32" s="1"/>
  <c r="C38" i="33"/>
  <c r="E38" i="33" s="1"/>
  <c r="J127" i="13"/>
  <c r="C126" i="39"/>
  <c r="C126" i="12"/>
  <c r="F126" i="32"/>
  <c r="G126" i="32" s="1"/>
  <c r="C126" i="33"/>
  <c r="E126" i="33" s="1"/>
  <c r="J211" i="13"/>
  <c r="C210" i="39"/>
  <c r="C210" i="12"/>
  <c r="F210" i="32"/>
  <c r="G210" i="32" s="1"/>
  <c r="C210" i="33"/>
  <c r="J296" i="13"/>
  <c r="C295" i="39"/>
  <c r="C295" i="12"/>
  <c r="C295" i="33"/>
  <c r="E295" i="33" s="1"/>
  <c r="F295" i="32"/>
  <c r="G295" i="32" s="1"/>
  <c r="J256" i="13"/>
  <c r="C255" i="39"/>
  <c r="C255" i="33"/>
  <c r="E255" i="33" s="1"/>
  <c r="C255" i="12"/>
  <c r="F255" i="32"/>
  <c r="G255" i="32" s="1"/>
  <c r="J249" i="13"/>
  <c r="C248" i="39"/>
  <c r="C248" i="12"/>
  <c r="C248" i="33"/>
  <c r="F248" i="32"/>
  <c r="G248" i="32" s="1"/>
  <c r="J80" i="13"/>
  <c r="C79" i="39"/>
  <c r="C79" i="33"/>
  <c r="F79" i="32"/>
  <c r="G79" i="32" s="1"/>
  <c r="C79" i="12"/>
  <c r="J139" i="13"/>
  <c r="C138" i="39"/>
  <c r="C138" i="12"/>
  <c r="F138" i="32"/>
  <c r="G138" i="32" s="1"/>
  <c r="C138" i="33"/>
  <c r="E138" i="33" s="1"/>
  <c r="J107" i="13"/>
  <c r="C106" i="39"/>
  <c r="C106" i="12"/>
  <c r="F106" i="32"/>
  <c r="G106" i="32" s="1"/>
  <c r="C106" i="33"/>
  <c r="J83" i="13"/>
  <c r="C82" i="12"/>
  <c r="C82" i="39"/>
  <c r="F82" i="32"/>
  <c r="G82" i="32" s="1"/>
  <c r="C82" i="33"/>
  <c r="E82" i="33" s="1"/>
  <c r="J304" i="13"/>
  <c r="C303" i="33"/>
  <c r="E303" i="33" s="1"/>
  <c r="C303" i="39"/>
  <c r="F303" i="32"/>
  <c r="G303" i="32" s="1"/>
  <c r="C303" i="12"/>
  <c r="J267" i="13"/>
  <c r="C266" i="12"/>
  <c r="C266" i="39"/>
  <c r="F266" i="32"/>
  <c r="G266" i="32" s="1"/>
  <c r="C266" i="33"/>
  <c r="E266" i="33" s="1"/>
  <c r="J19" i="13"/>
  <c r="C18" i="39"/>
  <c r="C18" i="12"/>
  <c r="F18" i="32"/>
  <c r="G18" i="32" s="1"/>
  <c r="C18" i="33"/>
  <c r="J165" i="13"/>
  <c r="C164" i="39"/>
  <c r="C164" i="12"/>
  <c r="C164" i="33"/>
  <c r="F164" i="32"/>
  <c r="G164" i="32" s="1"/>
  <c r="C165" i="39"/>
  <c r="C165" i="12"/>
  <c r="J166" i="13"/>
  <c r="F165" i="32"/>
  <c r="G165" i="32" s="1"/>
  <c r="C165" i="33"/>
  <c r="E165" i="33" s="1"/>
  <c r="J180" i="13"/>
  <c r="C179" i="39"/>
  <c r="C179" i="12"/>
  <c r="C179" i="33"/>
  <c r="E179" i="33" s="1"/>
  <c r="F179" i="32"/>
  <c r="G179" i="32" s="1"/>
  <c r="C241" i="39"/>
  <c r="J242" i="13"/>
  <c r="C241" i="12"/>
  <c r="F241" i="32"/>
  <c r="G241" i="32" s="1"/>
  <c r="C241" i="33"/>
  <c r="E241" i="33" s="1"/>
  <c r="J200" i="13"/>
  <c r="C199" i="12"/>
  <c r="C199" i="33"/>
  <c r="E199" i="33" s="1"/>
  <c r="C199" i="39"/>
  <c r="F199" i="32"/>
  <c r="G199" i="32" s="1"/>
  <c r="J237" i="13"/>
  <c r="C236" i="39"/>
  <c r="C236" i="12"/>
  <c r="C236" i="33"/>
  <c r="E236" i="33" s="1"/>
  <c r="F236" i="32"/>
  <c r="G236" i="32" s="1"/>
  <c r="J72" i="13"/>
  <c r="C71" i="12"/>
  <c r="C71" i="33"/>
  <c r="E71" i="33" s="1"/>
  <c r="C71" i="39"/>
  <c r="F71" i="32"/>
  <c r="G71" i="32" s="1"/>
  <c r="J176" i="13"/>
  <c r="C175" i="39"/>
  <c r="C175" i="33"/>
  <c r="E175" i="33" s="1"/>
  <c r="C175" i="12"/>
  <c r="F175" i="32"/>
  <c r="G175" i="32" s="1"/>
  <c r="E134" i="33"/>
  <c r="G28" i="32"/>
  <c r="E123" i="33"/>
  <c r="G246" i="32"/>
  <c r="E121" i="33"/>
  <c r="G69" i="32"/>
  <c r="G133" i="32"/>
  <c r="E274" i="33"/>
  <c r="E35" i="33"/>
  <c r="E282" i="33"/>
  <c r="E275" i="33"/>
  <c r="E250" i="33"/>
  <c r="G86" i="32"/>
  <c r="E153" i="33"/>
  <c r="G153" i="32"/>
  <c r="E160" i="33"/>
  <c r="G224" i="32"/>
  <c r="G56" i="32"/>
  <c r="G45" i="32"/>
  <c r="G189" i="32"/>
  <c r="E157" i="33"/>
  <c r="E233" i="33"/>
  <c r="E319" i="33"/>
  <c r="E39" i="33"/>
  <c r="G60" i="32"/>
  <c r="G127" i="32"/>
  <c r="G293" i="32"/>
  <c r="G207" i="32"/>
  <c r="G304" i="32"/>
  <c r="G137" i="32"/>
  <c r="E312" i="33"/>
  <c r="E65" i="33"/>
  <c r="E158" i="33"/>
  <c r="E301" i="33"/>
  <c r="G232" i="32"/>
  <c r="E91" i="33"/>
  <c r="G276" i="32"/>
  <c r="G70" i="32"/>
  <c r="E92" i="33"/>
  <c r="G16" i="32"/>
  <c r="E257" i="33"/>
  <c r="G265" i="32"/>
  <c r="J324" i="13" l="1"/>
  <c r="G5" i="32"/>
  <c r="F323" i="32"/>
  <c r="S325" i="19"/>
  <c r="L324" i="13" s="1"/>
  <c r="C323" i="39"/>
  <c r="K237" i="49"/>
  <c r="L237" i="49" s="1"/>
  <c r="K274" i="49"/>
  <c r="L274" i="49" s="1"/>
  <c r="K56" i="49"/>
  <c r="L56" i="49" s="1"/>
  <c r="K64" i="49"/>
  <c r="L64" i="49" s="1"/>
  <c r="K262" i="49"/>
  <c r="L262" i="49" s="1"/>
  <c r="K241" i="49"/>
  <c r="L241" i="49" s="1"/>
  <c r="K185" i="49"/>
  <c r="L185" i="49" s="1"/>
  <c r="K72" i="49"/>
  <c r="L72" i="49" s="1"/>
  <c r="K35" i="49"/>
  <c r="L35" i="49" s="1"/>
  <c r="K293" i="49"/>
  <c r="L293" i="49" s="1"/>
  <c r="K250" i="49"/>
  <c r="L250" i="49" s="1"/>
  <c r="K198" i="49"/>
  <c r="L198" i="49" s="1"/>
  <c r="K141" i="49"/>
  <c r="L141" i="49" s="1"/>
  <c r="K84" i="49"/>
  <c r="L84" i="49" s="1"/>
  <c r="K51" i="49"/>
  <c r="L51" i="49" s="1"/>
  <c r="K302" i="49"/>
  <c r="L302" i="49" s="1"/>
  <c r="K260" i="49"/>
  <c r="L260" i="49" s="1"/>
  <c r="K238" i="49"/>
  <c r="L238" i="49" s="1"/>
  <c r="K182" i="49"/>
  <c r="L182" i="49" s="1"/>
  <c r="K125" i="49"/>
  <c r="L125" i="49" s="1"/>
  <c r="K67" i="49"/>
  <c r="L67" i="49" s="1"/>
  <c r="K319" i="49"/>
  <c r="L319" i="49" s="1"/>
  <c r="K303" i="49"/>
  <c r="L303" i="49" s="1"/>
  <c r="K271" i="49"/>
  <c r="L271" i="49" s="1"/>
  <c r="K239" i="49"/>
  <c r="L239" i="49" s="1"/>
  <c r="K197" i="49"/>
  <c r="L197" i="49" s="1"/>
  <c r="K176" i="49"/>
  <c r="L176" i="49" s="1"/>
  <c r="K133" i="49"/>
  <c r="L133" i="49" s="1"/>
  <c r="K90" i="49"/>
  <c r="L90" i="49" s="1"/>
  <c r="K40" i="49"/>
  <c r="L40" i="49" s="1"/>
  <c r="K175" i="49"/>
  <c r="L175" i="49" s="1"/>
  <c r="K95" i="49"/>
  <c r="L95" i="49" s="1"/>
  <c r="K79" i="49"/>
  <c r="L79" i="49" s="1"/>
  <c r="K18" i="49"/>
  <c r="L18" i="49" s="1"/>
  <c r="K45" i="49"/>
  <c r="L45" i="49" s="1"/>
  <c r="K13" i="49"/>
  <c r="L13" i="49" s="1"/>
  <c r="K209" i="49"/>
  <c r="L209" i="49" s="1"/>
  <c r="K253" i="49"/>
  <c r="L253" i="49" s="1"/>
  <c r="K16" i="49"/>
  <c r="L16" i="49" s="1"/>
  <c r="K242" i="49"/>
  <c r="L242" i="49" s="1"/>
  <c r="K301" i="49"/>
  <c r="L301" i="49" s="1"/>
  <c r="K222" i="49"/>
  <c r="L222" i="49" s="1"/>
  <c r="K321" i="49"/>
  <c r="L321" i="49" s="1"/>
  <c r="K278" i="49"/>
  <c r="L278" i="49" s="1"/>
  <c r="K257" i="49"/>
  <c r="L257" i="49" s="1"/>
  <c r="K206" i="49"/>
  <c r="L206" i="49" s="1"/>
  <c r="K178" i="49"/>
  <c r="L178" i="49" s="1"/>
  <c r="K63" i="49"/>
  <c r="L63" i="49" s="1"/>
  <c r="K245" i="49"/>
  <c r="L245" i="49" s="1"/>
  <c r="K190" i="49"/>
  <c r="L190" i="49" s="1"/>
  <c r="K77" i="49"/>
  <c r="L77" i="49" s="1"/>
  <c r="K318" i="49"/>
  <c r="L318" i="49" s="1"/>
  <c r="K276" i="49"/>
  <c r="L276" i="49" s="1"/>
  <c r="K232" i="49"/>
  <c r="L232" i="49" s="1"/>
  <c r="K174" i="49"/>
  <c r="L174" i="49" s="1"/>
  <c r="K118" i="49"/>
  <c r="L118" i="49" s="1"/>
  <c r="K58" i="49"/>
  <c r="L58" i="49" s="1"/>
  <c r="K315" i="49"/>
  <c r="L315" i="49" s="1"/>
  <c r="K251" i="49"/>
  <c r="L251" i="49" s="1"/>
  <c r="K192" i="49"/>
  <c r="L192" i="49" s="1"/>
  <c r="K106" i="49"/>
  <c r="L106" i="49" s="1"/>
  <c r="K62" i="49"/>
  <c r="L62" i="49" s="1"/>
  <c r="K235" i="49"/>
  <c r="L235" i="49" s="1"/>
  <c r="K203" i="49"/>
  <c r="L203" i="49" s="1"/>
  <c r="K187" i="49"/>
  <c r="L187" i="49" s="1"/>
  <c r="K139" i="49"/>
  <c r="L139" i="49" s="1"/>
  <c r="K123" i="49"/>
  <c r="L123" i="49" s="1"/>
  <c r="K107" i="49"/>
  <c r="L107" i="49" s="1"/>
  <c r="K91" i="49"/>
  <c r="L91" i="49" s="1"/>
  <c r="K75" i="49"/>
  <c r="L75" i="49" s="1"/>
  <c r="K55" i="49"/>
  <c r="L55" i="49" s="1"/>
  <c r="K34" i="49"/>
  <c r="L34" i="49" s="1"/>
  <c r="K12" i="49"/>
  <c r="L12" i="49" s="1"/>
  <c r="K57" i="49"/>
  <c r="L57" i="49" s="1"/>
  <c r="K41" i="49"/>
  <c r="L41" i="49" s="1"/>
  <c r="K9" i="49"/>
  <c r="L9" i="49" s="1"/>
  <c r="K280" i="49"/>
  <c r="L280" i="49" s="1"/>
  <c r="K296" i="49"/>
  <c r="L296" i="49" s="1"/>
  <c r="K201" i="49"/>
  <c r="L201" i="49" s="1"/>
  <c r="K88" i="49"/>
  <c r="L88" i="49" s="1"/>
  <c r="K188" i="49"/>
  <c r="L188" i="49" s="1"/>
  <c r="K73" i="49"/>
  <c r="L73" i="49" s="1"/>
  <c r="K180" i="49"/>
  <c r="L180" i="49" s="1"/>
  <c r="K269" i="49"/>
  <c r="L269" i="49" s="1"/>
  <c r="K166" i="49"/>
  <c r="L166" i="49" s="1"/>
  <c r="K46" i="49"/>
  <c r="L46" i="49" s="1"/>
  <c r="K310" i="49"/>
  <c r="L310" i="49" s="1"/>
  <c r="K268" i="49"/>
  <c r="L268" i="49" s="1"/>
  <c r="K246" i="49"/>
  <c r="L246" i="49" s="1"/>
  <c r="K221" i="49"/>
  <c r="L221" i="49" s="1"/>
  <c r="K193" i="49"/>
  <c r="L193" i="49" s="1"/>
  <c r="K164" i="49"/>
  <c r="L164" i="49" s="1"/>
  <c r="K136" i="49"/>
  <c r="L136" i="49" s="1"/>
  <c r="K108" i="49"/>
  <c r="L108" i="49" s="1"/>
  <c r="K78" i="49"/>
  <c r="L78" i="49" s="1"/>
  <c r="K43" i="49"/>
  <c r="L43" i="49" s="1"/>
  <c r="K320" i="49"/>
  <c r="L320" i="49" s="1"/>
  <c r="K298" i="49"/>
  <c r="L298" i="49" s="1"/>
  <c r="K277" i="49"/>
  <c r="L277" i="49" s="1"/>
  <c r="K256" i="49"/>
  <c r="L256" i="49" s="1"/>
  <c r="K233" i="49"/>
  <c r="L233" i="49" s="1"/>
  <c r="K205" i="49"/>
  <c r="L205" i="49" s="1"/>
  <c r="K177" i="49"/>
  <c r="L177" i="49" s="1"/>
  <c r="K148" i="49"/>
  <c r="L148" i="49" s="1"/>
  <c r="K92" i="49"/>
  <c r="L92" i="49" s="1"/>
  <c r="K59" i="49"/>
  <c r="L59" i="49" s="1"/>
  <c r="K22" i="49"/>
  <c r="L22" i="49" s="1"/>
  <c r="K308" i="49"/>
  <c r="L308" i="49" s="1"/>
  <c r="K265" i="49"/>
  <c r="L265" i="49" s="1"/>
  <c r="K244" i="49"/>
  <c r="L244" i="49" s="1"/>
  <c r="K217" i="49"/>
  <c r="L217" i="49" s="1"/>
  <c r="K189" i="49"/>
  <c r="L189" i="49" s="1"/>
  <c r="K161" i="49"/>
  <c r="L161" i="49" s="1"/>
  <c r="K132" i="49"/>
  <c r="L132" i="49" s="1"/>
  <c r="K104" i="49"/>
  <c r="L104" i="49" s="1"/>
  <c r="K76" i="49"/>
  <c r="L76" i="49" s="1"/>
  <c r="K38" i="49"/>
  <c r="L38" i="49" s="1"/>
  <c r="K323" i="49"/>
  <c r="L323" i="49" s="1"/>
  <c r="K307" i="49"/>
  <c r="L307" i="49" s="1"/>
  <c r="K275" i="49"/>
  <c r="L275" i="49" s="1"/>
  <c r="K259" i="49"/>
  <c r="L259" i="49" s="1"/>
  <c r="K243" i="49"/>
  <c r="L243" i="49" s="1"/>
  <c r="K224" i="49"/>
  <c r="L224" i="49" s="1"/>
  <c r="K202" i="49"/>
  <c r="L202" i="49" s="1"/>
  <c r="K181" i="49"/>
  <c r="L181" i="49" s="1"/>
  <c r="K160" i="49"/>
  <c r="L160" i="49" s="1"/>
  <c r="K138" i="49"/>
  <c r="L138" i="49" s="1"/>
  <c r="K96" i="49"/>
  <c r="L96" i="49" s="1"/>
  <c r="K74" i="49"/>
  <c r="L74" i="49" s="1"/>
  <c r="K47" i="49"/>
  <c r="L47" i="49" s="1"/>
  <c r="K19" i="49"/>
  <c r="L19" i="49" s="1"/>
  <c r="K227" i="49"/>
  <c r="L227" i="49" s="1"/>
  <c r="K211" i="49"/>
  <c r="L211" i="49" s="1"/>
  <c r="K195" i="49"/>
  <c r="L195" i="49" s="1"/>
  <c r="K179" i="49"/>
  <c r="L179" i="49" s="1"/>
  <c r="K163" i="49"/>
  <c r="L163" i="49" s="1"/>
  <c r="K147" i="49"/>
  <c r="L147" i="49" s="1"/>
  <c r="K115" i="49"/>
  <c r="L115" i="49" s="1"/>
  <c r="K99" i="49"/>
  <c r="L99" i="49" s="1"/>
  <c r="K83" i="49"/>
  <c r="L83" i="49" s="1"/>
  <c r="K66" i="49"/>
  <c r="L66" i="49" s="1"/>
  <c r="K44" i="49"/>
  <c r="L44" i="49" s="1"/>
  <c r="K23" i="49"/>
  <c r="L23" i="49" s="1"/>
  <c r="K65" i="49"/>
  <c r="L65" i="49" s="1"/>
  <c r="K49" i="49"/>
  <c r="L49" i="49" s="1"/>
  <c r="K33" i="49"/>
  <c r="L33" i="49" s="1"/>
  <c r="K17" i="49"/>
  <c r="L17" i="49" s="1"/>
  <c r="K94" i="49"/>
  <c r="L94" i="49" s="1"/>
  <c r="K173" i="49"/>
  <c r="L173" i="49" s="1"/>
  <c r="K264" i="49"/>
  <c r="L264" i="49" s="1"/>
  <c r="K36" i="49"/>
  <c r="L36" i="49" s="1"/>
  <c r="K248" i="49"/>
  <c r="L248" i="49" s="1"/>
  <c r="K214" i="49"/>
  <c r="L214" i="49" s="1"/>
  <c r="K157" i="49"/>
  <c r="L157" i="49" s="1"/>
  <c r="K100" i="49"/>
  <c r="L100" i="49" s="1"/>
  <c r="K272" i="49"/>
  <c r="L272" i="49" s="1"/>
  <c r="K169" i="49"/>
  <c r="L169" i="49" s="1"/>
  <c r="K113" i="49"/>
  <c r="L113" i="49" s="1"/>
  <c r="K281" i="49"/>
  <c r="L281" i="49" s="1"/>
  <c r="K210" i="49"/>
  <c r="L210" i="49" s="1"/>
  <c r="K153" i="49"/>
  <c r="L153" i="49" s="1"/>
  <c r="K97" i="49"/>
  <c r="L97" i="49" s="1"/>
  <c r="K30" i="49"/>
  <c r="L30" i="49" s="1"/>
  <c r="K255" i="49"/>
  <c r="L255" i="49" s="1"/>
  <c r="K218" i="49"/>
  <c r="L218" i="49" s="1"/>
  <c r="K68" i="49"/>
  <c r="L68" i="49" s="1"/>
  <c r="K11" i="49"/>
  <c r="L11" i="49" s="1"/>
  <c r="K223" i="49"/>
  <c r="L223" i="49" s="1"/>
  <c r="K191" i="49"/>
  <c r="L191" i="49" s="1"/>
  <c r="K159" i="49"/>
  <c r="L159" i="49" s="1"/>
  <c r="K143" i="49"/>
  <c r="L143" i="49" s="1"/>
  <c r="K111" i="49"/>
  <c r="L111" i="49" s="1"/>
  <c r="K60" i="49"/>
  <c r="L60" i="49" s="1"/>
  <c r="K39" i="49"/>
  <c r="L39" i="49" s="1"/>
  <c r="K61" i="49"/>
  <c r="L61" i="49" s="1"/>
  <c r="K29" i="49"/>
  <c r="L29" i="49" s="1"/>
  <c r="K27" i="49"/>
  <c r="L27" i="49" s="1"/>
  <c r="K145" i="49"/>
  <c r="L145" i="49" s="1"/>
  <c r="L312" i="49"/>
  <c r="K109" i="49"/>
  <c r="L109" i="49" s="1"/>
  <c r="K300" i="49"/>
  <c r="L300" i="49" s="1"/>
  <c r="K236" i="49"/>
  <c r="L236" i="49" s="1"/>
  <c r="K93" i="49"/>
  <c r="L93" i="49" s="1"/>
  <c r="K24" i="49"/>
  <c r="L24" i="49" s="1"/>
  <c r="K309" i="49"/>
  <c r="L309" i="49" s="1"/>
  <c r="K266" i="49"/>
  <c r="L266" i="49" s="1"/>
  <c r="K220" i="49"/>
  <c r="L220" i="49" s="1"/>
  <c r="K162" i="49"/>
  <c r="L162" i="49" s="1"/>
  <c r="K105" i="49"/>
  <c r="L105" i="49" s="1"/>
  <c r="K42" i="49"/>
  <c r="L42" i="49" s="1"/>
  <c r="K297" i="49"/>
  <c r="L297" i="49" s="1"/>
  <c r="K254" i="49"/>
  <c r="L254" i="49" s="1"/>
  <c r="K204" i="49"/>
  <c r="L204" i="49" s="1"/>
  <c r="K146" i="49"/>
  <c r="L146" i="49" s="1"/>
  <c r="K89" i="49"/>
  <c r="L89" i="49" s="1"/>
  <c r="K20" i="49"/>
  <c r="L20" i="49" s="1"/>
  <c r="K299" i="49"/>
  <c r="L299" i="49" s="1"/>
  <c r="K267" i="49"/>
  <c r="L267" i="49" s="1"/>
  <c r="K234" i="49"/>
  <c r="L234" i="49" s="1"/>
  <c r="K213" i="49"/>
  <c r="L213" i="49" s="1"/>
  <c r="K170" i="49"/>
  <c r="L170" i="49" s="1"/>
  <c r="K85" i="49"/>
  <c r="L85" i="49" s="1"/>
  <c r="K32" i="49"/>
  <c r="L32" i="49" s="1"/>
  <c r="K219" i="49"/>
  <c r="L219" i="49" s="1"/>
  <c r="K171" i="49"/>
  <c r="L171" i="49" s="1"/>
  <c r="K25" i="49"/>
  <c r="L25" i="49" s="1"/>
  <c r="K152" i="49"/>
  <c r="L152" i="49" s="1"/>
  <c r="K317" i="49"/>
  <c r="L317" i="49" s="1"/>
  <c r="K116" i="49"/>
  <c r="L116" i="49" s="1"/>
  <c r="K306" i="49"/>
  <c r="L306" i="49" s="1"/>
  <c r="K216" i="49"/>
  <c r="L216" i="49" s="1"/>
  <c r="K102" i="49"/>
  <c r="L102" i="49" s="1"/>
  <c r="K258" i="49"/>
  <c r="L258" i="49" s="1"/>
  <c r="K194" i="49"/>
  <c r="L194" i="49" s="1"/>
  <c r="K81" i="49"/>
  <c r="L81" i="49" s="1"/>
  <c r="K316" i="49"/>
  <c r="L316" i="49" s="1"/>
  <c r="K294" i="49"/>
  <c r="L294" i="49" s="1"/>
  <c r="K273" i="49"/>
  <c r="L273" i="49" s="1"/>
  <c r="K252" i="49"/>
  <c r="L252" i="49" s="1"/>
  <c r="K228" i="49"/>
  <c r="L228" i="49" s="1"/>
  <c r="K200" i="49"/>
  <c r="L200" i="49" s="1"/>
  <c r="K172" i="49"/>
  <c r="L172" i="49" s="1"/>
  <c r="K142" i="49"/>
  <c r="L142" i="49" s="1"/>
  <c r="K86" i="49"/>
  <c r="L86" i="49" s="1"/>
  <c r="K52" i="49"/>
  <c r="L52" i="49" s="1"/>
  <c r="K15" i="49"/>
  <c r="L15" i="49" s="1"/>
  <c r="K282" i="49"/>
  <c r="L282" i="49" s="1"/>
  <c r="K261" i="49"/>
  <c r="L261" i="49" s="1"/>
  <c r="K240" i="49"/>
  <c r="L240" i="49" s="1"/>
  <c r="K212" i="49"/>
  <c r="L212" i="49" s="1"/>
  <c r="K184" i="49"/>
  <c r="L184" i="49" s="1"/>
  <c r="K98" i="49"/>
  <c r="L98" i="49" s="1"/>
  <c r="K70" i="49"/>
  <c r="L70" i="49" s="1"/>
  <c r="K31" i="49"/>
  <c r="L31" i="49" s="1"/>
  <c r="K313" i="49"/>
  <c r="L313" i="49" s="1"/>
  <c r="K270" i="49"/>
  <c r="L270" i="49" s="1"/>
  <c r="K249" i="49"/>
  <c r="L249" i="49" s="1"/>
  <c r="K225" i="49"/>
  <c r="L225" i="49" s="1"/>
  <c r="K168" i="49"/>
  <c r="L168" i="49" s="1"/>
  <c r="K140" i="49"/>
  <c r="L140" i="49" s="1"/>
  <c r="K110" i="49"/>
  <c r="L110" i="49" s="1"/>
  <c r="K82" i="49"/>
  <c r="L82" i="49" s="1"/>
  <c r="K48" i="49"/>
  <c r="L48" i="49" s="1"/>
  <c r="K10" i="49"/>
  <c r="L10" i="49" s="1"/>
  <c r="K311" i="49"/>
  <c r="L311" i="49" s="1"/>
  <c r="K295" i="49"/>
  <c r="L295" i="49" s="1"/>
  <c r="K279" i="49"/>
  <c r="L279" i="49" s="1"/>
  <c r="K263" i="49"/>
  <c r="L263" i="49" s="1"/>
  <c r="K247" i="49"/>
  <c r="L247" i="49" s="1"/>
  <c r="K229" i="49"/>
  <c r="L229" i="49" s="1"/>
  <c r="K186" i="49"/>
  <c r="L186" i="49" s="1"/>
  <c r="K165" i="49"/>
  <c r="L165" i="49" s="1"/>
  <c r="K101" i="49"/>
  <c r="L101" i="49" s="1"/>
  <c r="K80" i="49"/>
  <c r="L80" i="49" s="1"/>
  <c r="K54" i="49"/>
  <c r="L54" i="49" s="1"/>
  <c r="K26" i="49"/>
  <c r="L26" i="49" s="1"/>
  <c r="K215" i="49"/>
  <c r="L215" i="49" s="1"/>
  <c r="K199" i="49"/>
  <c r="L199" i="49" s="1"/>
  <c r="K183" i="49"/>
  <c r="L183" i="49" s="1"/>
  <c r="K167" i="49"/>
  <c r="L167" i="49" s="1"/>
  <c r="K103" i="49"/>
  <c r="L103" i="49" s="1"/>
  <c r="K87" i="49"/>
  <c r="L87" i="49" s="1"/>
  <c r="K71" i="49"/>
  <c r="L71" i="49" s="1"/>
  <c r="K50" i="49"/>
  <c r="L50" i="49" s="1"/>
  <c r="K28" i="49"/>
  <c r="L28" i="49" s="1"/>
  <c r="K69" i="49"/>
  <c r="L69" i="49" s="1"/>
  <c r="K53" i="49"/>
  <c r="L53" i="49" s="1"/>
  <c r="K37" i="49"/>
  <c r="L37" i="49" s="1"/>
  <c r="K21" i="49"/>
  <c r="L21" i="49" s="1"/>
  <c r="J324" i="49"/>
  <c r="G324" i="49"/>
  <c r="E164" i="33"/>
  <c r="E106" i="33"/>
  <c r="E248" i="33"/>
  <c r="E162" i="33"/>
  <c r="E46" i="33"/>
  <c r="E287" i="33"/>
  <c r="E195" i="33"/>
  <c r="E149" i="33"/>
  <c r="E83" i="33"/>
  <c r="E34" i="33"/>
  <c r="E210" i="33"/>
  <c r="E187" i="33"/>
  <c r="E74" i="33"/>
  <c r="E228" i="33"/>
  <c r="E78" i="33"/>
  <c r="E59" i="33"/>
  <c r="E51" i="33"/>
  <c r="E296" i="33"/>
  <c r="E125" i="33"/>
  <c r="E235" i="33"/>
  <c r="E18" i="33"/>
  <c r="E79" i="33"/>
  <c r="E200" i="33"/>
  <c r="E247" i="33"/>
  <c r="E47" i="33"/>
  <c r="E13" i="33"/>
  <c r="E90" i="33"/>
  <c r="E10" i="33"/>
  <c r="E211" i="33"/>
  <c r="E243" i="33"/>
  <c r="C323" i="12"/>
  <c r="G36" i="32"/>
  <c r="E36" i="33"/>
  <c r="E7" i="33"/>
  <c r="E6" i="33"/>
  <c r="E47" i="48" l="1"/>
  <c r="L8" i="49"/>
  <c r="L324" i="49" s="1"/>
  <c r="K324" i="49"/>
  <c r="N324" i="49" s="1"/>
  <c r="G323" i="37"/>
  <c r="H322" i="37" s="1"/>
  <c r="G323" i="32"/>
  <c r="C323" i="33"/>
  <c r="E323" i="33" s="1"/>
  <c r="B58" i="40"/>
  <c r="B43" i="40" s="1"/>
  <c r="B45" i="40" s="1"/>
  <c r="H2" i="33" l="1"/>
  <c r="H57" i="33" s="1"/>
  <c r="G2" i="33"/>
  <c r="G269" i="33" s="1"/>
  <c r="F61" i="33"/>
  <c r="P5" i="13"/>
  <c r="H290" i="37"/>
  <c r="H62" i="37"/>
  <c r="H267" i="37"/>
  <c r="H197" i="37"/>
  <c r="H262" i="37"/>
  <c r="H312" i="37"/>
  <c r="H315" i="37"/>
  <c r="H118" i="37"/>
  <c r="H233" i="37"/>
  <c r="H287" i="37"/>
  <c r="H126" i="37"/>
  <c r="H60" i="37"/>
  <c r="H195" i="37"/>
  <c r="H132" i="37"/>
  <c r="H137" i="37"/>
  <c r="H79" i="37"/>
  <c r="H178" i="37"/>
  <c r="H190" i="37"/>
  <c r="H99" i="37"/>
  <c r="H106" i="37"/>
  <c r="H212" i="37"/>
  <c r="H11" i="37"/>
  <c r="H318" i="37"/>
  <c r="H182" i="37"/>
  <c r="H305" i="37"/>
  <c r="H157" i="37"/>
  <c r="H237" i="37"/>
  <c r="H161" i="37"/>
  <c r="H205" i="37"/>
  <c r="H311" i="37"/>
  <c r="H254" i="37"/>
  <c r="H241" i="37"/>
  <c r="H252" i="37"/>
  <c r="H145" i="37"/>
  <c r="H186" i="37"/>
  <c r="H111" i="37"/>
  <c r="H235" i="37"/>
  <c r="H61" i="37"/>
  <c r="H151" i="37"/>
  <c r="H54" i="37"/>
  <c r="H323" i="37"/>
  <c r="H313" i="37"/>
  <c r="H256" i="37"/>
  <c r="H277" i="37"/>
  <c r="H251" i="37"/>
  <c r="H130" i="37"/>
  <c r="H184" i="37"/>
  <c r="H273" i="37"/>
  <c r="H310" i="37"/>
  <c r="H224" i="37"/>
  <c r="H158" i="37"/>
  <c r="H308" i="37"/>
  <c r="H200" i="37"/>
  <c r="H268" i="37"/>
  <c r="H141" i="37"/>
  <c r="H226" i="37"/>
  <c r="H92" i="37"/>
  <c r="H269" i="37"/>
  <c r="H304" i="37"/>
  <c r="H219" i="37"/>
  <c r="H154" i="37"/>
  <c r="H244" i="37"/>
  <c r="H296" i="37"/>
  <c r="H115" i="37"/>
  <c r="H278" i="37"/>
  <c r="H211" i="37"/>
  <c r="H109" i="37"/>
  <c r="H297" i="37"/>
  <c r="H294" i="37"/>
  <c r="H204" i="37"/>
  <c r="H97" i="37"/>
  <c r="H35" i="37"/>
  <c r="H82" i="37"/>
  <c r="H209" i="37"/>
  <c r="H36" i="37"/>
  <c r="H94" i="37"/>
  <c r="H264" i="37"/>
  <c r="H41" i="37"/>
  <c r="H143" i="37"/>
  <c r="H22" i="37"/>
  <c r="H98" i="37"/>
  <c r="H301" i="37"/>
  <c r="H299" i="37"/>
  <c r="H309" i="37"/>
  <c r="H272" i="37"/>
  <c r="H162" i="37"/>
  <c r="H231" i="37"/>
  <c r="H289" i="37"/>
  <c r="H225" i="37"/>
  <c r="H246" i="37"/>
  <c r="H174" i="37"/>
  <c r="H110" i="37"/>
  <c r="H223" i="37"/>
  <c r="H306" i="37"/>
  <c r="H169" i="37"/>
  <c r="H275" i="37"/>
  <c r="H117" i="37"/>
  <c r="H317" i="37"/>
  <c r="H221" i="37"/>
  <c r="H240" i="37"/>
  <c r="H170" i="37"/>
  <c r="H302" i="37"/>
  <c r="H152" i="37"/>
  <c r="H136" i="37"/>
  <c r="H72" i="37"/>
  <c r="H238" i="37"/>
  <c r="H183" i="37"/>
  <c r="H103" i="37"/>
  <c r="H245" i="37"/>
  <c r="H276" i="37"/>
  <c r="H236" i="37"/>
  <c r="H23" i="37"/>
  <c r="H66" i="37"/>
  <c r="H187" i="37"/>
  <c r="H24" i="37"/>
  <c r="H73" i="37"/>
  <c r="H188" i="37"/>
  <c r="H25" i="37"/>
  <c r="H113" i="37"/>
  <c r="H319" i="37"/>
  <c r="H70" i="37"/>
  <c r="H281" i="37"/>
  <c r="H214" i="37"/>
  <c r="H229" i="37"/>
  <c r="H210" i="37"/>
  <c r="H316" i="37"/>
  <c r="H314" i="37"/>
  <c r="H257" i="37"/>
  <c r="H288" i="37"/>
  <c r="H206" i="37"/>
  <c r="H142" i="37"/>
  <c r="H280" i="37"/>
  <c r="H179" i="37"/>
  <c r="H228" i="37"/>
  <c r="H120" i="37"/>
  <c r="H185" i="37"/>
  <c r="H76" i="37"/>
  <c r="H253" i="37"/>
  <c r="H283" i="37"/>
  <c r="H202" i="37"/>
  <c r="H122" i="37"/>
  <c r="H216" i="37"/>
  <c r="H258" i="37"/>
  <c r="H175" i="37"/>
  <c r="H134" i="37"/>
  <c r="H168" i="37"/>
  <c r="H250" i="37"/>
  <c r="H217" i="37"/>
  <c r="H146" i="37"/>
  <c r="H104" i="37"/>
  <c r="H64" i="37"/>
  <c r="H39" i="37"/>
  <c r="H119" i="37"/>
  <c r="H279" i="37"/>
  <c r="H40" i="37"/>
  <c r="H129" i="37"/>
  <c r="H298" i="37"/>
  <c r="H49" i="37"/>
  <c r="H218" i="37"/>
  <c r="H34" i="37"/>
  <c r="H127" i="37"/>
  <c r="F130" i="33"/>
  <c r="H138" i="37"/>
  <c r="H274" i="37"/>
  <c r="H173" i="37"/>
  <c r="H220" i="37"/>
  <c r="H213" i="37"/>
  <c r="H265" i="37"/>
  <c r="H102" i="37"/>
  <c r="H286" i="37"/>
  <c r="H300" i="37"/>
  <c r="H68" i="37"/>
  <c r="H261" i="37"/>
  <c r="H114" i="37"/>
  <c r="H176" i="37"/>
  <c r="H124" i="37"/>
  <c r="H19" i="37"/>
  <c r="H43" i="37"/>
  <c r="H100" i="37"/>
  <c r="H199" i="37"/>
  <c r="H12" i="37"/>
  <c r="H57" i="37"/>
  <c r="H101" i="37"/>
  <c r="H201" i="37"/>
  <c r="H17" i="37"/>
  <c r="H69" i="37"/>
  <c r="H153" i="37"/>
  <c r="H14" i="37"/>
  <c r="H65" i="37"/>
  <c r="H159" i="37"/>
  <c r="H263" i="37"/>
  <c r="H88" i="37"/>
  <c r="H198" i="37"/>
  <c r="H266" i="37"/>
  <c r="H147" i="37"/>
  <c r="H155" i="37"/>
  <c r="H165" i="37"/>
  <c r="H285" i="37"/>
  <c r="H166" i="37"/>
  <c r="H194" i="37"/>
  <c r="H163" i="37"/>
  <c r="H148" i="37"/>
  <c r="H156" i="37"/>
  <c r="H7" i="37"/>
  <c r="H27" i="37"/>
  <c r="H55" i="37"/>
  <c r="H87" i="37"/>
  <c r="H149" i="37"/>
  <c r="H260" i="37"/>
  <c r="H20" i="37"/>
  <c r="H44" i="37"/>
  <c r="H83" i="37"/>
  <c r="H140" i="37"/>
  <c r="H232" i="37"/>
  <c r="H9" i="37"/>
  <c r="H45" i="37"/>
  <c r="H90" i="37"/>
  <c r="H207" i="37"/>
  <c r="H320" i="37"/>
  <c r="H38" i="37"/>
  <c r="H91" i="37"/>
  <c r="H181" i="37"/>
  <c r="H222" i="37"/>
  <c r="H191" i="37"/>
  <c r="H95" i="37"/>
  <c r="H139" i="37"/>
  <c r="H56" i="37"/>
  <c r="H150" i="37"/>
  <c r="H295" i="37"/>
  <c r="H189" i="37"/>
  <c r="H248" i="37"/>
  <c r="H131" i="37"/>
  <c r="H203" i="37"/>
  <c r="H84" i="37"/>
  <c r="H249" i="37"/>
  <c r="H293" i="37"/>
  <c r="H230" i="37"/>
  <c r="H259" i="37"/>
  <c r="H239" i="37"/>
  <c r="H125" i="37"/>
  <c r="H193" i="37"/>
  <c r="H80" i="37"/>
  <c r="H15" i="37"/>
  <c r="H31" i="37"/>
  <c r="H47" i="37"/>
  <c r="H77" i="37"/>
  <c r="H108" i="37"/>
  <c r="H160" i="37"/>
  <c r="H243" i="37"/>
  <c r="H8" i="37"/>
  <c r="H28" i="37"/>
  <c r="H52" i="37"/>
  <c r="H78" i="37"/>
  <c r="H112" i="37"/>
  <c r="H177" i="37"/>
  <c r="H247" i="37"/>
  <c r="H321" i="37"/>
  <c r="H29" i="37"/>
  <c r="H63" i="37"/>
  <c r="H105" i="37"/>
  <c r="H167" i="37"/>
  <c r="H284" i="37"/>
  <c r="H18" i="37"/>
  <c r="H46" i="37"/>
  <c r="H86" i="37"/>
  <c r="H135" i="37"/>
  <c r="H242" i="37"/>
  <c r="F232" i="33"/>
  <c r="H13" i="37"/>
  <c r="H33" i="37"/>
  <c r="H58" i="37"/>
  <c r="H85" i="37"/>
  <c r="H123" i="37"/>
  <c r="H192" i="37"/>
  <c r="H270" i="37"/>
  <c r="H6" i="37"/>
  <c r="H30" i="37"/>
  <c r="H50" i="37"/>
  <c r="H75" i="37"/>
  <c r="H116" i="37"/>
  <c r="H171" i="37"/>
  <c r="H307" i="37"/>
  <c r="F218" i="33"/>
  <c r="F122" i="33"/>
  <c r="F215" i="33"/>
  <c r="H271" i="37"/>
  <c r="F133" i="33"/>
  <c r="F306" i="33"/>
  <c r="F298" i="33"/>
  <c r="F152" i="33"/>
  <c r="H208" i="37"/>
  <c r="H291" i="37"/>
  <c r="F209" i="33"/>
  <c r="F314" i="33"/>
  <c r="F196" i="33"/>
  <c r="F128" i="33"/>
  <c r="F89" i="33"/>
  <c r="F44" i="33"/>
  <c r="F318" i="33"/>
  <c r="F48" i="33"/>
  <c r="F114" i="33"/>
  <c r="F307" i="33"/>
  <c r="F293" i="33"/>
  <c r="F11" i="33"/>
  <c r="F19" i="33"/>
  <c r="F99" i="33"/>
  <c r="F309" i="33"/>
  <c r="F27" i="33"/>
  <c r="F242" i="33"/>
  <c r="F158" i="33"/>
  <c r="J2" i="33"/>
  <c r="J15" i="33" s="1"/>
  <c r="H51" i="37"/>
  <c r="H71" i="37"/>
  <c r="H93" i="37"/>
  <c r="H128" i="37"/>
  <c r="H172" i="37"/>
  <c r="H227" i="37"/>
  <c r="H292" i="37"/>
  <c r="H16" i="37"/>
  <c r="H32" i="37"/>
  <c r="H48" i="37"/>
  <c r="H67" i="37"/>
  <c r="H89" i="37"/>
  <c r="H121" i="37"/>
  <c r="H164" i="37"/>
  <c r="H215" i="37"/>
  <c r="H282" i="37"/>
  <c r="H5" i="37"/>
  <c r="H21" i="37"/>
  <c r="H37" i="37"/>
  <c r="H53" i="37"/>
  <c r="H74" i="37"/>
  <c r="H96" i="37"/>
  <c r="H133" i="37"/>
  <c r="H180" i="37"/>
  <c r="H234" i="37"/>
  <c r="H303" i="37"/>
  <c r="H10" i="37"/>
  <c r="H26" i="37"/>
  <c r="H42" i="37"/>
  <c r="H59" i="37"/>
  <c r="H81" i="37"/>
  <c r="H107" i="37"/>
  <c r="H144" i="37"/>
  <c r="H196" i="37"/>
  <c r="H255" i="37"/>
  <c r="F281" i="33"/>
  <c r="F251" i="33"/>
  <c r="F145" i="33"/>
  <c r="F153" i="33"/>
  <c r="F107" i="33"/>
  <c r="F217" i="33"/>
  <c r="F135" i="33"/>
  <c r="F51" i="33"/>
  <c r="F25" i="33"/>
  <c r="F79" i="33"/>
  <c r="F58" i="33"/>
  <c r="F149" i="33"/>
  <c r="F42" i="33"/>
  <c r="F100" i="33"/>
  <c r="F69" i="33"/>
  <c r="F282" i="33"/>
  <c r="F165" i="33"/>
  <c r="F178" i="33"/>
  <c r="F278" i="33"/>
  <c r="F81" i="33"/>
  <c r="F28" i="33"/>
  <c r="F86" i="33"/>
  <c r="F146" i="33"/>
  <c r="F101" i="33"/>
  <c r="F143" i="33"/>
  <c r="F60" i="33"/>
  <c r="F264" i="33"/>
  <c r="F249" i="33"/>
  <c r="F160" i="33"/>
  <c r="F187" i="33"/>
  <c r="F96" i="33"/>
  <c r="F304" i="33"/>
  <c r="F33" i="33"/>
  <c r="F273" i="33"/>
  <c r="F229" i="33"/>
  <c r="F140" i="33"/>
  <c r="F313" i="33"/>
  <c r="F211" i="33"/>
  <c r="F173" i="33"/>
  <c r="F35" i="33"/>
  <c r="F192" i="33"/>
  <c r="F167" i="33"/>
  <c r="F125" i="33"/>
  <c r="F184" i="33"/>
  <c r="F210" i="33"/>
  <c r="F66" i="33"/>
  <c r="F98" i="33"/>
  <c r="F157" i="33"/>
  <c r="F206" i="33"/>
  <c r="F54" i="33"/>
  <c r="F40" i="33"/>
  <c r="F168" i="33"/>
  <c r="F34" i="33"/>
  <c r="F305" i="33"/>
  <c r="F102" i="33"/>
  <c r="F271" i="33"/>
  <c r="F29" i="33"/>
  <c r="F56" i="33"/>
  <c r="F254" i="33"/>
  <c r="F72" i="33"/>
  <c r="F179" i="33"/>
  <c r="F193" i="33"/>
  <c r="F111" i="33"/>
  <c r="F284" i="33"/>
  <c r="F301" i="33"/>
  <c r="F289" i="33"/>
  <c r="F59" i="33"/>
  <c r="F292" i="33"/>
  <c r="F124" i="33"/>
  <c r="F280" i="33"/>
  <c r="F315" i="33"/>
  <c r="F311" i="33"/>
  <c r="F17" i="33"/>
  <c r="F188" i="33"/>
  <c r="F77" i="33"/>
  <c r="F261" i="33"/>
  <c r="F123" i="33"/>
  <c r="F23" i="33"/>
  <c r="F18" i="33"/>
  <c r="F169" i="33"/>
  <c r="F166" i="33"/>
  <c r="F105" i="33"/>
  <c r="F31" i="33"/>
  <c r="F117" i="33"/>
  <c r="F296" i="33"/>
  <c r="F243" i="33"/>
  <c r="F174" i="33"/>
  <c r="F274" i="33"/>
  <c r="F57" i="33"/>
  <c r="F87" i="33"/>
  <c r="F45" i="33"/>
  <c r="F212" i="33"/>
  <c r="F172" i="33"/>
  <c r="F175" i="33"/>
  <c r="F277" i="33"/>
  <c r="F115" i="33"/>
  <c r="F319" i="33"/>
  <c r="F320" i="33"/>
  <c r="F156" i="33"/>
  <c r="F110" i="33"/>
  <c r="F321" i="33"/>
  <c r="F214" i="33"/>
  <c r="F12" i="33"/>
  <c r="F161" i="33"/>
  <c r="F221" i="33"/>
  <c r="F137" i="33"/>
  <c r="F94" i="33"/>
  <c r="F38" i="33"/>
  <c r="F78" i="33"/>
  <c r="F41" i="33"/>
  <c r="F291" i="33"/>
  <c r="F235" i="33"/>
  <c r="F83" i="33"/>
  <c r="F24" i="33"/>
  <c r="F163" i="33"/>
  <c r="F219" i="33"/>
  <c r="F132" i="33"/>
  <c r="F37" i="33"/>
  <c r="F9" i="33"/>
  <c r="F231" i="33"/>
  <c r="F88" i="33"/>
  <c r="F95" i="33"/>
  <c r="F186" i="33"/>
  <c r="F200" i="33"/>
  <c r="F208" i="33"/>
  <c r="F230" i="33"/>
  <c r="F312" i="33"/>
  <c r="F310" i="33"/>
  <c r="F226" i="33"/>
  <c r="F150" i="33"/>
  <c r="F287" i="33"/>
  <c r="F52" i="33"/>
  <c r="F253" i="33"/>
  <c r="F303" i="33"/>
  <c r="F237" i="33"/>
  <c r="F316" i="33"/>
  <c r="F257" i="33"/>
  <c r="F276" i="33"/>
  <c r="F203" i="33"/>
  <c r="F136" i="33"/>
  <c r="F228" i="33"/>
  <c r="F223" i="33"/>
  <c r="F259" i="33"/>
  <c r="F155" i="33"/>
  <c r="F250" i="33"/>
  <c r="F154" i="33"/>
  <c r="F244" i="33"/>
  <c r="F322" i="33"/>
  <c r="F238" i="33"/>
  <c r="F32" i="33"/>
  <c r="F297" i="33"/>
  <c r="F121" i="33"/>
  <c r="F225" i="33"/>
  <c r="F97" i="33"/>
  <c r="F46" i="33"/>
  <c r="F151" i="33"/>
  <c r="F55" i="33"/>
  <c r="F39" i="33"/>
  <c r="F20" i="33"/>
  <c r="F131" i="33"/>
  <c r="F22" i="33"/>
  <c r="F109" i="33"/>
  <c r="F236" i="33"/>
  <c r="F73" i="33"/>
  <c r="F262" i="33"/>
  <c r="F82" i="33"/>
  <c r="F138" i="33"/>
  <c r="F272" i="33"/>
  <c r="F205" i="33"/>
  <c r="F15" i="33"/>
  <c r="F13" i="33"/>
  <c r="F49" i="33"/>
  <c r="F246" i="33"/>
  <c r="F233" i="33"/>
  <c r="F170" i="33"/>
  <c r="F201" i="33"/>
  <c r="F317" i="33"/>
  <c r="F8" i="33"/>
  <c r="F120" i="33"/>
  <c r="F252" i="33"/>
  <c r="F194" i="33"/>
  <c r="F204" i="33"/>
  <c r="F10" i="33"/>
  <c r="F139" i="33"/>
  <c r="F68" i="33"/>
  <c r="F295" i="33"/>
  <c r="F270" i="33"/>
  <c r="F267" i="33"/>
  <c r="F279" i="33"/>
  <c r="F74" i="33"/>
  <c r="F240" i="33"/>
  <c r="F182" i="33"/>
  <c r="F7" i="33"/>
  <c r="F241" i="33"/>
  <c r="F5" i="33"/>
  <c r="F300" i="33"/>
  <c r="F248" i="33"/>
  <c r="F294" i="33"/>
  <c r="F176" i="33"/>
  <c r="F144" i="33"/>
  <c r="F177" i="33"/>
  <c r="F75" i="33"/>
  <c r="F181" i="33"/>
  <c r="F116" i="33"/>
  <c r="F263" i="33"/>
  <c r="F283" i="33"/>
  <c r="F65" i="33"/>
  <c r="F103" i="33"/>
  <c r="F299" i="33"/>
  <c r="F113" i="33"/>
  <c r="F47" i="33"/>
  <c r="F189" i="33"/>
  <c r="F222" i="33"/>
  <c r="F64" i="33"/>
  <c r="F80" i="33"/>
  <c r="F247" i="33"/>
  <c r="F195" i="33"/>
  <c r="F183" i="33"/>
  <c r="F147" i="33"/>
  <c r="F227" i="33"/>
  <c r="F290" i="33"/>
  <c r="F26" i="33"/>
  <c r="F108" i="33"/>
  <c r="F127" i="33"/>
  <c r="F21" i="33"/>
  <c r="F308" i="33"/>
  <c r="F63" i="33"/>
  <c r="F285" i="33"/>
  <c r="F260" i="33"/>
  <c r="F159" i="33"/>
  <c r="F164" i="33"/>
  <c r="F36" i="33"/>
  <c r="F213" i="33"/>
  <c r="F162" i="33"/>
  <c r="F220" i="33"/>
  <c r="F62" i="33"/>
  <c r="F148" i="33"/>
  <c r="F255" i="33"/>
  <c r="F43" i="33"/>
  <c r="F53" i="33"/>
  <c r="F71" i="33"/>
  <c r="F30" i="33"/>
  <c r="F93" i="33"/>
  <c r="F141" i="33"/>
  <c r="F197" i="33"/>
  <c r="F302" i="33"/>
  <c r="F224" i="33"/>
  <c r="F207" i="33"/>
  <c r="F90" i="33"/>
  <c r="F171" i="33"/>
  <c r="F245" i="33"/>
  <c r="F104" i="33"/>
  <c r="F275" i="33"/>
  <c r="F234" i="33"/>
  <c r="F268" i="33"/>
  <c r="F119" i="33"/>
  <c r="F126" i="33"/>
  <c r="F239" i="33"/>
  <c r="F14" i="33"/>
  <c r="F288" i="33"/>
  <c r="F191" i="33"/>
  <c r="F269" i="33"/>
  <c r="F266" i="33"/>
  <c r="F76" i="33"/>
  <c r="F84" i="33"/>
  <c r="F256" i="33"/>
  <c r="F198" i="33"/>
  <c r="F16" i="33"/>
  <c r="F216" i="33"/>
  <c r="F118" i="33"/>
  <c r="F106" i="33"/>
  <c r="F92" i="33"/>
  <c r="F85" i="33"/>
  <c r="F258" i="33"/>
  <c r="F202" i="33"/>
  <c r="F265" i="33"/>
  <c r="F70" i="33"/>
  <c r="F129" i="33"/>
  <c r="F286" i="33"/>
  <c r="F185" i="33"/>
  <c r="F50" i="33"/>
  <c r="F142" i="33"/>
  <c r="F134" i="33"/>
  <c r="F112" i="33"/>
  <c r="I2" i="33"/>
  <c r="I16" i="33" s="1"/>
  <c r="F91" i="33"/>
  <c r="F180" i="33"/>
  <c r="F190" i="33"/>
  <c r="F67" i="33"/>
  <c r="F6" i="33"/>
  <c r="F199" i="33"/>
  <c r="G134" i="33"/>
  <c r="G37" i="33" l="1"/>
  <c r="G316" i="33"/>
  <c r="G304" i="33"/>
  <c r="G177" i="33"/>
  <c r="G301" i="33"/>
  <c r="G98" i="33"/>
  <c r="G258" i="33"/>
  <c r="G272" i="33"/>
  <c r="G158" i="33"/>
  <c r="G92" i="33"/>
  <c r="G75" i="33"/>
  <c r="G320" i="33"/>
  <c r="G305" i="33"/>
  <c r="G277" i="33"/>
  <c r="G27" i="33"/>
  <c r="G249" i="33"/>
  <c r="G317" i="33"/>
  <c r="G16" i="33"/>
  <c r="G223" i="33"/>
  <c r="G255" i="33"/>
  <c r="G66" i="33"/>
  <c r="G147" i="33"/>
  <c r="G245" i="33"/>
  <c r="G59" i="33"/>
  <c r="G73" i="33"/>
  <c r="G91" i="33"/>
  <c r="G202" i="33"/>
  <c r="G199" i="33"/>
  <c r="G264" i="33"/>
  <c r="G85" i="33"/>
  <c r="G44" i="33"/>
  <c r="G125" i="33"/>
  <c r="G251" i="33"/>
  <c r="G130" i="33"/>
  <c r="G132" i="33"/>
  <c r="G227" i="33"/>
  <c r="G205" i="33"/>
  <c r="G64" i="33"/>
  <c r="G283" i="33"/>
  <c r="G271" i="33"/>
  <c r="G278" i="33"/>
  <c r="G195" i="33"/>
  <c r="G157" i="33"/>
  <c r="G173" i="33"/>
  <c r="G41" i="33"/>
  <c r="G131" i="33"/>
  <c r="G302" i="33"/>
  <c r="G171" i="33"/>
  <c r="G261" i="33"/>
  <c r="G120" i="33"/>
  <c r="G216" i="33"/>
  <c r="G240" i="33"/>
  <c r="G50" i="33"/>
  <c r="G185" i="33"/>
  <c r="G292" i="33"/>
  <c r="G128" i="33"/>
  <c r="G289" i="33"/>
  <c r="G58" i="33"/>
  <c r="G90" i="33"/>
  <c r="G224" i="33"/>
  <c r="G242" i="33"/>
  <c r="G129" i="33"/>
  <c r="G14" i="33"/>
  <c r="G101" i="33"/>
  <c r="G111" i="33"/>
  <c r="G143" i="33"/>
  <c r="G268" i="33"/>
  <c r="G150" i="33"/>
  <c r="G194" i="33"/>
  <c r="G104" i="33"/>
  <c r="G49" i="33"/>
  <c r="G221" i="33"/>
  <c r="G107" i="33"/>
  <c r="G239" i="33"/>
  <c r="G306" i="33"/>
  <c r="G82" i="33"/>
  <c r="G102" i="33"/>
  <c r="G78" i="33"/>
  <c r="G217" i="33"/>
  <c r="G56" i="33"/>
  <c r="G163" i="33"/>
  <c r="G28" i="33"/>
  <c r="G319" i="33"/>
  <c r="G153" i="33"/>
  <c r="G297" i="33"/>
  <c r="G30" i="33"/>
  <c r="G39" i="33"/>
  <c r="G40" i="33"/>
  <c r="G321" i="33"/>
  <c r="G89" i="33"/>
  <c r="G236" i="33"/>
  <c r="G218" i="33"/>
  <c r="G137" i="33"/>
  <c r="G197" i="33"/>
  <c r="G141" i="33"/>
  <c r="G93" i="33"/>
  <c r="G164" i="33"/>
  <c r="G103" i="33"/>
  <c r="G53" i="33"/>
  <c r="G172" i="33"/>
  <c r="G322" i="33"/>
  <c r="G263" i="33"/>
  <c r="G80" i="33"/>
  <c r="G156" i="33"/>
  <c r="G122" i="33"/>
  <c r="G222" i="33"/>
  <c r="G225" i="33"/>
  <c r="G162" i="33"/>
  <c r="G17" i="33"/>
  <c r="G19" i="33"/>
  <c r="G36" i="33"/>
  <c r="G315" i="33"/>
  <c r="G12" i="33"/>
  <c r="G188" i="33"/>
  <c r="G196" i="33"/>
  <c r="G86" i="33"/>
  <c r="G254" i="33"/>
  <c r="G35" i="33"/>
  <c r="G160" i="33"/>
  <c r="G187" i="33"/>
  <c r="G181" i="33"/>
  <c r="G87" i="33"/>
  <c r="G210" i="33"/>
  <c r="G193" i="33"/>
  <c r="G144" i="33"/>
  <c r="G209" i="33"/>
  <c r="G259" i="33"/>
  <c r="G280" i="33"/>
  <c r="G228" i="33"/>
  <c r="G248" i="33"/>
  <c r="G281" i="33"/>
  <c r="G184" i="33"/>
  <c r="G155" i="33"/>
  <c r="G100" i="33"/>
  <c r="G318" i="33"/>
  <c r="G6" i="33"/>
  <c r="G276" i="33"/>
  <c r="G67" i="33"/>
  <c r="G70" i="33"/>
  <c r="G124" i="33"/>
  <c r="G180" i="33"/>
  <c r="G256" i="33"/>
  <c r="G257" i="33"/>
  <c r="G190" i="33"/>
  <c r="G84" i="33"/>
  <c r="G57" i="33"/>
  <c r="G117" i="33"/>
  <c r="G296" i="33"/>
  <c r="G136" i="33"/>
  <c r="G294" i="33"/>
  <c r="G65" i="33"/>
  <c r="G154" i="33"/>
  <c r="G116" i="33"/>
  <c r="G246" i="33"/>
  <c r="G233" i="33"/>
  <c r="G314" i="33"/>
  <c r="G235" i="33"/>
  <c r="G213" i="33"/>
  <c r="G24" i="33"/>
  <c r="G165" i="33"/>
  <c r="G46" i="33"/>
  <c r="G145" i="33"/>
  <c r="G96" i="33"/>
  <c r="G291" i="33"/>
  <c r="G309" i="33"/>
  <c r="G146" i="33"/>
  <c r="G94" i="33"/>
  <c r="G247" i="33"/>
  <c r="G183" i="33"/>
  <c r="G9" i="33"/>
  <c r="G121" i="33"/>
  <c r="G15" i="33"/>
  <c r="G219" i="33"/>
  <c r="G313" i="33"/>
  <c r="G298" i="33"/>
  <c r="G168" i="33"/>
  <c r="G311" i="33"/>
  <c r="G252" i="33"/>
  <c r="G192" i="33"/>
  <c r="G119" i="33"/>
  <c r="G287" i="33"/>
  <c r="G126" i="33"/>
  <c r="G186" i="33"/>
  <c r="G18" i="33"/>
  <c r="G42" i="33"/>
  <c r="G60" i="33"/>
  <c r="G118" i="33"/>
  <c r="G61" i="33"/>
  <c r="G112" i="33"/>
  <c r="G303" i="33"/>
  <c r="G286" i="33"/>
  <c r="G253" i="33"/>
  <c r="G76" i="33"/>
  <c r="G142" i="33"/>
  <c r="G270" i="33"/>
  <c r="G200" i="33"/>
  <c r="G79" i="33"/>
  <c r="G279" i="33"/>
  <c r="G215" i="33"/>
  <c r="G169" i="33"/>
  <c r="G149" i="33"/>
  <c r="G288" i="33"/>
  <c r="G204" i="33"/>
  <c r="G226" i="33"/>
  <c r="G23" i="33"/>
  <c r="G95" i="33"/>
  <c r="G10" i="33"/>
  <c r="G230" i="33"/>
  <c r="G22" i="33"/>
  <c r="G293" i="33"/>
  <c r="G161" i="33"/>
  <c r="G299" i="33"/>
  <c r="G159" i="33"/>
  <c r="G260" i="33"/>
  <c r="G285" i="33"/>
  <c r="G63" i="33"/>
  <c r="G148" i="33"/>
  <c r="G62" i="33"/>
  <c r="G220" i="33"/>
  <c r="G189" i="33"/>
  <c r="G47" i="33"/>
  <c r="G113" i="33"/>
  <c r="G25" i="33"/>
  <c r="G214" i="33"/>
  <c r="G273" i="33"/>
  <c r="G151" i="33"/>
  <c r="G308" i="33"/>
  <c r="G127" i="33"/>
  <c r="G231" i="33"/>
  <c r="G211" i="33"/>
  <c r="G266" i="33"/>
  <c r="G166" i="33"/>
  <c r="G74" i="33"/>
  <c r="G191" i="33"/>
  <c r="G106" i="33"/>
  <c r="G237" i="33"/>
  <c r="G275" i="33"/>
  <c r="G232" i="33"/>
  <c r="G207" i="33"/>
  <c r="G310" i="33"/>
  <c r="G139" i="33"/>
  <c r="G52" i="33"/>
  <c r="G267" i="33"/>
  <c r="G234" i="33"/>
  <c r="G312" i="33"/>
  <c r="G295" i="33"/>
  <c r="G68" i="33"/>
  <c r="G208" i="33"/>
  <c r="G284" i="33"/>
  <c r="G123" i="33"/>
  <c r="G108" i="33"/>
  <c r="G26" i="33"/>
  <c r="G290" i="33"/>
  <c r="G38" i="33"/>
  <c r="G32" i="33"/>
  <c r="G81" i="33"/>
  <c r="G262" i="33"/>
  <c r="G11" i="33"/>
  <c r="G244" i="33"/>
  <c r="G13" i="33"/>
  <c r="G133" i="33"/>
  <c r="G51" i="33"/>
  <c r="G114" i="33"/>
  <c r="G115" i="33"/>
  <c r="G152" i="33"/>
  <c r="G72" i="33"/>
  <c r="G178" i="33"/>
  <c r="G55" i="33"/>
  <c r="G307" i="33"/>
  <c r="G110" i="33"/>
  <c r="G140" i="33"/>
  <c r="G109" i="33"/>
  <c r="G34" i="33"/>
  <c r="G88" i="33"/>
  <c r="G77" i="33"/>
  <c r="G201" i="33"/>
  <c r="G138" i="33"/>
  <c r="G282" i="33"/>
  <c r="G238" i="33"/>
  <c r="G48" i="33"/>
  <c r="G212" i="33"/>
  <c r="G33" i="33"/>
  <c r="G97" i="33"/>
  <c r="G206" i="33"/>
  <c r="G29" i="33"/>
  <c r="G83" i="33"/>
  <c r="G135" i="33"/>
  <c r="G229" i="33"/>
  <c r="G71" i="33"/>
  <c r="G54" i="33"/>
  <c r="G43" i="33"/>
  <c r="G99" i="33"/>
  <c r="G45" i="33"/>
  <c r="G69" i="33"/>
  <c r="G250" i="33"/>
  <c r="G176" i="33"/>
  <c r="G241" i="33"/>
  <c r="G174" i="33"/>
  <c r="G300" i="33"/>
  <c r="G243" i="33"/>
  <c r="G274" i="33"/>
  <c r="G167" i="33"/>
  <c r="G182" i="33"/>
  <c r="G265" i="33"/>
  <c r="G31" i="33"/>
  <c r="G105" i="33"/>
  <c r="G7" i="33"/>
  <c r="G203" i="33"/>
  <c r="G198" i="33"/>
  <c r="G170" i="33"/>
  <c r="G21" i="33"/>
  <c r="G8" i="33"/>
  <c r="G179" i="33"/>
  <c r="G20" i="33"/>
  <c r="G175" i="33"/>
  <c r="G5" i="33"/>
  <c r="H4" i="12"/>
  <c r="J309" i="33"/>
  <c r="J166" i="33"/>
  <c r="J187" i="33"/>
  <c r="J86" i="33"/>
  <c r="J270" i="33"/>
  <c r="J116" i="33"/>
  <c r="J139" i="33"/>
  <c r="J186" i="33"/>
  <c r="J171" i="33"/>
  <c r="J24" i="33"/>
  <c r="J55" i="33"/>
  <c r="J256" i="33"/>
  <c r="J279" i="33"/>
  <c r="J249" i="33"/>
  <c r="J53" i="33"/>
  <c r="J321" i="33"/>
  <c r="J167" i="33"/>
  <c r="J165" i="33"/>
  <c r="J129" i="33"/>
  <c r="J150" i="33"/>
  <c r="J37" i="33"/>
  <c r="J119" i="33"/>
  <c r="J314" i="33"/>
  <c r="J234" i="33"/>
  <c r="J130" i="33"/>
  <c r="J231" i="33"/>
  <c r="J149" i="33"/>
  <c r="J212" i="33"/>
  <c r="J293" i="33"/>
  <c r="J213" i="33"/>
  <c r="J152" i="33"/>
  <c r="J68" i="33"/>
  <c r="J101" i="33"/>
  <c r="J9" i="33"/>
  <c r="J38" i="33"/>
  <c r="J103" i="33"/>
  <c r="J11" i="33"/>
  <c r="J250" i="33"/>
  <c r="J251" i="33"/>
  <c r="J240" i="33"/>
  <c r="J229" i="33"/>
  <c r="J88" i="33"/>
  <c r="J117" i="33"/>
  <c r="J58" i="33"/>
  <c r="J39" i="33"/>
  <c r="J316" i="33"/>
  <c r="J298" i="33"/>
  <c r="J206" i="33"/>
  <c r="J295" i="33"/>
  <c r="J215" i="33"/>
  <c r="J276" i="33"/>
  <c r="J192" i="33"/>
  <c r="J277" i="33"/>
  <c r="J185" i="33"/>
  <c r="J132" i="33"/>
  <c r="J52" i="33"/>
  <c r="J73" i="33"/>
  <c r="J102" i="33"/>
  <c r="J22" i="33"/>
  <c r="J75" i="33"/>
  <c r="J312" i="33"/>
  <c r="J302" i="33"/>
  <c r="J266" i="33"/>
  <c r="J218" i="33"/>
  <c r="J175" i="33"/>
  <c r="J126" i="33"/>
  <c r="J263" i="33"/>
  <c r="J219" i="33"/>
  <c r="J183" i="33"/>
  <c r="J288" i="33"/>
  <c r="J244" i="33"/>
  <c r="J208" i="33"/>
  <c r="J141" i="33"/>
  <c r="J281" i="33"/>
  <c r="J245" i="33"/>
  <c r="J197" i="33"/>
  <c r="J153" i="33"/>
  <c r="J148" i="33"/>
  <c r="J100" i="33"/>
  <c r="J56" i="33"/>
  <c r="J20" i="33"/>
  <c r="J85" i="33"/>
  <c r="J41" i="33"/>
  <c r="J118" i="33"/>
  <c r="J70" i="33"/>
  <c r="J26" i="33"/>
  <c r="J135" i="33"/>
  <c r="J87" i="33"/>
  <c r="J43" i="33"/>
  <c r="J7" i="33"/>
  <c r="J317" i="33"/>
  <c r="J313" i="33"/>
  <c r="J282" i="33"/>
  <c r="J238" i="33"/>
  <c r="J202" i="33"/>
  <c r="J142" i="33"/>
  <c r="J283" i="33"/>
  <c r="J247" i="33"/>
  <c r="J199" i="33"/>
  <c r="J154" i="33"/>
  <c r="J272" i="33"/>
  <c r="J224" i="33"/>
  <c r="J180" i="33"/>
  <c r="J125" i="33"/>
  <c r="J261" i="33"/>
  <c r="J217" i="33"/>
  <c r="J181" i="33"/>
  <c r="J164" i="33"/>
  <c r="J120" i="33"/>
  <c r="J84" i="33"/>
  <c r="J36" i="33"/>
  <c r="J105" i="33"/>
  <c r="J69" i="33"/>
  <c r="J21" i="33"/>
  <c r="J90" i="33"/>
  <c r="J54" i="33"/>
  <c r="J6" i="33"/>
  <c r="J107" i="33"/>
  <c r="J71" i="33"/>
  <c r="J23" i="33"/>
  <c r="J319" i="33"/>
  <c r="J315" i="33"/>
  <c r="J318" i="33"/>
  <c r="J286" i="33"/>
  <c r="J254" i="33"/>
  <c r="J222" i="33"/>
  <c r="J190" i="33"/>
  <c r="J146" i="33"/>
  <c r="J299" i="33"/>
  <c r="J267" i="33"/>
  <c r="J235" i="33"/>
  <c r="J203" i="33"/>
  <c r="J170" i="33"/>
  <c r="J292" i="33"/>
  <c r="J260" i="33"/>
  <c r="J228" i="33"/>
  <c r="J196" i="33"/>
  <c r="J145" i="33"/>
  <c r="J297" i="33"/>
  <c r="J265" i="33"/>
  <c r="J233" i="33"/>
  <c r="J201" i="33"/>
  <c r="J169" i="33"/>
  <c r="J168" i="33"/>
  <c r="J136" i="33"/>
  <c r="J104" i="33"/>
  <c r="J72" i="33"/>
  <c r="J40" i="33"/>
  <c r="J8" i="33"/>
  <c r="J89" i="33"/>
  <c r="J57" i="33"/>
  <c r="J25" i="33"/>
  <c r="J106" i="33"/>
  <c r="J74" i="33"/>
  <c r="J42" i="33"/>
  <c r="J10" i="33"/>
  <c r="J123" i="33"/>
  <c r="J91" i="33"/>
  <c r="J59" i="33"/>
  <c r="J27" i="33"/>
  <c r="J311" i="33"/>
  <c r="J5" i="33"/>
  <c r="J307" i="33"/>
  <c r="J305" i="33"/>
  <c r="J310" i="33"/>
  <c r="J294" i="33"/>
  <c r="J278" i="33"/>
  <c r="J262" i="33"/>
  <c r="J246" i="33"/>
  <c r="J230" i="33"/>
  <c r="J214" i="33"/>
  <c r="J198" i="33"/>
  <c r="J182" i="33"/>
  <c r="J159" i="33"/>
  <c r="J138" i="33"/>
  <c r="J122" i="33"/>
  <c r="J291" i="33"/>
  <c r="J275" i="33"/>
  <c r="J259" i="33"/>
  <c r="J243" i="33"/>
  <c r="J227" i="33"/>
  <c r="J211" i="33"/>
  <c r="J195" i="33"/>
  <c r="J179" i="33"/>
  <c r="J162" i="33"/>
  <c r="J300" i="33"/>
  <c r="J284" i="33"/>
  <c r="J268" i="33"/>
  <c r="J252" i="33"/>
  <c r="J236" i="33"/>
  <c r="J220" i="33"/>
  <c r="J204" i="33"/>
  <c r="J188" i="33"/>
  <c r="J163" i="33"/>
  <c r="J137" i="33"/>
  <c r="J121" i="33"/>
  <c r="J289" i="33"/>
  <c r="J273" i="33"/>
  <c r="J257" i="33"/>
  <c r="J241" i="33"/>
  <c r="J225" i="33"/>
  <c r="J209" i="33"/>
  <c r="J193" i="33"/>
  <c r="J177" i="33"/>
  <c r="J161" i="33"/>
  <c r="J176" i="33"/>
  <c r="J160" i="33"/>
  <c r="J144" i="33"/>
  <c r="J128" i="33"/>
  <c r="J112" i="33"/>
  <c r="J96" i="33"/>
  <c r="J80" i="33"/>
  <c r="J64" i="33"/>
  <c r="J48" i="33"/>
  <c r="J32" i="33"/>
  <c r="J16" i="33"/>
  <c r="J113" i="33"/>
  <c r="J97" i="33"/>
  <c r="J81" i="33"/>
  <c r="J65" i="33"/>
  <c r="J49" i="33"/>
  <c r="J33" i="33"/>
  <c r="J17" i="33"/>
  <c r="J114" i="33"/>
  <c r="J98" i="33"/>
  <c r="J82" i="33"/>
  <c r="J66" i="33"/>
  <c r="J50" i="33"/>
  <c r="J34" i="33"/>
  <c r="J18" i="33"/>
  <c r="J147" i="33"/>
  <c r="J131" i="33"/>
  <c r="J115" i="33"/>
  <c r="J99" i="33"/>
  <c r="J83" i="33"/>
  <c r="J67" i="33"/>
  <c r="J51" i="33"/>
  <c r="J35" i="33"/>
  <c r="J19" i="33"/>
  <c r="J308" i="33"/>
  <c r="J320" i="33"/>
  <c r="J304" i="33"/>
  <c r="J322" i="33"/>
  <c r="J306" i="33"/>
  <c r="J290" i="33"/>
  <c r="J274" i="33"/>
  <c r="J258" i="33"/>
  <c r="J242" i="33"/>
  <c r="J226" i="33"/>
  <c r="J210" i="33"/>
  <c r="J194" i="33"/>
  <c r="J178" i="33"/>
  <c r="J151" i="33"/>
  <c r="J134" i="33"/>
  <c r="J303" i="33"/>
  <c r="J287" i="33"/>
  <c r="J271" i="33"/>
  <c r="J255" i="33"/>
  <c r="J239" i="33"/>
  <c r="J223" i="33"/>
  <c r="J207" i="33"/>
  <c r="J191" i="33"/>
  <c r="J173" i="33"/>
  <c r="J157" i="33"/>
  <c r="J296" i="33"/>
  <c r="J280" i="33"/>
  <c r="J264" i="33"/>
  <c r="J248" i="33"/>
  <c r="J232" i="33"/>
  <c r="J216" i="33"/>
  <c r="J200" i="33"/>
  <c r="J184" i="33"/>
  <c r="J155" i="33"/>
  <c r="J133" i="33"/>
  <c r="J301" i="33"/>
  <c r="J285" i="33"/>
  <c r="J269" i="33"/>
  <c r="J253" i="33"/>
  <c r="J237" i="33"/>
  <c r="J221" i="33"/>
  <c r="J205" i="33"/>
  <c r="J189" i="33"/>
  <c r="J174" i="33"/>
  <c r="J158" i="33"/>
  <c r="J172" i="33"/>
  <c r="J156" i="33"/>
  <c r="J140" i="33"/>
  <c r="J124" i="33"/>
  <c r="J108" i="33"/>
  <c r="J92" i="33"/>
  <c r="J76" i="33"/>
  <c r="J60" i="33"/>
  <c r="J44" i="33"/>
  <c r="J28" i="33"/>
  <c r="J12" i="33"/>
  <c r="J109" i="33"/>
  <c r="J93" i="33"/>
  <c r="J77" i="33"/>
  <c r="J61" i="33"/>
  <c r="J45" i="33"/>
  <c r="J29" i="33"/>
  <c r="J13" i="33"/>
  <c r="J110" i="33"/>
  <c r="J94" i="33"/>
  <c r="J78" i="33"/>
  <c r="J62" i="33"/>
  <c r="J46" i="33"/>
  <c r="J30" i="33"/>
  <c r="J14" i="33"/>
  <c r="J143" i="33"/>
  <c r="J127" i="33"/>
  <c r="J111" i="33"/>
  <c r="J95" i="33"/>
  <c r="J79" i="33"/>
  <c r="J63" i="33"/>
  <c r="J47" i="33"/>
  <c r="J31" i="33"/>
  <c r="I260" i="33"/>
  <c r="H19" i="33"/>
  <c r="H170" i="33"/>
  <c r="H44" i="33"/>
  <c r="H317" i="33"/>
  <c r="H191" i="33"/>
  <c r="H93" i="33"/>
  <c r="H212" i="33"/>
  <c r="I176" i="33"/>
  <c r="I89" i="33"/>
  <c r="H304" i="33"/>
  <c r="H283" i="33"/>
  <c r="H258" i="33"/>
  <c r="H225" i="33"/>
  <c r="I219" i="33"/>
  <c r="H128" i="33"/>
  <c r="H275" i="33"/>
  <c r="H107" i="33"/>
  <c r="H254" i="33"/>
  <c r="H82" i="33"/>
  <c r="H221" i="33"/>
  <c r="I217" i="33"/>
  <c r="I132" i="33"/>
  <c r="I47" i="33"/>
  <c r="H220" i="33"/>
  <c r="H48" i="33"/>
  <c r="H195" i="33"/>
  <c r="H27" i="33"/>
  <c r="H174" i="33"/>
  <c r="H321" i="33"/>
  <c r="H97" i="33"/>
  <c r="I261" i="33"/>
  <c r="I165" i="33"/>
  <c r="I91" i="33"/>
  <c r="H132" i="33"/>
  <c r="H111" i="33"/>
  <c r="H90" i="33"/>
  <c r="I306" i="33"/>
  <c r="I133" i="33"/>
  <c r="I48" i="33"/>
  <c r="H300" i="33"/>
  <c r="I305" i="33"/>
  <c r="H176" i="33"/>
  <c r="H92" i="33"/>
  <c r="H239" i="33"/>
  <c r="H155" i="33"/>
  <c r="H302" i="33"/>
  <c r="H218" i="33"/>
  <c r="H130" i="33"/>
  <c r="H281" i="33"/>
  <c r="H161" i="33"/>
  <c r="I285" i="33"/>
  <c r="I240" i="33"/>
  <c r="I197" i="33"/>
  <c r="I155" i="33"/>
  <c r="I112" i="33"/>
  <c r="I27" i="33"/>
  <c r="H256" i="33"/>
  <c r="H172" i="33"/>
  <c r="H84" i="33"/>
  <c r="H319" i="33"/>
  <c r="H235" i="33"/>
  <c r="H147" i="33"/>
  <c r="H63" i="33"/>
  <c r="H298" i="33"/>
  <c r="H210" i="33"/>
  <c r="H126" i="33"/>
  <c r="H42" i="33"/>
  <c r="H273" i="33"/>
  <c r="H157" i="33"/>
  <c r="H9" i="33"/>
  <c r="I282" i="33"/>
  <c r="I239" i="33"/>
  <c r="I196" i="33"/>
  <c r="I153" i="33"/>
  <c r="I111" i="33"/>
  <c r="I68" i="33"/>
  <c r="I25" i="33"/>
  <c r="H260" i="33"/>
  <c r="H5" i="33"/>
  <c r="H67" i="33"/>
  <c r="H46" i="33"/>
  <c r="H13" i="33"/>
  <c r="I69" i="33"/>
  <c r="H240" i="33"/>
  <c r="H196" i="33"/>
  <c r="H112" i="33"/>
  <c r="H68" i="33"/>
  <c r="H303" i="33"/>
  <c r="H259" i="33"/>
  <c r="H91" i="33"/>
  <c r="H320" i="33"/>
  <c r="H276" i="33"/>
  <c r="H236" i="33"/>
  <c r="H192" i="33"/>
  <c r="H148" i="33"/>
  <c r="H108" i="33"/>
  <c r="H64" i="33"/>
  <c r="H20" i="33"/>
  <c r="H299" i="33"/>
  <c r="H255" i="33"/>
  <c r="H211" i="33"/>
  <c r="H171" i="33"/>
  <c r="H127" i="33"/>
  <c r="H83" i="33"/>
  <c r="H43" i="33"/>
  <c r="H318" i="33"/>
  <c r="H274" i="33"/>
  <c r="H234" i="33"/>
  <c r="H190" i="33"/>
  <c r="H146" i="33"/>
  <c r="H106" i="33"/>
  <c r="H62" i="33"/>
  <c r="H18" i="33"/>
  <c r="H297" i="33"/>
  <c r="H253" i="33"/>
  <c r="H189" i="33"/>
  <c r="H125" i="33"/>
  <c r="H53" i="33"/>
  <c r="I315" i="33"/>
  <c r="I294" i="33"/>
  <c r="I270" i="33"/>
  <c r="I249" i="33"/>
  <c r="I228" i="33"/>
  <c r="I207" i="33"/>
  <c r="I185" i="33"/>
  <c r="I164" i="33"/>
  <c r="I143" i="33"/>
  <c r="I121" i="33"/>
  <c r="I100" i="33"/>
  <c r="I79" i="33"/>
  <c r="I57" i="33"/>
  <c r="I36" i="33"/>
  <c r="I15" i="33"/>
  <c r="H284" i="33"/>
  <c r="H156" i="33"/>
  <c r="H28" i="33"/>
  <c r="H219" i="33"/>
  <c r="H175" i="33"/>
  <c r="H131" i="33"/>
  <c r="H47" i="33"/>
  <c r="H322" i="33"/>
  <c r="H282" i="33"/>
  <c r="H238" i="33"/>
  <c r="H194" i="33"/>
  <c r="H154" i="33"/>
  <c r="H110" i="33"/>
  <c r="H66" i="33"/>
  <c r="H26" i="33"/>
  <c r="H301" i="33"/>
  <c r="H257" i="33"/>
  <c r="H193" i="33"/>
  <c r="H129" i="33"/>
  <c r="I317" i="33"/>
  <c r="I295" i="33"/>
  <c r="I271" i="33"/>
  <c r="I251" i="33"/>
  <c r="I229" i="33"/>
  <c r="I208" i="33"/>
  <c r="I187" i="33"/>
  <c r="I166" i="33"/>
  <c r="I144" i="33"/>
  <c r="I123" i="33"/>
  <c r="I101" i="33"/>
  <c r="I80" i="33"/>
  <c r="I59" i="33"/>
  <c r="I37" i="33"/>
  <c r="I6" i="33"/>
  <c r="I10" i="33"/>
  <c r="I14" i="33"/>
  <c r="I18" i="33"/>
  <c r="I22" i="33"/>
  <c r="I26" i="33"/>
  <c r="I30" i="33"/>
  <c r="I34" i="33"/>
  <c r="I38" i="33"/>
  <c r="I42" i="33"/>
  <c r="I46" i="33"/>
  <c r="I50" i="33"/>
  <c r="I54" i="33"/>
  <c r="I58" i="33"/>
  <c r="I62" i="33"/>
  <c r="I66" i="33"/>
  <c r="I70" i="33"/>
  <c r="I74" i="33"/>
  <c r="I78" i="33"/>
  <c r="I82" i="33"/>
  <c r="I86" i="33"/>
  <c r="I90" i="33"/>
  <c r="I94" i="33"/>
  <c r="I98" i="33"/>
  <c r="I102" i="33"/>
  <c r="I106" i="33"/>
  <c r="I110" i="33"/>
  <c r="I114" i="33"/>
  <c r="I118" i="33"/>
  <c r="I122" i="33"/>
  <c r="I126" i="33"/>
  <c r="I130" i="33"/>
  <c r="I134" i="33"/>
  <c r="I138" i="33"/>
  <c r="I142" i="33"/>
  <c r="I146" i="33"/>
  <c r="I150" i="33"/>
  <c r="I154" i="33"/>
  <c r="I158" i="33"/>
  <c r="I162" i="33"/>
  <c r="I167" i="33"/>
  <c r="I171" i="33"/>
  <c r="I175" i="33"/>
  <c r="I178" i="33"/>
  <c r="I182" i="33"/>
  <c r="I186" i="33"/>
  <c r="I190" i="33"/>
  <c r="I194" i="33"/>
  <c r="I198" i="33"/>
  <c r="I202" i="33"/>
  <c r="I206" i="33"/>
  <c r="I210" i="33"/>
  <c r="I214" i="33"/>
  <c r="I218" i="33"/>
  <c r="I222" i="33"/>
  <c r="I226" i="33"/>
  <c r="I230" i="33"/>
  <c r="I234" i="33"/>
  <c r="I238" i="33"/>
  <c r="I242" i="33"/>
  <c r="I246" i="33"/>
  <c r="I250" i="33"/>
  <c r="I254" i="33"/>
  <c r="I258" i="33"/>
  <c r="I276" i="33"/>
  <c r="I265" i="33"/>
  <c r="I269" i="33"/>
  <c r="I273" i="33"/>
  <c r="I279" i="33"/>
  <c r="I284" i="33"/>
  <c r="I288" i="33"/>
  <c r="I292" i="33"/>
  <c r="I296" i="33"/>
  <c r="I300" i="33"/>
  <c r="I304" i="33"/>
  <c r="I308" i="33"/>
  <c r="I312" i="33"/>
  <c r="I316" i="33"/>
  <c r="I320" i="33"/>
  <c r="I275" i="33"/>
  <c r="I8" i="33"/>
  <c r="I13" i="33"/>
  <c r="I19" i="33"/>
  <c r="I24" i="33"/>
  <c r="I29" i="33"/>
  <c r="I35" i="33"/>
  <c r="I40" i="33"/>
  <c r="I45" i="33"/>
  <c r="I51" i="33"/>
  <c r="I56" i="33"/>
  <c r="I61" i="33"/>
  <c r="I67" i="33"/>
  <c r="I72" i="33"/>
  <c r="I77" i="33"/>
  <c r="I83" i="33"/>
  <c r="I88" i="33"/>
  <c r="I93" i="33"/>
  <c r="I104" i="33"/>
  <c r="I109" i="33"/>
  <c r="I115" i="33"/>
  <c r="I120" i="33"/>
  <c r="I125" i="33"/>
  <c r="I131" i="33"/>
  <c r="I136" i="33"/>
  <c r="I141" i="33"/>
  <c r="I147" i="33"/>
  <c r="I152" i="33"/>
  <c r="I157" i="33"/>
  <c r="I169" i="33"/>
  <c r="I184" i="33"/>
  <c r="I200" i="33"/>
  <c r="I221" i="33"/>
  <c r="I237" i="33"/>
  <c r="I253" i="33"/>
  <c r="I268" i="33"/>
  <c r="I287" i="33"/>
  <c r="I309" i="33"/>
  <c r="I322" i="33"/>
  <c r="I7" i="33"/>
  <c r="I12" i="33"/>
  <c r="I17" i="33"/>
  <c r="I23" i="33"/>
  <c r="I28" i="33"/>
  <c r="I33" i="33"/>
  <c r="I39" i="33"/>
  <c r="I44" i="33"/>
  <c r="I49" i="33"/>
  <c r="I55" i="33"/>
  <c r="I60" i="33"/>
  <c r="I65" i="33"/>
  <c r="I71" i="33"/>
  <c r="I76" i="33"/>
  <c r="I81" i="33"/>
  <c r="I87" i="33"/>
  <c r="I92" i="33"/>
  <c r="I97" i="33"/>
  <c r="I103" i="33"/>
  <c r="I108" i="33"/>
  <c r="I113" i="33"/>
  <c r="I119" i="33"/>
  <c r="I124" i="33"/>
  <c r="I129" i="33"/>
  <c r="I135" i="33"/>
  <c r="I140" i="33"/>
  <c r="I145" i="33"/>
  <c r="I151" i="33"/>
  <c r="I156" i="33"/>
  <c r="I161" i="33"/>
  <c r="I168" i="33"/>
  <c r="I173" i="33"/>
  <c r="I177" i="33"/>
  <c r="I183" i="33"/>
  <c r="I188" i="33"/>
  <c r="I193" i="33"/>
  <c r="I199" i="33"/>
  <c r="I204" i="33"/>
  <c r="I209" i="33"/>
  <c r="I215" i="33"/>
  <c r="I220" i="33"/>
  <c r="I225" i="33"/>
  <c r="I231" i="33"/>
  <c r="I236" i="33"/>
  <c r="I241" i="33"/>
  <c r="I247" i="33"/>
  <c r="I252" i="33"/>
  <c r="I257" i="33"/>
  <c r="I262" i="33"/>
  <c r="I267" i="33"/>
  <c r="I272" i="33"/>
  <c r="I280" i="33"/>
  <c r="I286" i="33"/>
  <c r="I291" i="33"/>
  <c r="I297" i="33"/>
  <c r="I302" i="33"/>
  <c r="I307" i="33"/>
  <c r="I313" i="33"/>
  <c r="I318" i="33"/>
  <c r="I283" i="33"/>
  <c r="I99" i="33"/>
  <c r="I163" i="33"/>
  <c r="I174" i="33"/>
  <c r="I179" i="33"/>
  <c r="I189" i="33"/>
  <c r="I195" i="33"/>
  <c r="I205" i="33"/>
  <c r="I211" i="33"/>
  <c r="I216" i="33"/>
  <c r="I227" i="33"/>
  <c r="I232" i="33"/>
  <c r="I243" i="33"/>
  <c r="I248" i="33"/>
  <c r="I259" i="33"/>
  <c r="I263" i="33"/>
  <c r="I274" i="33"/>
  <c r="I281" i="33"/>
  <c r="I293" i="33"/>
  <c r="I298" i="33"/>
  <c r="I303" i="33"/>
  <c r="I314" i="33"/>
  <c r="I319" i="33"/>
  <c r="H17" i="33"/>
  <c r="H33" i="33"/>
  <c r="H49" i="33"/>
  <c r="H65" i="33"/>
  <c r="H81" i="33"/>
  <c r="H89" i="33"/>
  <c r="H137" i="33"/>
  <c r="H201" i="33"/>
  <c r="H249" i="33"/>
  <c r="H21" i="33"/>
  <c r="H41" i="33"/>
  <c r="H61" i="33"/>
  <c r="H85" i="33"/>
  <c r="H101" i="33"/>
  <c r="H117" i="33"/>
  <c r="H133" i="33"/>
  <c r="H149" i="33"/>
  <c r="H165" i="33"/>
  <c r="H181" i="33"/>
  <c r="H197" i="33"/>
  <c r="H213" i="33"/>
  <c r="H229" i="33"/>
  <c r="H245" i="33"/>
  <c r="H261" i="33"/>
  <c r="H277" i="33"/>
  <c r="H293" i="33"/>
  <c r="H309" i="33"/>
  <c r="H6" i="33"/>
  <c r="H22" i="33"/>
  <c r="H38" i="33"/>
  <c r="H54" i="33"/>
  <c r="H70" i="33"/>
  <c r="H86" i="33"/>
  <c r="H102" i="33"/>
  <c r="H118" i="33"/>
  <c r="H134" i="33"/>
  <c r="H150" i="33"/>
  <c r="H166" i="33"/>
  <c r="H182" i="33"/>
  <c r="H198" i="33"/>
  <c r="H214" i="33"/>
  <c r="H230" i="33"/>
  <c r="H246" i="33"/>
  <c r="H262" i="33"/>
  <c r="H278" i="33"/>
  <c r="H294" i="33"/>
  <c r="H310" i="33"/>
  <c r="H7" i="33"/>
  <c r="H23" i="33"/>
  <c r="H39" i="33"/>
  <c r="H55" i="33"/>
  <c r="H71" i="33"/>
  <c r="H87" i="33"/>
  <c r="H103" i="33"/>
  <c r="H119" i="33"/>
  <c r="H135" i="33"/>
  <c r="H151" i="33"/>
  <c r="H167" i="33"/>
  <c r="H183" i="33"/>
  <c r="H199" i="33"/>
  <c r="H215" i="33"/>
  <c r="H231" i="33"/>
  <c r="H247" i="33"/>
  <c r="H263" i="33"/>
  <c r="H279" i="33"/>
  <c r="K279" i="33" s="1"/>
  <c r="H295" i="33"/>
  <c r="H311" i="33"/>
  <c r="H8" i="33"/>
  <c r="H24" i="33"/>
  <c r="H40" i="33"/>
  <c r="H56" i="33"/>
  <c r="H72" i="33"/>
  <c r="H88" i="33"/>
  <c r="H104" i="33"/>
  <c r="H120" i="33"/>
  <c r="H136" i="33"/>
  <c r="H152" i="33"/>
  <c r="H168" i="33"/>
  <c r="H184" i="33"/>
  <c r="H200" i="33"/>
  <c r="H216" i="33"/>
  <c r="H232" i="33"/>
  <c r="H248" i="33"/>
  <c r="H264" i="33"/>
  <c r="H280" i="33"/>
  <c r="H296" i="33"/>
  <c r="H312" i="33"/>
  <c r="H25" i="33"/>
  <c r="H45" i="33"/>
  <c r="H69" i="33"/>
  <c r="H105" i="33"/>
  <c r="H121" i="33"/>
  <c r="H153" i="33"/>
  <c r="H169" i="33"/>
  <c r="H185" i="33"/>
  <c r="H217" i="33"/>
  <c r="H233" i="33"/>
  <c r="H292" i="33"/>
  <c r="H272" i="33"/>
  <c r="H228" i="33"/>
  <c r="H208" i="33"/>
  <c r="H164" i="33"/>
  <c r="H144" i="33"/>
  <c r="H100" i="33"/>
  <c r="H80" i="33"/>
  <c r="H60" i="33"/>
  <c r="H16" i="33"/>
  <c r="H315" i="33"/>
  <c r="H271" i="33"/>
  <c r="H251" i="33"/>
  <c r="H207" i="33"/>
  <c r="H187" i="33"/>
  <c r="H143" i="33"/>
  <c r="H123" i="33"/>
  <c r="H99" i="33"/>
  <c r="H59" i="33"/>
  <c r="H35" i="33"/>
  <c r="H314" i="33"/>
  <c r="H270" i="33"/>
  <c r="H250" i="33"/>
  <c r="H226" i="33"/>
  <c r="H186" i="33"/>
  <c r="H162" i="33"/>
  <c r="H122" i="33"/>
  <c r="H98" i="33"/>
  <c r="H58" i="33"/>
  <c r="H34" i="33"/>
  <c r="H313" i="33"/>
  <c r="H289" i="33"/>
  <c r="H241" i="33"/>
  <c r="H77" i="33"/>
  <c r="H308" i="33"/>
  <c r="H288" i="33"/>
  <c r="H268" i="33"/>
  <c r="H244" i="33"/>
  <c r="H224" i="33"/>
  <c r="H204" i="33"/>
  <c r="H180" i="33"/>
  <c r="H160" i="33"/>
  <c r="H140" i="33"/>
  <c r="H116" i="33"/>
  <c r="H96" i="33"/>
  <c r="H76" i="33"/>
  <c r="H52" i="33"/>
  <c r="H32" i="33"/>
  <c r="H12" i="33"/>
  <c r="H307" i="33"/>
  <c r="H287" i="33"/>
  <c r="K287" i="33" s="1"/>
  <c r="H267" i="33"/>
  <c r="H243" i="33"/>
  <c r="H223" i="33"/>
  <c r="H203" i="33"/>
  <c r="H179" i="33"/>
  <c r="H159" i="33"/>
  <c r="H139" i="33"/>
  <c r="H115" i="33"/>
  <c r="H95" i="33"/>
  <c r="H75" i="33"/>
  <c r="H51" i="33"/>
  <c r="H31" i="33"/>
  <c r="H11" i="33"/>
  <c r="H306" i="33"/>
  <c r="H286" i="33"/>
  <c r="H266" i="33"/>
  <c r="H242" i="33"/>
  <c r="H222" i="33"/>
  <c r="H202" i="33"/>
  <c r="H178" i="33"/>
  <c r="H158" i="33"/>
  <c r="H138" i="33"/>
  <c r="H114" i="33"/>
  <c r="H94" i="33"/>
  <c r="H74" i="33"/>
  <c r="H50" i="33"/>
  <c r="H30" i="33"/>
  <c r="H10" i="33"/>
  <c r="H305" i="33"/>
  <c r="H285" i="33"/>
  <c r="H265" i="33"/>
  <c r="H237" i="33"/>
  <c r="H205" i="33"/>
  <c r="H173" i="33"/>
  <c r="H141" i="33"/>
  <c r="H109" i="33"/>
  <c r="H73" i="33"/>
  <c r="H29" i="33"/>
  <c r="I321" i="33"/>
  <c r="I310" i="33"/>
  <c r="I299" i="33"/>
  <c r="I289" i="33"/>
  <c r="I277" i="33"/>
  <c r="I264" i="33"/>
  <c r="I255" i="33"/>
  <c r="I244" i="33"/>
  <c r="I233" i="33"/>
  <c r="I223" i="33"/>
  <c r="I212" i="33"/>
  <c r="I201" i="33"/>
  <c r="I191" i="33"/>
  <c r="I180" i="33"/>
  <c r="I170" i="33"/>
  <c r="I159" i="33"/>
  <c r="I148" i="33"/>
  <c r="I137" i="33"/>
  <c r="I127" i="33"/>
  <c r="I116" i="33"/>
  <c r="I105" i="33"/>
  <c r="I95" i="33"/>
  <c r="I84" i="33"/>
  <c r="I73" i="33"/>
  <c r="I63" i="33"/>
  <c r="I52" i="33"/>
  <c r="I41" i="33"/>
  <c r="I31" i="33"/>
  <c r="I20" i="33"/>
  <c r="I9" i="33"/>
  <c r="H316" i="33"/>
  <c r="H252" i="33"/>
  <c r="H188" i="33"/>
  <c r="H124" i="33"/>
  <c r="H36" i="33"/>
  <c r="H291" i="33"/>
  <c r="H227" i="33"/>
  <c r="H163" i="33"/>
  <c r="H79" i="33"/>
  <c r="H15" i="33"/>
  <c r="H290" i="33"/>
  <c r="H206" i="33"/>
  <c r="H142" i="33"/>
  <c r="H78" i="33"/>
  <c r="H14" i="33"/>
  <c r="H269" i="33"/>
  <c r="H209" i="33"/>
  <c r="H177" i="33"/>
  <c r="H145" i="33"/>
  <c r="H113" i="33"/>
  <c r="H37" i="33"/>
  <c r="I5" i="33"/>
  <c r="I311" i="33"/>
  <c r="I301" i="33"/>
  <c r="I290" i="33"/>
  <c r="I278" i="33"/>
  <c r="I266" i="33"/>
  <c r="I256" i="33"/>
  <c r="I245" i="33"/>
  <c r="I235" i="33"/>
  <c r="I224" i="33"/>
  <c r="I213" i="33"/>
  <c r="I203" i="33"/>
  <c r="I192" i="33"/>
  <c r="I181" i="33"/>
  <c r="I172" i="33"/>
  <c r="I160" i="33"/>
  <c r="I149" i="33"/>
  <c r="I139" i="33"/>
  <c r="I128" i="33"/>
  <c r="I117" i="33"/>
  <c r="I107" i="33"/>
  <c r="I96" i="33"/>
  <c r="I85" i="33"/>
  <c r="I75" i="33"/>
  <c r="I64" i="33"/>
  <c r="I53" i="33"/>
  <c r="I43" i="33"/>
  <c r="I32" i="33"/>
  <c r="I21" i="33"/>
  <c r="I11" i="33"/>
  <c r="K186" i="33" l="1"/>
  <c r="K271" i="33"/>
  <c r="K37" i="33"/>
  <c r="L37" i="33" s="1"/>
  <c r="M37" i="33" s="1"/>
  <c r="M38" i="49" s="1"/>
  <c r="K142" i="33"/>
  <c r="L142" i="33" s="1"/>
  <c r="M142" i="33" s="1"/>
  <c r="M143" i="49" s="1"/>
  <c r="K170" i="33"/>
  <c r="L170" i="33" s="1"/>
  <c r="M170" i="33" s="1"/>
  <c r="M171" i="49" s="1"/>
  <c r="K205" i="33"/>
  <c r="L205" i="33" s="1"/>
  <c r="M205" i="33" s="1"/>
  <c r="M206" i="49" s="1"/>
  <c r="K305" i="33"/>
  <c r="L305" i="33" s="1"/>
  <c r="M305" i="33" s="1"/>
  <c r="M306" i="49" s="1"/>
  <c r="K307" i="33"/>
  <c r="L307" i="33" s="1"/>
  <c r="M307" i="33" s="1"/>
  <c r="M308" i="49" s="1"/>
  <c r="K16" i="33"/>
  <c r="K144" i="33"/>
  <c r="L144" i="33" s="1"/>
  <c r="M144" i="33" s="1"/>
  <c r="M145" i="49" s="1"/>
  <c r="K30" i="33"/>
  <c r="L30" i="33" s="1"/>
  <c r="M30" i="33" s="1"/>
  <c r="M31" i="49" s="1"/>
  <c r="K248" i="33"/>
  <c r="L248" i="33" s="1"/>
  <c r="M248" i="33" s="1"/>
  <c r="M249" i="49" s="1"/>
  <c r="K76" i="33"/>
  <c r="L76" i="33" s="1"/>
  <c r="M76" i="33" s="1"/>
  <c r="M77" i="49" s="1"/>
  <c r="K29" i="33"/>
  <c r="L29" i="33" s="1"/>
  <c r="M29" i="33" s="1"/>
  <c r="M30" i="49" s="1"/>
  <c r="K243" i="33"/>
  <c r="L243" i="33" s="1"/>
  <c r="M243" i="33" s="1"/>
  <c r="M244" i="49" s="1"/>
  <c r="K313" i="33"/>
  <c r="L313" i="33" s="1"/>
  <c r="M313" i="33" s="1"/>
  <c r="M314" i="49" s="1"/>
  <c r="K58" i="33"/>
  <c r="K296" i="33"/>
  <c r="L296" i="33" s="1"/>
  <c r="M296" i="33" s="1"/>
  <c r="M297" i="49" s="1"/>
  <c r="K104" i="33"/>
  <c r="L104" i="33" s="1"/>
  <c r="M104" i="33" s="1"/>
  <c r="M105" i="49" s="1"/>
  <c r="K294" i="33"/>
  <c r="L294" i="33" s="1"/>
  <c r="M294" i="33" s="1"/>
  <c r="M295" i="49" s="1"/>
  <c r="K166" i="33"/>
  <c r="L166" i="33" s="1"/>
  <c r="M166" i="33" s="1"/>
  <c r="M167" i="49" s="1"/>
  <c r="K165" i="33"/>
  <c r="L165" i="33" s="1"/>
  <c r="M165" i="33" s="1"/>
  <c r="M166" i="49" s="1"/>
  <c r="K101" i="33"/>
  <c r="L101" i="33" s="1"/>
  <c r="M101" i="33" s="1"/>
  <c r="M102" i="49" s="1"/>
  <c r="K240" i="33"/>
  <c r="L240" i="33" s="1"/>
  <c r="M240" i="33" s="1"/>
  <c r="M241" i="49" s="1"/>
  <c r="K242" i="33"/>
  <c r="K55" i="33"/>
  <c r="L55" i="33" s="1"/>
  <c r="M55" i="33" s="1"/>
  <c r="M56" i="49" s="1"/>
  <c r="K219" i="33"/>
  <c r="L219" i="33" s="1"/>
  <c r="M219" i="33" s="1"/>
  <c r="M220" i="49" s="1"/>
  <c r="K95" i="33"/>
  <c r="L95" i="33" s="1"/>
  <c r="M95" i="33" s="1"/>
  <c r="M96" i="49" s="1"/>
  <c r="K223" i="33"/>
  <c r="L223" i="33" s="1"/>
  <c r="M223" i="33" s="1"/>
  <c r="M224" i="49" s="1"/>
  <c r="K163" i="33"/>
  <c r="L163" i="33" s="1"/>
  <c r="M163" i="33" s="1"/>
  <c r="M164" i="49" s="1"/>
  <c r="K14" i="33"/>
  <c r="L14" i="33" s="1"/>
  <c r="M14" i="33" s="1"/>
  <c r="M15" i="49" s="1"/>
  <c r="K227" i="33"/>
  <c r="L227" i="33" s="1"/>
  <c r="M227" i="33" s="1"/>
  <c r="M228" i="49" s="1"/>
  <c r="K20" i="33"/>
  <c r="L20" i="33" s="1"/>
  <c r="M20" i="33" s="1"/>
  <c r="M21" i="49" s="1"/>
  <c r="K34" i="33"/>
  <c r="L34" i="33" s="1"/>
  <c r="M34" i="33" s="1"/>
  <c r="M35" i="49" s="1"/>
  <c r="K162" i="33"/>
  <c r="L162" i="33" s="1"/>
  <c r="M162" i="33" s="1"/>
  <c r="M163" i="49" s="1"/>
  <c r="K183" i="33"/>
  <c r="L183" i="33" s="1"/>
  <c r="M183" i="33" s="1"/>
  <c r="M184" i="49" s="1"/>
  <c r="K137" i="33"/>
  <c r="L137" i="33" s="1"/>
  <c r="M137" i="33" s="1"/>
  <c r="M138" i="49" s="1"/>
  <c r="K262" i="33"/>
  <c r="L262" i="33" s="1"/>
  <c r="M262" i="33" s="1"/>
  <c r="M263" i="49" s="1"/>
  <c r="K199" i="33"/>
  <c r="L199" i="33" s="1"/>
  <c r="M199" i="33" s="1"/>
  <c r="M200" i="49" s="1"/>
  <c r="K200" i="33"/>
  <c r="L200" i="33" s="1"/>
  <c r="M200" i="33" s="1"/>
  <c r="M201" i="49" s="1"/>
  <c r="K109" i="33"/>
  <c r="L109" i="33" s="1"/>
  <c r="M109" i="33" s="1"/>
  <c r="M110" i="49" s="1"/>
  <c r="K61" i="33"/>
  <c r="L61" i="33" s="1"/>
  <c r="M61" i="33" s="1"/>
  <c r="M62" i="49" s="1"/>
  <c r="K94" i="33"/>
  <c r="L94" i="33" s="1"/>
  <c r="M94" i="33" s="1"/>
  <c r="M95" i="49" s="1"/>
  <c r="K100" i="33"/>
  <c r="L100" i="33" s="1"/>
  <c r="M100" i="33" s="1"/>
  <c r="M101" i="49" s="1"/>
  <c r="K259" i="33"/>
  <c r="L259" i="33" s="1"/>
  <c r="M259" i="33" s="1"/>
  <c r="M260" i="49" s="1"/>
  <c r="K157" i="33"/>
  <c r="L157" i="33" s="1"/>
  <c r="M157" i="33" s="1"/>
  <c r="M158" i="49" s="1"/>
  <c r="K209" i="33"/>
  <c r="L209" i="33" s="1"/>
  <c r="M209" i="33" s="1"/>
  <c r="M210" i="49" s="1"/>
  <c r="K79" i="33"/>
  <c r="L79" i="33" s="1"/>
  <c r="M79" i="33" s="1"/>
  <c r="M80" i="49" s="1"/>
  <c r="K316" i="33"/>
  <c r="L316" i="33" s="1"/>
  <c r="M316" i="33" s="1"/>
  <c r="M317" i="49" s="1"/>
  <c r="K73" i="33"/>
  <c r="L73" i="33" s="1"/>
  <c r="M73" i="33" s="1"/>
  <c r="M74" i="49" s="1"/>
  <c r="K179" i="33"/>
  <c r="L179" i="33" s="1"/>
  <c r="M179" i="33" s="1"/>
  <c r="M180" i="49" s="1"/>
  <c r="K116" i="33"/>
  <c r="L116" i="33" s="1"/>
  <c r="M116" i="33" s="1"/>
  <c r="M117" i="49" s="1"/>
  <c r="K289" i="33"/>
  <c r="L289" i="33" s="1"/>
  <c r="M289" i="33" s="1"/>
  <c r="M290" i="49" s="1"/>
  <c r="K215" i="33"/>
  <c r="L215" i="33" s="1"/>
  <c r="M215" i="33" s="1"/>
  <c r="M216" i="49" s="1"/>
  <c r="K124" i="33"/>
  <c r="L124" i="33" s="1"/>
  <c r="M124" i="33" s="1"/>
  <c r="M125" i="49" s="1"/>
  <c r="K10" i="33"/>
  <c r="L10" i="33" s="1"/>
  <c r="M10" i="33" s="1"/>
  <c r="M11" i="49" s="1"/>
  <c r="K178" i="33"/>
  <c r="L178" i="33" s="1"/>
  <c r="M178" i="33" s="1"/>
  <c r="M179" i="49" s="1"/>
  <c r="K31" i="33"/>
  <c r="L31" i="33" s="1"/>
  <c r="M31" i="33" s="1"/>
  <c r="M32" i="49" s="1"/>
  <c r="K308" i="33"/>
  <c r="L308" i="33" s="1"/>
  <c r="M308" i="33" s="1"/>
  <c r="M309" i="49" s="1"/>
  <c r="K122" i="33"/>
  <c r="L122" i="33" s="1"/>
  <c r="M122" i="33" s="1"/>
  <c r="M123" i="49" s="1"/>
  <c r="K250" i="33"/>
  <c r="L250" i="33" s="1"/>
  <c r="M250" i="33" s="1"/>
  <c r="M251" i="49" s="1"/>
  <c r="K121" i="33"/>
  <c r="L121" i="33" s="1"/>
  <c r="M121" i="33" s="1"/>
  <c r="M122" i="49" s="1"/>
  <c r="K136" i="33"/>
  <c r="L136" i="33" s="1"/>
  <c r="M136" i="33" s="1"/>
  <c r="M137" i="49" s="1"/>
  <c r="K8" i="33"/>
  <c r="L8" i="33" s="1"/>
  <c r="M8" i="33" s="1"/>
  <c r="M9" i="49" s="1"/>
  <c r="K134" i="33"/>
  <c r="L134" i="33" s="1"/>
  <c r="M134" i="33" s="1"/>
  <c r="M135" i="49" s="1"/>
  <c r="K70" i="33"/>
  <c r="L70" i="33" s="1"/>
  <c r="M70" i="33" s="1"/>
  <c r="M71" i="49" s="1"/>
  <c r="K6" i="33"/>
  <c r="L6" i="33" s="1"/>
  <c r="M6" i="33" s="1"/>
  <c r="M7" i="49" s="1"/>
  <c r="K261" i="33"/>
  <c r="L261" i="33" s="1"/>
  <c r="M261" i="33" s="1"/>
  <c r="M262" i="49" s="1"/>
  <c r="K133" i="33"/>
  <c r="L133" i="33" s="1"/>
  <c r="M133" i="33" s="1"/>
  <c r="M134" i="49" s="1"/>
  <c r="K201" i="33"/>
  <c r="L201" i="33" s="1"/>
  <c r="M201" i="33" s="1"/>
  <c r="M202" i="49" s="1"/>
  <c r="K65" i="33"/>
  <c r="L65" i="33" s="1"/>
  <c r="M65" i="33" s="1"/>
  <c r="M66" i="49" s="1"/>
  <c r="K33" i="33"/>
  <c r="L33" i="33" s="1"/>
  <c r="M33" i="33" s="1"/>
  <c r="M34" i="49" s="1"/>
  <c r="K171" i="33"/>
  <c r="L171" i="33" s="1"/>
  <c r="M171" i="33" s="1"/>
  <c r="M172" i="49" s="1"/>
  <c r="K192" i="33"/>
  <c r="L192" i="33" s="1"/>
  <c r="M192" i="33" s="1"/>
  <c r="M193" i="49" s="1"/>
  <c r="K112" i="33"/>
  <c r="L112" i="33" s="1"/>
  <c r="M112" i="33" s="1"/>
  <c r="M113" i="49" s="1"/>
  <c r="K13" i="33"/>
  <c r="L13" i="33" s="1"/>
  <c r="M13" i="33" s="1"/>
  <c r="M14" i="49" s="1"/>
  <c r="K302" i="33"/>
  <c r="L302" i="33" s="1"/>
  <c r="M302" i="33" s="1"/>
  <c r="M303" i="49" s="1"/>
  <c r="K176" i="33"/>
  <c r="L176" i="33" s="1"/>
  <c r="M176" i="33" s="1"/>
  <c r="M177" i="49" s="1"/>
  <c r="K234" i="33"/>
  <c r="L234" i="33" s="1"/>
  <c r="M234" i="33" s="1"/>
  <c r="M235" i="49" s="1"/>
  <c r="K36" i="33"/>
  <c r="L36" i="33" s="1"/>
  <c r="M36" i="33" s="1"/>
  <c r="M37" i="49" s="1"/>
  <c r="K74" i="33"/>
  <c r="L74" i="33" s="1"/>
  <c r="M74" i="33" s="1"/>
  <c r="M75" i="49" s="1"/>
  <c r="K267" i="33"/>
  <c r="L267" i="33" s="1"/>
  <c r="M267" i="33" s="1"/>
  <c r="M268" i="49" s="1"/>
  <c r="K35" i="33"/>
  <c r="L35" i="33" s="1"/>
  <c r="M35" i="33" s="1"/>
  <c r="M36" i="49" s="1"/>
  <c r="K143" i="33"/>
  <c r="L143" i="33" s="1"/>
  <c r="M143" i="33" s="1"/>
  <c r="M144" i="49" s="1"/>
  <c r="K280" i="33"/>
  <c r="L280" i="33" s="1"/>
  <c r="M280" i="33" s="1"/>
  <c r="M281" i="49" s="1"/>
  <c r="K151" i="33"/>
  <c r="L151" i="33" s="1"/>
  <c r="M151" i="33" s="1"/>
  <c r="M152" i="49" s="1"/>
  <c r="K145" i="33"/>
  <c r="L145" i="33" s="1"/>
  <c r="M145" i="33" s="1"/>
  <c r="M146" i="49" s="1"/>
  <c r="K290" i="33"/>
  <c r="L290" i="33" s="1"/>
  <c r="M290" i="33" s="1"/>
  <c r="M291" i="49" s="1"/>
  <c r="K188" i="33"/>
  <c r="L188" i="33" s="1"/>
  <c r="M188" i="33" s="1"/>
  <c r="M189" i="49" s="1"/>
  <c r="K141" i="33"/>
  <c r="L141" i="33" s="1"/>
  <c r="M141" i="33" s="1"/>
  <c r="M142" i="49" s="1"/>
  <c r="K265" i="33"/>
  <c r="L265" i="33" s="1"/>
  <c r="M265" i="33" s="1"/>
  <c r="M266" i="49" s="1"/>
  <c r="K114" i="33"/>
  <c r="L114" i="33" s="1"/>
  <c r="M114" i="33" s="1"/>
  <c r="M115" i="49" s="1"/>
  <c r="K202" i="33"/>
  <c r="L202" i="33" s="1"/>
  <c r="M202" i="33" s="1"/>
  <c r="M203" i="49" s="1"/>
  <c r="K286" i="33"/>
  <c r="L286" i="33" s="1"/>
  <c r="M286" i="33" s="1"/>
  <c r="M287" i="49" s="1"/>
  <c r="K51" i="33"/>
  <c r="L51" i="33" s="1"/>
  <c r="M51" i="33" s="1"/>
  <c r="M52" i="49" s="1"/>
  <c r="K160" i="33"/>
  <c r="L160" i="33" s="1"/>
  <c r="M160" i="33" s="1"/>
  <c r="M161" i="49" s="1"/>
  <c r="K244" i="33"/>
  <c r="L244" i="33" s="1"/>
  <c r="M244" i="33" s="1"/>
  <c r="M245" i="49" s="1"/>
  <c r="K77" i="33"/>
  <c r="L77" i="33" s="1"/>
  <c r="M77" i="33" s="1"/>
  <c r="M78" i="49" s="1"/>
  <c r="K270" i="33"/>
  <c r="L270" i="33" s="1"/>
  <c r="M270" i="33" s="1"/>
  <c r="M271" i="49" s="1"/>
  <c r="K99" i="33"/>
  <c r="L99" i="33" s="1"/>
  <c r="M99" i="33" s="1"/>
  <c r="M100" i="49" s="1"/>
  <c r="K207" i="33"/>
  <c r="L207" i="33" s="1"/>
  <c r="M207" i="33" s="1"/>
  <c r="M208" i="49" s="1"/>
  <c r="K272" i="33"/>
  <c r="L272" i="33" s="1"/>
  <c r="M272" i="33" s="1"/>
  <c r="M273" i="49" s="1"/>
  <c r="K185" i="33"/>
  <c r="K312" i="33"/>
  <c r="L312" i="33" s="1"/>
  <c r="M312" i="33" s="1"/>
  <c r="M313" i="49" s="1"/>
  <c r="K184" i="33"/>
  <c r="L184" i="33" s="1"/>
  <c r="M184" i="33" s="1"/>
  <c r="M185" i="49" s="1"/>
  <c r="K120" i="33"/>
  <c r="L120" i="33" s="1"/>
  <c r="M120" i="33" s="1"/>
  <c r="M121" i="49" s="1"/>
  <c r="K56" i="33"/>
  <c r="L56" i="33" s="1"/>
  <c r="M56" i="33" s="1"/>
  <c r="M57" i="49" s="1"/>
  <c r="K247" i="33"/>
  <c r="L247" i="33" s="1"/>
  <c r="M247" i="33" s="1"/>
  <c r="M248" i="49" s="1"/>
  <c r="K119" i="33"/>
  <c r="L119" i="33" s="1"/>
  <c r="M119" i="33" s="1"/>
  <c r="M120" i="49" s="1"/>
  <c r="K310" i="33"/>
  <c r="L310" i="33" s="1"/>
  <c r="M310" i="33" s="1"/>
  <c r="M311" i="49" s="1"/>
  <c r="K246" i="33"/>
  <c r="L246" i="33" s="1"/>
  <c r="M246" i="33" s="1"/>
  <c r="M247" i="49" s="1"/>
  <c r="K182" i="33"/>
  <c r="L182" i="33" s="1"/>
  <c r="M182" i="33" s="1"/>
  <c r="M183" i="49" s="1"/>
  <c r="K118" i="33"/>
  <c r="L118" i="33" s="1"/>
  <c r="M118" i="33" s="1"/>
  <c r="M119" i="49" s="1"/>
  <c r="K54" i="33"/>
  <c r="L54" i="33" s="1"/>
  <c r="M54" i="33" s="1"/>
  <c r="M55" i="49" s="1"/>
  <c r="K309" i="33"/>
  <c r="L309" i="33" s="1"/>
  <c r="M309" i="33" s="1"/>
  <c r="M310" i="49" s="1"/>
  <c r="K245" i="33"/>
  <c r="L245" i="33" s="1"/>
  <c r="M245" i="33" s="1"/>
  <c r="M246" i="49" s="1"/>
  <c r="K117" i="33"/>
  <c r="L117" i="33" s="1"/>
  <c r="M117" i="33" s="1"/>
  <c r="M118" i="49" s="1"/>
  <c r="K41" i="33"/>
  <c r="L41" i="33" s="1"/>
  <c r="M41" i="33" s="1"/>
  <c r="M42" i="49" s="1"/>
  <c r="K49" i="33"/>
  <c r="L49" i="33" s="1"/>
  <c r="M49" i="33" s="1"/>
  <c r="M50" i="49" s="1"/>
  <c r="K189" i="33"/>
  <c r="L189" i="33" s="1"/>
  <c r="M189" i="33" s="1"/>
  <c r="M190" i="49" s="1"/>
  <c r="K177" i="33"/>
  <c r="L177" i="33" s="1"/>
  <c r="M177" i="33" s="1"/>
  <c r="M178" i="49" s="1"/>
  <c r="K135" i="33"/>
  <c r="L135" i="33" s="1"/>
  <c r="M135" i="33" s="1"/>
  <c r="M136" i="49" s="1"/>
  <c r="K113" i="33"/>
  <c r="L113" i="33" s="1"/>
  <c r="M113" i="33" s="1"/>
  <c r="M114" i="49" s="1"/>
  <c r="K28" i="33"/>
  <c r="L28" i="33" s="1"/>
  <c r="M28" i="33" s="1"/>
  <c r="M29" i="49" s="1"/>
  <c r="K268" i="33"/>
  <c r="L268" i="33" s="1"/>
  <c r="M268" i="33" s="1"/>
  <c r="M269" i="49" s="1"/>
  <c r="K83" i="33"/>
  <c r="L83" i="33" s="1"/>
  <c r="M83" i="33" s="1"/>
  <c r="M84" i="49" s="1"/>
  <c r="K40" i="33"/>
  <c r="L40" i="33" s="1"/>
  <c r="M40" i="33" s="1"/>
  <c r="M41" i="49" s="1"/>
  <c r="K222" i="33"/>
  <c r="L222" i="33" s="1"/>
  <c r="M222" i="33" s="1"/>
  <c r="M223" i="49" s="1"/>
  <c r="K175" i="33"/>
  <c r="L175" i="33" s="1"/>
  <c r="M175" i="33" s="1"/>
  <c r="M176" i="49" s="1"/>
  <c r="K126" i="33"/>
  <c r="L126" i="33" s="1"/>
  <c r="M126" i="33" s="1"/>
  <c r="M127" i="49" s="1"/>
  <c r="K62" i="33"/>
  <c r="L62" i="33" s="1"/>
  <c r="M62" i="33" s="1"/>
  <c r="M63" i="49" s="1"/>
  <c r="K301" i="33"/>
  <c r="L301" i="33" s="1"/>
  <c r="M301" i="33" s="1"/>
  <c r="M302" i="49" s="1"/>
  <c r="K154" i="33"/>
  <c r="L154" i="33" s="1"/>
  <c r="M154" i="33" s="1"/>
  <c r="M155" i="49" s="1"/>
  <c r="K322" i="33"/>
  <c r="L322" i="33" s="1"/>
  <c r="M322" i="33" s="1"/>
  <c r="M323" i="49" s="1"/>
  <c r="K15" i="33"/>
  <c r="L15" i="33" s="1"/>
  <c r="M15" i="33" s="1"/>
  <c r="M16" i="49" s="1"/>
  <c r="K125" i="33"/>
  <c r="L125" i="33" s="1"/>
  <c r="M125" i="33" s="1"/>
  <c r="M126" i="49" s="1"/>
  <c r="K18" i="33"/>
  <c r="L18" i="33" s="1"/>
  <c r="M18" i="33" s="1"/>
  <c r="M19" i="49" s="1"/>
  <c r="K43" i="33"/>
  <c r="L43" i="33" s="1"/>
  <c r="M43" i="33" s="1"/>
  <c r="M44" i="49" s="1"/>
  <c r="K211" i="33"/>
  <c r="L211" i="33" s="1"/>
  <c r="M211" i="33" s="1"/>
  <c r="M212" i="49" s="1"/>
  <c r="K64" i="33"/>
  <c r="L64" i="33" s="1"/>
  <c r="M64" i="33" s="1"/>
  <c r="M65" i="49" s="1"/>
  <c r="K236" i="33"/>
  <c r="L236" i="33" s="1"/>
  <c r="M236" i="33" s="1"/>
  <c r="M237" i="49" s="1"/>
  <c r="K196" i="33"/>
  <c r="L196" i="33" s="1"/>
  <c r="M196" i="33" s="1"/>
  <c r="M197" i="49" s="1"/>
  <c r="K210" i="33"/>
  <c r="L210" i="33" s="1"/>
  <c r="M210" i="33" s="1"/>
  <c r="M211" i="49" s="1"/>
  <c r="K235" i="33"/>
  <c r="L235" i="33" s="1"/>
  <c r="M235" i="33" s="1"/>
  <c r="M236" i="49" s="1"/>
  <c r="K256" i="33"/>
  <c r="L256" i="33" s="1"/>
  <c r="M256" i="33" s="1"/>
  <c r="M257" i="49" s="1"/>
  <c r="K155" i="33"/>
  <c r="L155" i="33" s="1"/>
  <c r="M155" i="33" s="1"/>
  <c r="M156" i="49" s="1"/>
  <c r="K306" i="33"/>
  <c r="L306" i="33" s="1"/>
  <c r="M306" i="33" s="1"/>
  <c r="M307" i="49" s="1"/>
  <c r="K91" i="33"/>
  <c r="L91" i="33" s="1"/>
  <c r="M91" i="33" s="1"/>
  <c r="M92" i="49" s="1"/>
  <c r="K48" i="33"/>
  <c r="L48" i="33" s="1"/>
  <c r="M48" i="33" s="1"/>
  <c r="M49" i="49" s="1"/>
  <c r="K217" i="33"/>
  <c r="L217" i="33" s="1"/>
  <c r="M217" i="33" s="1"/>
  <c r="M218" i="49" s="1"/>
  <c r="K107" i="33"/>
  <c r="L107" i="33" s="1"/>
  <c r="M107" i="33" s="1"/>
  <c r="M108" i="49" s="1"/>
  <c r="K225" i="33"/>
  <c r="L225" i="33" s="1"/>
  <c r="M225" i="33" s="1"/>
  <c r="M226" i="49" s="1"/>
  <c r="K89" i="33"/>
  <c r="L89" i="33" s="1"/>
  <c r="M89" i="33" s="1"/>
  <c r="M90" i="49" s="1"/>
  <c r="K12" i="33"/>
  <c r="L12" i="33" s="1"/>
  <c r="M12" i="33" s="1"/>
  <c r="M13" i="49" s="1"/>
  <c r="K264" i="33"/>
  <c r="L264" i="33" s="1"/>
  <c r="M264" i="33" s="1"/>
  <c r="M265" i="49" s="1"/>
  <c r="K303" i="33"/>
  <c r="L303" i="33" s="1"/>
  <c r="M303" i="33" s="1"/>
  <c r="M304" i="49" s="1"/>
  <c r="K194" i="33"/>
  <c r="L194" i="33" s="1"/>
  <c r="M194" i="33" s="1"/>
  <c r="M195" i="49" s="1"/>
  <c r="K258" i="33"/>
  <c r="L258" i="33" s="1"/>
  <c r="M258" i="33" s="1"/>
  <c r="M259" i="49" s="1"/>
  <c r="K284" i="33"/>
  <c r="L284" i="33" s="1"/>
  <c r="M284" i="33" s="1"/>
  <c r="M285" i="49" s="1"/>
  <c r="K260" i="33"/>
  <c r="L260" i="33" s="1"/>
  <c r="M260" i="33" s="1"/>
  <c r="M261" i="49" s="1"/>
  <c r="K251" i="33"/>
  <c r="L251" i="33" s="1"/>
  <c r="M251" i="33" s="1"/>
  <c r="M252" i="49" s="1"/>
  <c r="K311" i="33"/>
  <c r="L311" i="33" s="1"/>
  <c r="M311" i="33" s="1"/>
  <c r="M312" i="49" s="1"/>
  <c r="K181" i="33"/>
  <c r="L181" i="33" s="1"/>
  <c r="M181" i="33" s="1"/>
  <c r="M182" i="49" s="1"/>
  <c r="K158" i="33"/>
  <c r="L158" i="33" s="1"/>
  <c r="M158" i="33" s="1"/>
  <c r="M159" i="49" s="1"/>
  <c r="K11" i="33"/>
  <c r="L11" i="33" s="1"/>
  <c r="M11" i="33" s="1"/>
  <c r="M12" i="49" s="1"/>
  <c r="K32" i="33"/>
  <c r="L32" i="33" s="1"/>
  <c r="M32" i="33" s="1"/>
  <c r="M33" i="49" s="1"/>
  <c r="K269" i="33"/>
  <c r="L269" i="33" s="1"/>
  <c r="M269" i="33" s="1"/>
  <c r="M270" i="49" s="1"/>
  <c r="K206" i="33"/>
  <c r="L206" i="33" s="1"/>
  <c r="M206" i="33" s="1"/>
  <c r="M207" i="49" s="1"/>
  <c r="K266" i="33"/>
  <c r="L266" i="33" s="1"/>
  <c r="M266" i="33" s="1"/>
  <c r="M267" i="49" s="1"/>
  <c r="K203" i="33"/>
  <c r="L203" i="33" s="1"/>
  <c r="M203" i="33" s="1"/>
  <c r="M204" i="49" s="1"/>
  <c r="K52" i="33"/>
  <c r="L52" i="33" s="1"/>
  <c r="M52" i="33" s="1"/>
  <c r="M53" i="49" s="1"/>
  <c r="K140" i="33"/>
  <c r="L140" i="33" s="1"/>
  <c r="M140" i="33" s="1"/>
  <c r="M141" i="49" s="1"/>
  <c r="K224" i="33"/>
  <c r="L224" i="33" s="1"/>
  <c r="M224" i="33" s="1"/>
  <c r="M225" i="49" s="1"/>
  <c r="K59" i="33"/>
  <c r="L59" i="33" s="1"/>
  <c r="M59" i="33" s="1"/>
  <c r="M60" i="49" s="1"/>
  <c r="K25" i="33"/>
  <c r="L25" i="33" s="1"/>
  <c r="M25" i="33" s="1"/>
  <c r="M26" i="49" s="1"/>
  <c r="K72" i="33"/>
  <c r="L72" i="33" s="1"/>
  <c r="M72" i="33" s="1"/>
  <c r="M73" i="49" s="1"/>
  <c r="K71" i="33"/>
  <c r="L71" i="33" s="1"/>
  <c r="M71" i="33" s="1"/>
  <c r="M72" i="49" s="1"/>
  <c r="K7" i="33"/>
  <c r="L7" i="33" s="1"/>
  <c r="M7" i="33" s="1"/>
  <c r="M8" i="49" s="1"/>
  <c r="K197" i="33"/>
  <c r="L197" i="33" s="1"/>
  <c r="M197" i="33" s="1"/>
  <c r="M198" i="49" s="1"/>
  <c r="K257" i="33"/>
  <c r="L257" i="33" s="1"/>
  <c r="M257" i="33" s="1"/>
  <c r="M258" i="49" s="1"/>
  <c r="K110" i="33"/>
  <c r="L110" i="33" s="1"/>
  <c r="M110" i="33" s="1"/>
  <c r="M111" i="49" s="1"/>
  <c r="K53" i="33"/>
  <c r="L53" i="33" s="1"/>
  <c r="M53" i="33" s="1"/>
  <c r="M54" i="49" s="1"/>
  <c r="K297" i="33"/>
  <c r="L297" i="33" s="1"/>
  <c r="M297" i="33" s="1"/>
  <c r="M298" i="49" s="1"/>
  <c r="K146" i="33"/>
  <c r="L146" i="33" s="1"/>
  <c r="M146" i="33" s="1"/>
  <c r="M147" i="49" s="1"/>
  <c r="K9" i="33"/>
  <c r="L9" i="33" s="1"/>
  <c r="M9" i="33" s="1"/>
  <c r="M10" i="49" s="1"/>
  <c r="K147" i="33"/>
  <c r="L147" i="33" s="1"/>
  <c r="M147" i="33" s="1"/>
  <c r="M148" i="49" s="1"/>
  <c r="K161" i="33"/>
  <c r="L161" i="33" s="1"/>
  <c r="M161" i="33" s="1"/>
  <c r="M162" i="49" s="1"/>
  <c r="K132" i="33"/>
  <c r="L132" i="33" s="1"/>
  <c r="M132" i="33" s="1"/>
  <c r="M133" i="49" s="1"/>
  <c r="K97" i="33"/>
  <c r="L97" i="33" s="1"/>
  <c r="M97" i="33" s="1"/>
  <c r="M98" i="49" s="1"/>
  <c r="K195" i="33"/>
  <c r="L195" i="33" s="1"/>
  <c r="M195" i="33" s="1"/>
  <c r="M196" i="49" s="1"/>
  <c r="K254" i="33"/>
  <c r="L254" i="33" s="1"/>
  <c r="M254" i="33" s="1"/>
  <c r="M255" i="49" s="1"/>
  <c r="K304" i="33"/>
  <c r="L304" i="33" s="1"/>
  <c r="M304" i="33" s="1"/>
  <c r="M305" i="49" s="1"/>
  <c r="K139" i="33"/>
  <c r="L139" i="33" s="1"/>
  <c r="M139" i="33" s="1"/>
  <c r="M140" i="49" s="1"/>
  <c r="K105" i="33"/>
  <c r="L105" i="33" s="1"/>
  <c r="M105" i="33" s="1"/>
  <c r="M106" i="49" s="1"/>
  <c r="K190" i="33"/>
  <c r="L190" i="33" s="1"/>
  <c r="M190" i="33" s="1"/>
  <c r="M191" i="49" s="1"/>
  <c r="K46" i="33"/>
  <c r="L46" i="33" s="1"/>
  <c r="M46" i="33" s="1"/>
  <c r="M47" i="49" s="1"/>
  <c r="K281" i="33"/>
  <c r="L281" i="33" s="1"/>
  <c r="M281" i="33" s="1"/>
  <c r="M282" i="49" s="1"/>
  <c r="K321" i="33"/>
  <c r="K191" i="33"/>
  <c r="K19" i="33"/>
  <c r="L19" i="33" s="1"/>
  <c r="M19" i="33" s="1"/>
  <c r="M20" i="49" s="1"/>
  <c r="K180" i="33"/>
  <c r="L180" i="33" s="1"/>
  <c r="M180" i="33" s="1"/>
  <c r="M181" i="49" s="1"/>
  <c r="K273" i="33"/>
  <c r="L273" i="33" s="1"/>
  <c r="M273" i="33" s="1"/>
  <c r="M274" i="49" s="1"/>
  <c r="K275" i="33"/>
  <c r="L275" i="33" s="1"/>
  <c r="M275" i="33" s="1"/>
  <c r="M276" i="49" s="1"/>
  <c r="K78" i="33"/>
  <c r="L78" i="33" s="1"/>
  <c r="M78" i="33" s="1"/>
  <c r="M79" i="49" s="1"/>
  <c r="K173" i="33"/>
  <c r="L173" i="33" s="1"/>
  <c r="M173" i="33" s="1"/>
  <c r="M174" i="49" s="1"/>
  <c r="K285" i="33"/>
  <c r="L285" i="33" s="1"/>
  <c r="M285" i="33" s="1"/>
  <c r="M286" i="49" s="1"/>
  <c r="K50" i="33"/>
  <c r="L50" i="33" s="1"/>
  <c r="M50" i="33" s="1"/>
  <c r="M51" i="49" s="1"/>
  <c r="K138" i="33"/>
  <c r="L138" i="33" s="1"/>
  <c r="M138" i="33" s="1"/>
  <c r="M139" i="49" s="1"/>
  <c r="K75" i="33"/>
  <c r="L75" i="33" s="1"/>
  <c r="M75" i="33" s="1"/>
  <c r="M76" i="49" s="1"/>
  <c r="K159" i="33"/>
  <c r="L159" i="33" s="1"/>
  <c r="M159" i="33" s="1"/>
  <c r="M160" i="49" s="1"/>
  <c r="K96" i="33"/>
  <c r="L96" i="33" s="1"/>
  <c r="M96" i="33" s="1"/>
  <c r="M97" i="49" s="1"/>
  <c r="K241" i="33"/>
  <c r="L241" i="33" s="1"/>
  <c r="M241" i="33" s="1"/>
  <c r="M242" i="49" s="1"/>
  <c r="K314" i="33"/>
  <c r="L314" i="33" s="1"/>
  <c r="M314" i="33" s="1"/>
  <c r="M315" i="49" s="1"/>
  <c r="K123" i="33"/>
  <c r="L123" i="33" s="1"/>
  <c r="M123" i="33" s="1"/>
  <c r="M124" i="49" s="1"/>
  <c r="K164" i="33"/>
  <c r="L164" i="33" s="1"/>
  <c r="M164" i="33" s="1"/>
  <c r="M165" i="49" s="1"/>
  <c r="K292" i="33"/>
  <c r="L292" i="33" s="1"/>
  <c r="M292" i="33" s="1"/>
  <c r="M293" i="49" s="1"/>
  <c r="K232" i="33"/>
  <c r="L232" i="33" s="1"/>
  <c r="M232" i="33" s="1"/>
  <c r="M233" i="49" s="1"/>
  <c r="K295" i="33"/>
  <c r="L295" i="33" s="1"/>
  <c r="M295" i="33" s="1"/>
  <c r="M296" i="49" s="1"/>
  <c r="K231" i="33"/>
  <c r="L231" i="33" s="1"/>
  <c r="M231" i="33" s="1"/>
  <c r="M232" i="49" s="1"/>
  <c r="K39" i="33"/>
  <c r="L39" i="33" s="1"/>
  <c r="M39" i="33" s="1"/>
  <c r="M40" i="49" s="1"/>
  <c r="K229" i="33"/>
  <c r="L229" i="33" s="1"/>
  <c r="M229" i="33" s="1"/>
  <c r="M230" i="49" s="1"/>
  <c r="K21" i="33"/>
  <c r="L21" i="33" s="1"/>
  <c r="M21" i="33" s="1"/>
  <c r="M22" i="49" s="1"/>
  <c r="K129" i="33"/>
  <c r="L129" i="33" s="1"/>
  <c r="M129" i="33" s="1"/>
  <c r="M130" i="49" s="1"/>
  <c r="K26" i="33"/>
  <c r="L26" i="33" s="1"/>
  <c r="M26" i="33" s="1"/>
  <c r="M27" i="49" s="1"/>
  <c r="K47" i="33"/>
  <c r="L47" i="33" s="1"/>
  <c r="M47" i="33" s="1"/>
  <c r="M48" i="49" s="1"/>
  <c r="K255" i="33"/>
  <c r="L255" i="33" s="1"/>
  <c r="M255" i="33" s="1"/>
  <c r="M256" i="49" s="1"/>
  <c r="K276" i="33"/>
  <c r="L276" i="33" s="1"/>
  <c r="M276" i="33" s="1"/>
  <c r="M277" i="49" s="1"/>
  <c r="K67" i="33"/>
  <c r="L67" i="33" s="1"/>
  <c r="M67" i="33" s="1"/>
  <c r="M68" i="49" s="1"/>
  <c r="K319" i="33"/>
  <c r="L319" i="33" s="1"/>
  <c r="M319" i="33" s="1"/>
  <c r="M320" i="49" s="1"/>
  <c r="K130" i="33"/>
  <c r="L130" i="33" s="1"/>
  <c r="M130" i="33" s="1"/>
  <c r="M131" i="49" s="1"/>
  <c r="K239" i="33"/>
  <c r="L239" i="33" s="1"/>
  <c r="M239" i="33" s="1"/>
  <c r="M240" i="49" s="1"/>
  <c r="K300" i="33"/>
  <c r="L300" i="33" s="1"/>
  <c r="M300" i="33" s="1"/>
  <c r="M301" i="49" s="1"/>
  <c r="K90" i="33"/>
  <c r="L90" i="33" s="1"/>
  <c r="M90" i="33" s="1"/>
  <c r="M91" i="49" s="1"/>
  <c r="K220" i="33"/>
  <c r="L220" i="33" s="1"/>
  <c r="M220" i="33" s="1"/>
  <c r="M221" i="49" s="1"/>
  <c r="K221" i="33"/>
  <c r="L221" i="33" s="1"/>
  <c r="M221" i="33" s="1"/>
  <c r="M222" i="49" s="1"/>
  <c r="K317" i="33"/>
  <c r="L317" i="33" s="1"/>
  <c r="M317" i="33" s="1"/>
  <c r="M318" i="49" s="1"/>
  <c r="K204" i="33"/>
  <c r="L204" i="33" s="1"/>
  <c r="M204" i="33" s="1"/>
  <c r="M205" i="49" s="1"/>
  <c r="K288" i="33"/>
  <c r="L288" i="33" s="1"/>
  <c r="M288" i="33" s="1"/>
  <c r="M289" i="49" s="1"/>
  <c r="K98" i="33"/>
  <c r="L98" i="33" s="1"/>
  <c r="M98" i="33" s="1"/>
  <c r="M99" i="49" s="1"/>
  <c r="K226" i="33"/>
  <c r="L226" i="33" s="1"/>
  <c r="M226" i="33" s="1"/>
  <c r="M227" i="49" s="1"/>
  <c r="K80" i="33"/>
  <c r="L80" i="33" s="1"/>
  <c r="M80" i="33" s="1"/>
  <c r="M81" i="49" s="1"/>
  <c r="K208" i="33"/>
  <c r="L208" i="33" s="1"/>
  <c r="M208" i="33" s="1"/>
  <c r="M209" i="49" s="1"/>
  <c r="K233" i="33"/>
  <c r="L233" i="33" s="1"/>
  <c r="M233" i="33" s="1"/>
  <c r="M234" i="49" s="1"/>
  <c r="K153" i="33"/>
  <c r="L153" i="33" s="1"/>
  <c r="M153" i="33" s="1"/>
  <c r="M154" i="49" s="1"/>
  <c r="K45" i="33"/>
  <c r="L45" i="33" s="1"/>
  <c r="M45" i="33" s="1"/>
  <c r="M46" i="49" s="1"/>
  <c r="K216" i="33"/>
  <c r="L216" i="33" s="1"/>
  <c r="M216" i="33" s="1"/>
  <c r="M217" i="49" s="1"/>
  <c r="K152" i="33"/>
  <c r="L152" i="33" s="1"/>
  <c r="M152" i="33" s="1"/>
  <c r="M153" i="49" s="1"/>
  <c r="K88" i="33"/>
  <c r="L88" i="33" s="1"/>
  <c r="M88" i="33" s="1"/>
  <c r="M89" i="49" s="1"/>
  <c r="K24" i="33"/>
  <c r="L24" i="33" s="1"/>
  <c r="M24" i="33" s="1"/>
  <c r="M25" i="49" s="1"/>
  <c r="K87" i="33"/>
  <c r="L87" i="33" s="1"/>
  <c r="M87" i="33" s="1"/>
  <c r="M88" i="49" s="1"/>
  <c r="K23" i="33"/>
  <c r="L23" i="33" s="1"/>
  <c r="M23" i="33" s="1"/>
  <c r="M24" i="49" s="1"/>
  <c r="K278" i="33"/>
  <c r="L278" i="33" s="1"/>
  <c r="M278" i="33" s="1"/>
  <c r="M279" i="49" s="1"/>
  <c r="K214" i="33"/>
  <c r="L214" i="33" s="1"/>
  <c r="M214" i="33" s="1"/>
  <c r="M215" i="49" s="1"/>
  <c r="K150" i="33"/>
  <c r="L150" i="33" s="1"/>
  <c r="M150" i="33" s="1"/>
  <c r="M151" i="49" s="1"/>
  <c r="K86" i="33"/>
  <c r="L86" i="33" s="1"/>
  <c r="M86" i="33" s="1"/>
  <c r="M87" i="49" s="1"/>
  <c r="K22" i="33"/>
  <c r="L22" i="33" s="1"/>
  <c r="M22" i="33" s="1"/>
  <c r="M23" i="49" s="1"/>
  <c r="K277" i="33"/>
  <c r="L277" i="33" s="1"/>
  <c r="M277" i="33" s="1"/>
  <c r="M278" i="49" s="1"/>
  <c r="K213" i="33"/>
  <c r="L213" i="33" s="1"/>
  <c r="M213" i="33" s="1"/>
  <c r="M214" i="49" s="1"/>
  <c r="K149" i="33"/>
  <c r="L149" i="33" s="1"/>
  <c r="M149" i="33" s="1"/>
  <c r="M150" i="49" s="1"/>
  <c r="K85" i="33"/>
  <c r="L85" i="33" s="1"/>
  <c r="M85" i="33" s="1"/>
  <c r="M86" i="49" s="1"/>
  <c r="K249" i="33"/>
  <c r="L249" i="33" s="1"/>
  <c r="M249" i="33" s="1"/>
  <c r="M250" i="49" s="1"/>
  <c r="K81" i="33"/>
  <c r="L81" i="33" s="1"/>
  <c r="M81" i="33" s="1"/>
  <c r="M82" i="49" s="1"/>
  <c r="K17" i="33"/>
  <c r="L17" i="33" s="1"/>
  <c r="M17" i="33" s="1"/>
  <c r="M18" i="49" s="1"/>
  <c r="K298" i="33"/>
  <c r="L298" i="33" s="1"/>
  <c r="M298" i="33" s="1"/>
  <c r="M299" i="49" s="1"/>
  <c r="K263" i="33"/>
  <c r="L263" i="33" s="1"/>
  <c r="M263" i="33" s="1"/>
  <c r="M264" i="49" s="1"/>
  <c r="K174" i="33"/>
  <c r="L174" i="33" s="1"/>
  <c r="M174" i="33" s="1"/>
  <c r="M175" i="49" s="1"/>
  <c r="K318" i="33"/>
  <c r="L318" i="33" s="1"/>
  <c r="M318" i="33" s="1"/>
  <c r="M319" i="49" s="1"/>
  <c r="K252" i="33"/>
  <c r="L252" i="33" s="1"/>
  <c r="M252" i="33" s="1"/>
  <c r="M253" i="49" s="1"/>
  <c r="K168" i="33"/>
  <c r="L168" i="33" s="1"/>
  <c r="M168" i="33" s="1"/>
  <c r="M169" i="49" s="1"/>
  <c r="K103" i="33"/>
  <c r="L103" i="33" s="1"/>
  <c r="M103" i="33" s="1"/>
  <c r="M104" i="49" s="1"/>
  <c r="K60" i="33"/>
  <c r="L60" i="33" s="1"/>
  <c r="M60" i="33" s="1"/>
  <c r="M61" i="49" s="1"/>
  <c r="K237" i="33"/>
  <c r="L237" i="33" s="1"/>
  <c r="M237" i="33" s="1"/>
  <c r="M238" i="49" s="1"/>
  <c r="K169" i="33"/>
  <c r="L169" i="33" s="1"/>
  <c r="M169" i="33" s="1"/>
  <c r="M170" i="49" s="1"/>
  <c r="K93" i="33"/>
  <c r="L93" i="33" s="1"/>
  <c r="M93" i="33" s="1"/>
  <c r="M94" i="49" s="1"/>
  <c r="K230" i="33"/>
  <c r="L230" i="33" s="1"/>
  <c r="M230" i="33" s="1"/>
  <c r="M231" i="49" s="1"/>
  <c r="K198" i="33"/>
  <c r="L198" i="33" s="1"/>
  <c r="M198" i="33" s="1"/>
  <c r="M199" i="49" s="1"/>
  <c r="K167" i="33"/>
  <c r="L167" i="33" s="1"/>
  <c r="M167" i="33" s="1"/>
  <c r="M168" i="49" s="1"/>
  <c r="K102" i="33"/>
  <c r="L102" i="33" s="1"/>
  <c r="M102" i="33" s="1"/>
  <c r="M103" i="49" s="1"/>
  <c r="K38" i="33"/>
  <c r="L38" i="33" s="1"/>
  <c r="M38" i="33" s="1"/>
  <c r="M39" i="49" s="1"/>
  <c r="K187" i="33"/>
  <c r="L187" i="33" s="1"/>
  <c r="M187" i="33" s="1"/>
  <c r="M188" i="49" s="1"/>
  <c r="K193" i="33"/>
  <c r="L193" i="33" s="1"/>
  <c r="M193" i="33" s="1"/>
  <c r="M194" i="49" s="1"/>
  <c r="K66" i="33"/>
  <c r="L66" i="33" s="1"/>
  <c r="M66" i="33" s="1"/>
  <c r="M67" i="49" s="1"/>
  <c r="K238" i="33"/>
  <c r="L238" i="33" s="1"/>
  <c r="M238" i="33" s="1"/>
  <c r="M239" i="49" s="1"/>
  <c r="K131" i="33"/>
  <c r="L131" i="33" s="1"/>
  <c r="M131" i="33" s="1"/>
  <c r="M132" i="49" s="1"/>
  <c r="K156" i="33"/>
  <c r="L156" i="33" s="1"/>
  <c r="M156" i="33" s="1"/>
  <c r="M157" i="49" s="1"/>
  <c r="K57" i="33"/>
  <c r="L57" i="33" s="1"/>
  <c r="M57" i="33" s="1"/>
  <c r="M58" i="49" s="1"/>
  <c r="K228" i="33"/>
  <c r="L228" i="33" s="1"/>
  <c r="M228" i="33" s="1"/>
  <c r="M229" i="49" s="1"/>
  <c r="K315" i="33"/>
  <c r="L315" i="33" s="1"/>
  <c r="M315" i="33" s="1"/>
  <c r="M316" i="49" s="1"/>
  <c r="K253" i="33"/>
  <c r="L253" i="33" s="1"/>
  <c r="M253" i="33" s="1"/>
  <c r="M254" i="49" s="1"/>
  <c r="K106" i="33"/>
  <c r="L106" i="33" s="1"/>
  <c r="M106" i="33" s="1"/>
  <c r="M107" i="49" s="1"/>
  <c r="K274" i="33"/>
  <c r="L274" i="33" s="1"/>
  <c r="M274" i="33" s="1"/>
  <c r="M275" i="49" s="1"/>
  <c r="K127" i="33"/>
  <c r="L127" i="33" s="1"/>
  <c r="M127" i="33" s="1"/>
  <c r="M128" i="49" s="1"/>
  <c r="K299" i="33"/>
  <c r="L299" i="33" s="1"/>
  <c r="M299" i="33" s="1"/>
  <c r="M300" i="49" s="1"/>
  <c r="K148" i="33"/>
  <c r="L148" i="33" s="1"/>
  <c r="M148" i="33" s="1"/>
  <c r="M149" i="49" s="1"/>
  <c r="K320" i="33"/>
  <c r="L320" i="33" s="1"/>
  <c r="M320" i="33" s="1"/>
  <c r="M321" i="49" s="1"/>
  <c r="K68" i="33"/>
  <c r="L68" i="33" s="1"/>
  <c r="M68" i="33" s="1"/>
  <c r="M69" i="49" s="1"/>
  <c r="K69" i="33"/>
  <c r="L69" i="33" s="1"/>
  <c r="M69" i="33" s="1"/>
  <c r="M70" i="49" s="1"/>
  <c r="K282" i="33"/>
  <c r="L282" i="33" s="1"/>
  <c r="M282" i="33" s="1"/>
  <c r="M283" i="49" s="1"/>
  <c r="K42" i="33"/>
  <c r="L42" i="33" s="1"/>
  <c r="M42" i="33" s="1"/>
  <c r="M43" i="49" s="1"/>
  <c r="K63" i="33"/>
  <c r="L63" i="33" s="1"/>
  <c r="M63" i="33" s="1"/>
  <c r="M64" i="49" s="1"/>
  <c r="K84" i="33"/>
  <c r="L84" i="33" s="1"/>
  <c r="M84" i="33" s="1"/>
  <c r="M85" i="49" s="1"/>
  <c r="K218" i="33"/>
  <c r="L218" i="33" s="1"/>
  <c r="M218" i="33" s="1"/>
  <c r="M219" i="49" s="1"/>
  <c r="K92" i="33"/>
  <c r="L92" i="33" s="1"/>
  <c r="M92" i="33" s="1"/>
  <c r="M93" i="49" s="1"/>
  <c r="K111" i="33"/>
  <c r="L111" i="33" s="1"/>
  <c r="M111" i="33" s="1"/>
  <c r="M112" i="49" s="1"/>
  <c r="K27" i="33"/>
  <c r="L27" i="33" s="1"/>
  <c r="M27" i="33" s="1"/>
  <c r="M28" i="49" s="1"/>
  <c r="K82" i="33"/>
  <c r="L82" i="33" s="1"/>
  <c r="M82" i="33" s="1"/>
  <c r="M83" i="49" s="1"/>
  <c r="K128" i="33"/>
  <c r="L128" i="33" s="1"/>
  <c r="M128" i="33" s="1"/>
  <c r="M129" i="49" s="1"/>
  <c r="K283" i="33"/>
  <c r="L283" i="33" s="1"/>
  <c r="M283" i="33" s="1"/>
  <c r="M284" i="49" s="1"/>
  <c r="K212" i="33"/>
  <c r="L212" i="33" s="1"/>
  <c r="M212" i="33" s="1"/>
  <c r="M213" i="49" s="1"/>
  <c r="K44" i="33"/>
  <c r="L44" i="33" s="1"/>
  <c r="M44" i="33" s="1"/>
  <c r="M45" i="49" s="1"/>
  <c r="K108" i="33"/>
  <c r="L108" i="33" s="1"/>
  <c r="M108" i="33" s="1"/>
  <c r="M109" i="49" s="1"/>
  <c r="K172" i="33"/>
  <c r="L172" i="33" s="1"/>
  <c r="M172" i="33" s="1"/>
  <c r="M173" i="49" s="1"/>
  <c r="K115" i="33"/>
  <c r="L115" i="33" s="1"/>
  <c r="M115" i="33" s="1"/>
  <c r="M116" i="49" s="1"/>
  <c r="K291" i="33"/>
  <c r="L291" i="33" s="1"/>
  <c r="M291" i="33" s="1"/>
  <c r="M292" i="49" s="1"/>
  <c r="K293" i="33"/>
  <c r="L293" i="33" s="1"/>
  <c r="M293" i="33" s="1"/>
  <c r="M294" i="49" s="1"/>
  <c r="K5" i="33"/>
  <c r="L58" i="33"/>
  <c r="M58" i="33" s="1"/>
  <c r="M59" i="49" s="1"/>
  <c r="L186" i="33"/>
  <c r="M186" i="33" s="1"/>
  <c r="M187" i="49" s="1"/>
  <c r="L16" i="33"/>
  <c r="M16" i="33" s="1"/>
  <c r="M17" i="49" s="1"/>
  <c r="L287" i="33"/>
  <c r="M287" i="33" s="1"/>
  <c r="M288" i="49" s="1"/>
  <c r="L279" i="33"/>
  <c r="M279" i="33" s="1"/>
  <c r="M280" i="49" s="1"/>
  <c r="L242" i="33"/>
  <c r="M242" i="33" s="1"/>
  <c r="M243" i="49" s="1"/>
  <c r="L191" i="33"/>
  <c r="M191" i="33" s="1"/>
  <c r="M192" i="49" s="1"/>
  <c r="L271" i="33"/>
  <c r="M271" i="33" s="1"/>
  <c r="M272" i="49" s="1"/>
  <c r="D18" i="48" l="1"/>
  <c r="L185" i="33"/>
  <c r="M185" i="33" s="1"/>
  <c r="E249" i="9"/>
  <c r="E218" i="9"/>
  <c r="E265" i="9"/>
  <c r="E63" i="9"/>
  <c r="E156" i="9"/>
  <c r="E64" i="9"/>
  <c r="E178" i="9"/>
  <c r="E292" i="9"/>
  <c r="E92" i="9"/>
  <c r="E15" i="9"/>
  <c r="E138" i="9"/>
  <c r="E28" i="9"/>
  <c r="L5" i="33"/>
  <c r="E192" i="9"/>
  <c r="E144" i="9"/>
  <c r="E211" i="9"/>
  <c r="E246" i="9"/>
  <c r="E55" i="9"/>
  <c r="E142" i="9"/>
  <c r="E25" i="9"/>
  <c r="E179" i="9"/>
  <c r="E139" i="9"/>
  <c r="E167" i="9"/>
  <c r="E105" i="9"/>
  <c r="E309" i="9"/>
  <c r="E90" i="9"/>
  <c r="E220" i="9"/>
  <c r="E202" i="9"/>
  <c r="E184" i="9"/>
  <c r="E254" i="9"/>
  <c r="E313" i="9"/>
  <c r="E225" i="9"/>
  <c r="E110" i="9"/>
  <c r="L321" i="33"/>
  <c r="M321" i="33" s="1"/>
  <c r="E248" i="9"/>
  <c r="E148" i="9"/>
  <c r="E36" i="9"/>
  <c r="E22" i="9"/>
  <c r="E121" i="9"/>
  <c r="E87" i="9"/>
  <c r="E293" i="9"/>
  <c r="E251" i="9"/>
  <c r="E314" i="9"/>
  <c r="E176" i="9"/>
  <c r="E201" i="9"/>
  <c r="E85" i="9"/>
  <c r="E123" i="9"/>
  <c r="E52" i="9"/>
  <c r="E285" i="9"/>
  <c r="E104" i="9"/>
  <c r="E169" i="9"/>
  <c r="E319" i="9"/>
  <c r="E210" i="9"/>
  <c r="E146" i="9"/>
  <c r="E266" i="9"/>
  <c r="E182" i="9"/>
  <c r="E23" i="9"/>
  <c r="E103" i="9"/>
  <c r="E51" i="9"/>
  <c r="E161" i="9"/>
  <c r="E94" i="9"/>
  <c r="E323" i="9"/>
  <c r="E273" i="9"/>
  <c r="E99" i="9"/>
  <c r="E159" i="9"/>
  <c r="E30" i="9"/>
  <c r="E232" i="9"/>
  <c r="E235" i="9"/>
  <c r="E260" i="9"/>
  <c r="E81" i="9"/>
  <c r="E216" i="9"/>
  <c r="E150" i="9"/>
  <c r="E65" i="9"/>
  <c r="E95" i="9"/>
  <c r="E117" i="9"/>
  <c r="E230" i="9"/>
  <c r="E113" i="9"/>
  <c r="E134" i="9"/>
  <c r="E196" i="9"/>
  <c r="E31" i="9"/>
  <c r="E136" i="9"/>
  <c r="E131" i="9"/>
  <c r="E183" i="9"/>
  <c r="E67" i="9"/>
  <c r="E48" i="9"/>
  <c r="E180" i="9"/>
  <c r="E50" i="9"/>
  <c r="E84" i="9"/>
  <c r="E53" i="9"/>
  <c r="E33" i="9"/>
  <c r="E312" i="9"/>
  <c r="E228" i="9"/>
  <c r="E328" i="9"/>
  <c r="E78" i="9"/>
  <c r="E217" i="9"/>
  <c r="E242" i="9"/>
  <c r="E272" i="9"/>
  <c r="E143" i="9"/>
  <c r="E72" i="9"/>
  <c r="E281" i="9"/>
  <c r="E62" i="9"/>
  <c r="E233" i="9"/>
  <c r="E132" i="9"/>
  <c r="E261" i="9"/>
  <c r="E206" i="9"/>
  <c r="E101" i="9"/>
  <c r="E74" i="9"/>
  <c r="E27" i="9"/>
  <c r="E41" i="9"/>
  <c r="E308" i="9"/>
  <c r="E204" i="9"/>
  <c r="E19" i="9"/>
  <c r="E274" i="9"/>
  <c r="E127" i="9"/>
  <c r="E60" i="9"/>
  <c r="E310" i="9"/>
  <c r="E205" i="9"/>
  <c r="E160" i="9"/>
  <c r="E80" i="9"/>
  <c r="E54" i="9"/>
  <c r="E29" i="9"/>
  <c r="E287" i="9"/>
  <c r="E197" i="9"/>
  <c r="E283" i="9"/>
  <c r="E39" i="9"/>
  <c r="E276" i="9"/>
  <c r="E240" i="9"/>
  <c r="E307" i="9"/>
  <c r="E304" i="9"/>
  <c r="E257" i="9"/>
  <c r="E203" i="9"/>
  <c r="E177" i="9"/>
  <c r="E70" i="9"/>
  <c r="E188" i="9"/>
  <c r="E311" i="9"/>
  <c r="E190" i="9"/>
  <c r="E244" i="9"/>
  <c r="E162" i="9"/>
  <c r="E163" i="9"/>
  <c r="E88" i="9"/>
  <c r="E295" i="9"/>
  <c r="E128" i="9"/>
  <c r="E40" i="9"/>
  <c r="E198" i="9"/>
  <c r="E315" i="9"/>
  <c r="E270" i="9"/>
  <c r="E320" i="9"/>
  <c r="E199" i="9"/>
  <c r="E294" i="9"/>
  <c r="E318" i="9"/>
  <c r="E231" i="9"/>
  <c r="E56" i="9"/>
  <c r="E299" i="9"/>
  <c r="E158" i="9"/>
  <c r="E245" i="9"/>
  <c r="E280" i="9"/>
  <c r="E79" i="9"/>
  <c r="E267" i="9"/>
  <c r="E278" i="9"/>
  <c r="E195" i="9"/>
  <c r="E290" i="9"/>
  <c r="E82" i="9"/>
  <c r="E259" i="9"/>
  <c r="E35" i="9"/>
  <c r="E46" i="9"/>
  <c r="E193" i="9"/>
  <c r="E166" i="9"/>
  <c r="E236" i="9"/>
  <c r="E224" i="9"/>
  <c r="E263" i="9"/>
  <c r="E21" i="9"/>
  <c r="E125" i="9"/>
  <c r="E214" i="9"/>
  <c r="E126" i="9"/>
  <c r="E86" i="9"/>
  <c r="E118" i="9"/>
  <c r="E212" i="9"/>
  <c r="E255" i="9"/>
  <c r="E296" i="9"/>
  <c r="E223" i="9"/>
  <c r="E262" i="9"/>
  <c r="E102" i="9"/>
  <c r="E154" i="9"/>
  <c r="E73" i="9"/>
  <c r="E34" i="9"/>
  <c r="E42" i="9"/>
  <c r="E49" i="9"/>
  <c r="E291" i="9"/>
  <c r="E106" i="9"/>
  <c r="E325" i="9"/>
  <c r="E96" i="9"/>
  <c r="E24" i="9"/>
  <c r="E219" i="9"/>
  <c r="E16" i="9"/>
  <c r="E58" i="9"/>
  <c r="E97" i="9"/>
  <c r="E68" i="9"/>
  <c r="E241" i="9"/>
  <c r="E226" i="9"/>
  <c r="E300" i="9"/>
  <c r="E208" i="9"/>
  <c r="E153" i="9"/>
  <c r="E109" i="9"/>
  <c r="E209" i="9"/>
  <c r="E47" i="9"/>
  <c r="E171" i="9"/>
  <c r="E227" i="9"/>
  <c r="E324" i="9"/>
  <c r="E116" i="9"/>
  <c r="E151" i="9"/>
  <c r="E238" i="9"/>
  <c r="E130" i="9"/>
  <c r="E185" i="9"/>
  <c r="E221" i="9"/>
  <c r="E268" i="9"/>
  <c r="E77" i="9"/>
  <c r="E306" i="9"/>
  <c r="E111" i="9"/>
  <c r="E32" i="9"/>
  <c r="E76" i="9"/>
  <c r="E112" i="9"/>
  <c r="E172" i="9"/>
  <c r="E264" i="9"/>
  <c r="E289" i="9"/>
  <c r="E239" i="9"/>
  <c r="E284" i="9"/>
  <c r="E229" i="9"/>
  <c r="E215" i="9"/>
  <c r="E37" i="9"/>
  <c r="E69" i="9"/>
  <c r="E213" i="9"/>
  <c r="E175" i="9"/>
  <c r="E247" i="9"/>
  <c r="E168" i="9"/>
  <c r="E45" i="9"/>
  <c r="E243" i="9"/>
  <c r="E100" i="9"/>
  <c r="E302" i="9"/>
  <c r="E322" i="9"/>
  <c r="E181" i="9"/>
  <c r="E301" i="9"/>
  <c r="E279" i="9"/>
  <c r="E129" i="9"/>
  <c r="E89" i="9"/>
  <c r="E149" i="9"/>
  <c r="E288" i="9"/>
  <c r="E200" i="9"/>
  <c r="E316" i="9"/>
  <c r="E173" i="9"/>
  <c r="E250" i="9"/>
  <c r="E133" i="9"/>
  <c r="E269" i="9"/>
  <c r="E98" i="9"/>
  <c r="E57" i="9"/>
  <c r="E187" i="9"/>
  <c r="E107" i="9"/>
  <c r="E119" i="9"/>
  <c r="E286" i="9"/>
  <c r="E271" i="9"/>
  <c r="E326" i="9"/>
  <c r="E152" i="9"/>
  <c r="E258" i="9"/>
  <c r="E114" i="9"/>
  <c r="E75" i="9"/>
  <c r="E12" i="9"/>
  <c r="E115" i="9"/>
  <c r="E145" i="9"/>
  <c r="E194" i="9"/>
  <c r="E61" i="9"/>
  <c r="E135" i="9"/>
  <c r="E26" i="9"/>
  <c r="E124" i="9"/>
  <c r="E222" i="9"/>
  <c r="E147" i="9"/>
  <c r="E43" i="9"/>
  <c r="E38" i="9"/>
  <c r="E140" i="9"/>
  <c r="E155" i="9"/>
  <c r="E252" i="9"/>
  <c r="E277" i="9"/>
  <c r="E275" i="9"/>
  <c r="E17" i="9"/>
  <c r="E66" i="9"/>
  <c r="E14" i="9"/>
  <c r="E303" i="9"/>
  <c r="E165" i="9"/>
  <c r="E13" i="9"/>
  <c r="E157" i="9"/>
  <c r="E91" i="9"/>
  <c r="E122" i="9"/>
  <c r="E282" i="9"/>
  <c r="E253" i="9"/>
  <c r="E321" i="9"/>
  <c r="E297" i="9"/>
  <c r="E120" i="9"/>
  <c r="E59" i="9"/>
  <c r="E18" i="9"/>
  <c r="E20" i="9"/>
  <c r="E234" i="9"/>
  <c r="E93" i="9"/>
  <c r="E305" i="9"/>
  <c r="E137" i="9"/>
  <c r="E170" i="9"/>
  <c r="E141" i="9"/>
  <c r="E164" i="9"/>
  <c r="E298" i="9"/>
  <c r="E83" i="9"/>
  <c r="E207" i="9"/>
  <c r="E71" i="9"/>
  <c r="E174" i="9"/>
  <c r="E256" i="9"/>
  <c r="E317" i="9"/>
  <c r="E189" i="9"/>
  <c r="E186" i="9"/>
  <c r="E44" i="9"/>
  <c r="E237" i="9"/>
  <c r="E108" i="9"/>
  <c r="C134" i="11"/>
  <c r="E135" i="25"/>
  <c r="N134" i="33"/>
  <c r="C145" i="34"/>
  <c r="C65" i="11"/>
  <c r="N65" i="33"/>
  <c r="C76" i="34"/>
  <c r="E66" i="25"/>
  <c r="C136" i="11"/>
  <c r="C147" i="34"/>
  <c r="N136" i="33"/>
  <c r="E137" i="25"/>
  <c r="N233" i="33"/>
  <c r="E234" i="25"/>
  <c r="C244" i="34"/>
  <c r="C233" i="11"/>
  <c r="N87" i="33"/>
  <c r="E88" i="25"/>
  <c r="C98" i="34"/>
  <c r="C87" i="11"/>
  <c r="E101" i="25"/>
  <c r="C100" i="11"/>
  <c r="C111" i="34"/>
  <c r="N100" i="33"/>
  <c r="C160" i="34"/>
  <c r="C149" i="11"/>
  <c r="E150" i="25"/>
  <c r="N149" i="33"/>
  <c r="N294" i="33"/>
  <c r="E295" i="25"/>
  <c r="C294" i="11"/>
  <c r="C305" i="34"/>
  <c r="C137" i="11"/>
  <c r="C148" i="34"/>
  <c r="N137" i="33"/>
  <c r="E138" i="25"/>
  <c r="N252" i="33"/>
  <c r="C263" i="34"/>
  <c r="C252" i="11"/>
  <c r="E253" i="25"/>
  <c r="C142" i="11"/>
  <c r="N142" i="33"/>
  <c r="E143" i="25"/>
  <c r="C153" i="34"/>
  <c r="C151" i="11"/>
  <c r="N151" i="33"/>
  <c r="C162" i="34"/>
  <c r="E152" i="25"/>
  <c r="E76" i="25"/>
  <c r="N75" i="33"/>
  <c r="C75" i="11"/>
  <c r="C86" i="34"/>
  <c r="C259" i="34"/>
  <c r="E249" i="25"/>
  <c r="C248" i="11"/>
  <c r="N248" i="33"/>
  <c r="E226" i="25"/>
  <c r="N225" i="33"/>
  <c r="C236" i="34"/>
  <c r="C225" i="11"/>
  <c r="C120" i="11"/>
  <c r="E121" i="25"/>
  <c r="N120" i="33"/>
  <c r="C131" i="34"/>
  <c r="C126" i="11"/>
  <c r="N126" i="33"/>
  <c r="E127" i="25"/>
  <c r="C137" i="34"/>
  <c r="C36" i="11"/>
  <c r="C47" i="34"/>
  <c r="E37" i="25"/>
  <c r="N36" i="33"/>
  <c r="N133" i="33"/>
  <c r="C144" i="34"/>
  <c r="C133" i="11"/>
  <c r="E134" i="25"/>
  <c r="N50" i="33"/>
  <c r="E51" i="25"/>
  <c r="C50" i="11"/>
  <c r="C61" i="34"/>
  <c r="E282" i="25"/>
  <c r="C292" i="34"/>
  <c r="C281" i="11"/>
  <c r="N281" i="33"/>
  <c r="E304" i="25"/>
  <c r="C303" i="11"/>
  <c r="N303" i="33"/>
  <c r="C314" i="34"/>
  <c r="C85" i="11"/>
  <c r="C96" i="34"/>
  <c r="N85" i="33"/>
  <c r="E86" i="25"/>
  <c r="C306" i="34"/>
  <c r="C295" i="11"/>
  <c r="N295" i="33"/>
  <c r="E296" i="25"/>
  <c r="C35" i="11"/>
  <c r="N35" i="33"/>
  <c r="E36" i="25"/>
  <c r="C46" i="34"/>
  <c r="N237" i="33"/>
  <c r="C248" i="34"/>
  <c r="C237" i="11"/>
  <c r="E238" i="25"/>
  <c r="N117" i="33"/>
  <c r="C128" i="34"/>
  <c r="E118" i="25"/>
  <c r="C117" i="11"/>
  <c r="C278" i="11"/>
  <c r="E279" i="25"/>
  <c r="C289" i="34"/>
  <c r="N278" i="33"/>
  <c r="C202" i="34"/>
  <c r="C191" i="11"/>
  <c r="N191" i="33"/>
  <c r="E192" i="25"/>
  <c r="N302" i="33"/>
  <c r="C302" i="11"/>
  <c r="E303" i="25"/>
  <c r="C313" i="34"/>
  <c r="C188" i="34"/>
  <c r="E178" i="25"/>
  <c r="N177" i="33"/>
  <c r="C177" i="11"/>
  <c r="E89" i="25"/>
  <c r="N88" i="33"/>
  <c r="C88" i="11"/>
  <c r="C99" i="34"/>
  <c r="C283" i="11"/>
  <c r="C294" i="34"/>
  <c r="N283" i="33"/>
  <c r="E284" i="25"/>
  <c r="E247" i="25"/>
  <c r="C246" i="11"/>
  <c r="C257" i="34"/>
  <c r="N246" i="33"/>
  <c r="C318" i="34"/>
  <c r="N307" i="33"/>
  <c r="E308" i="25"/>
  <c r="C307" i="11"/>
  <c r="C49" i="11"/>
  <c r="C60" i="34"/>
  <c r="E50" i="25"/>
  <c r="N49" i="33"/>
  <c r="C299" i="11"/>
  <c r="N299" i="33"/>
  <c r="C310" i="34"/>
  <c r="E300" i="25"/>
  <c r="N80" i="33"/>
  <c r="C80" i="11"/>
  <c r="C91" i="34"/>
  <c r="E81" i="25"/>
  <c r="E278" i="25"/>
  <c r="N277" i="33"/>
  <c r="C288" i="34"/>
  <c r="C277" i="11"/>
  <c r="C247" i="34"/>
  <c r="N236" i="33"/>
  <c r="E237" i="25"/>
  <c r="C236" i="11"/>
  <c r="N124" i="33"/>
  <c r="C135" i="34"/>
  <c r="C124" i="11"/>
  <c r="E125" i="25"/>
  <c r="C284" i="34"/>
  <c r="N273" i="33"/>
  <c r="E274" i="25"/>
  <c r="C273" i="11"/>
  <c r="C83" i="34"/>
  <c r="N72" i="33"/>
  <c r="C72" i="11"/>
  <c r="E73" i="25"/>
  <c r="N64" i="33"/>
  <c r="C75" i="34"/>
  <c r="E65" i="25"/>
  <c r="C64" i="11"/>
  <c r="C205" i="11"/>
  <c r="N205" i="33"/>
  <c r="C216" i="34"/>
  <c r="E206" i="25"/>
  <c r="E18" i="25"/>
  <c r="N17" i="33"/>
  <c r="C28" i="34"/>
  <c r="C17" i="11"/>
  <c r="C304" i="34"/>
  <c r="E294" i="25"/>
  <c r="C293" i="11"/>
  <c r="N293" i="33"/>
  <c r="C31" i="34"/>
  <c r="N20" i="33"/>
  <c r="C20" i="11"/>
  <c r="E21" i="25"/>
  <c r="C271" i="11"/>
  <c r="C282" i="34"/>
  <c r="N271" i="33"/>
  <c r="E272" i="25"/>
  <c r="E117" i="25"/>
  <c r="C127" i="34"/>
  <c r="N116" i="33"/>
  <c r="C116" i="11"/>
  <c r="E109" i="25"/>
  <c r="N108" i="33"/>
  <c r="C108" i="11"/>
  <c r="C119" i="34"/>
  <c r="C315" i="34"/>
  <c r="E305" i="25"/>
  <c r="N304" i="33"/>
  <c r="C304" i="11"/>
  <c r="C306" i="11"/>
  <c r="N306" i="33"/>
  <c r="C317" i="34"/>
  <c r="E307" i="25"/>
  <c r="E123" i="25"/>
  <c r="C133" i="34"/>
  <c r="N122" i="33"/>
  <c r="C122" i="11"/>
  <c r="C33" i="11"/>
  <c r="E34" i="25"/>
  <c r="N33" i="33"/>
  <c r="C44" i="34"/>
  <c r="E205" i="25"/>
  <c r="N204" i="33"/>
  <c r="C204" i="11"/>
  <c r="C215" i="34"/>
  <c r="N179" i="33"/>
  <c r="C179" i="11"/>
  <c r="C190" i="34"/>
  <c r="E180" i="25"/>
  <c r="N319" i="33"/>
  <c r="C330" i="34"/>
  <c r="E320" i="25"/>
  <c r="C319" i="11"/>
  <c r="N30" i="33"/>
  <c r="C41" i="34"/>
  <c r="C30" i="11"/>
  <c r="E31" i="25"/>
  <c r="C134" i="34"/>
  <c r="E124" i="25"/>
  <c r="C123" i="11"/>
  <c r="N123" i="33"/>
  <c r="C41" i="11"/>
  <c r="N41" i="33"/>
  <c r="C52" i="34"/>
  <c r="E42" i="25"/>
  <c r="E80" i="25"/>
  <c r="N79" i="33"/>
  <c r="C79" i="11"/>
  <c r="C90" i="34"/>
  <c r="C68" i="34"/>
  <c r="C57" i="11"/>
  <c r="N57" i="33"/>
  <c r="E58" i="25"/>
  <c r="C84" i="11"/>
  <c r="N84" i="33"/>
  <c r="C95" i="34"/>
  <c r="E85" i="25"/>
  <c r="C97" i="11"/>
  <c r="N97" i="33"/>
  <c r="C108" i="34"/>
  <c r="E98" i="25"/>
  <c r="N81" i="33"/>
  <c r="E82" i="25"/>
  <c r="C81" i="11"/>
  <c r="C92" i="34"/>
  <c r="N276" i="33"/>
  <c r="C287" i="34"/>
  <c r="E277" i="25"/>
  <c r="C276" i="11"/>
  <c r="N266" i="33"/>
  <c r="C277" i="34"/>
  <c r="E267" i="25"/>
  <c r="C266" i="11"/>
  <c r="E185" i="25"/>
  <c r="N184" i="33"/>
  <c r="C195" i="34"/>
  <c r="C184" i="11"/>
  <c r="E35" i="25"/>
  <c r="C34" i="11"/>
  <c r="C45" i="34"/>
  <c r="N34" i="33"/>
  <c r="N215" i="33"/>
  <c r="E216" i="25"/>
  <c r="C215" i="11"/>
  <c r="C226" i="34"/>
  <c r="C179" i="34"/>
  <c r="C168" i="11"/>
  <c r="N168" i="33"/>
  <c r="E169" i="25"/>
  <c r="N270" i="33"/>
  <c r="C281" i="34"/>
  <c r="E271" i="25"/>
  <c r="C270" i="11"/>
  <c r="C251" i="34"/>
  <c r="E241" i="25"/>
  <c r="C240" i="11"/>
  <c r="N240" i="33"/>
  <c r="N93" i="33"/>
  <c r="E94" i="25"/>
  <c r="C93" i="11"/>
  <c r="C104" i="34"/>
  <c r="C203" i="34"/>
  <c r="E193" i="25"/>
  <c r="N192" i="33"/>
  <c r="C192" i="11"/>
  <c r="C274" i="11"/>
  <c r="E275" i="25"/>
  <c r="N274" i="33"/>
  <c r="C285" i="34"/>
  <c r="E113" i="25"/>
  <c r="N112" i="33"/>
  <c r="C112" i="11"/>
  <c r="C123" i="34"/>
  <c r="C84" i="34"/>
  <c r="E74" i="25"/>
  <c r="N73" i="33"/>
  <c r="C73" i="11"/>
  <c r="C83" i="11"/>
  <c r="E84" i="25"/>
  <c r="C94" i="34"/>
  <c r="N83" i="33"/>
  <c r="C269" i="11"/>
  <c r="N269" i="33"/>
  <c r="E270" i="25"/>
  <c r="C280" i="34"/>
  <c r="C163" i="11"/>
  <c r="N163" i="33"/>
  <c r="E164" i="25"/>
  <c r="C174" i="34"/>
  <c r="C154" i="34"/>
  <c r="N143" i="33"/>
  <c r="C143" i="11"/>
  <c r="E144" i="25"/>
  <c r="N131" i="33"/>
  <c r="C131" i="11"/>
  <c r="E132" i="25"/>
  <c r="C142" i="34"/>
  <c r="C309" i="11"/>
  <c r="N309" i="33"/>
  <c r="C320" i="34"/>
  <c r="E310" i="25"/>
  <c r="E59" i="25"/>
  <c r="N58" i="33"/>
  <c r="C58" i="11"/>
  <c r="C69" i="34"/>
  <c r="C209" i="11"/>
  <c r="C220" i="34"/>
  <c r="E210" i="25"/>
  <c r="N209" i="33"/>
  <c r="C282" i="11"/>
  <c r="N282" i="33"/>
  <c r="C293" i="34"/>
  <c r="E283" i="25"/>
  <c r="C90" i="11"/>
  <c r="N90" i="33"/>
  <c r="C101" i="34"/>
  <c r="E91" i="25"/>
  <c r="N272" i="33"/>
  <c r="E273" i="25"/>
  <c r="C272" i="11"/>
  <c r="C283" i="34"/>
  <c r="C172" i="34"/>
  <c r="E162" i="25"/>
  <c r="N161" i="33"/>
  <c r="C161" i="11"/>
  <c r="C89" i="34"/>
  <c r="C78" i="11"/>
  <c r="N78" i="33"/>
  <c r="E79" i="25"/>
  <c r="C229" i="11"/>
  <c r="C240" i="34"/>
  <c r="N229" i="33"/>
  <c r="E230" i="25"/>
  <c r="N219" i="33"/>
  <c r="E220" i="25"/>
  <c r="C230" i="34"/>
  <c r="C219" i="11"/>
  <c r="E239" i="25"/>
  <c r="N238" i="33"/>
  <c r="C249" i="34"/>
  <c r="C238" i="11"/>
  <c r="N102" i="33"/>
  <c r="C113" i="34"/>
  <c r="E103" i="25"/>
  <c r="C102" i="11"/>
  <c r="C273" i="34"/>
  <c r="E263" i="25"/>
  <c r="N262" i="33"/>
  <c r="C262" i="11"/>
  <c r="N13" i="33"/>
  <c r="C24" i="34"/>
  <c r="E14" i="25"/>
  <c r="C13" i="11"/>
  <c r="C165" i="34"/>
  <c r="N154" i="33"/>
  <c r="C154" i="11"/>
  <c r="E155" i="25"/>
  <c r="C183" i="34"/>
  <c r="N172" i="33"/>
  <c r="E173" i="25"/>
  <c r="C172" i="11"/>
  <c r="E318" i="25"/>
  <c r="N317" i="33"/>
  <c r="C328" i="34"/>
  <c r="C317" i="11"/>
  <c r="C326" i="34"/>
  <c r="C315" i="11"/>
  <c r="N315" i="33"/>
  <c r="E316" i="25"/>
  <c r="E55" i="25"/>
  <c r="N54" i="33"/>
  <c r="C65" i="34"/>
  <c r="C54" i="11"/>
  <c r="E265" i="25"/>
  <c r="C275" i="34"/>
  <c r="N264" i="33"/>
  <c r="C264" i="11"/>
  <c r="E190" i="25"/>
  <c r="C189" i="11"/>
  <c r="N189" i="33"/>
  <c r="C200" i="34"/>
  <c r="C33" i="34"/>
  <c r="E23" i="25"/>
  <c r="C22" i="11"/>
  <c r="N22" i="33"/>
  <c r="E141" i="25"/>
  <c r="C140" i="11"/>
  <c r="N140" i="33"/>
  <c r="C151" i="34"/>
  <c r="E212" i="25"/>
  <c r="N211" i="33"/>
  <c r="C222" i="34"/>
  <c r="C211" i="11"/>
  <c r="C105" i="34"/>
  <c r="N94" i="33"/>
  <c r="C94" i="11"/>
  <c r="E95" i="25"/>
  <c r="C302" i="34"/>
  <c r="N291" i="33"/>
  <c r="C291" i="11"/>
  <c r="E292" i="25"/>
  <c r="C56" i="34"/>
  <c r="C45" i="11"/>
  <c r="N45" i="33"/>
  <c r="E46" i="25"/>
  <c r="C211" i="34"/>
  <c r="N200" i="33"/>
  <c r="E201" i="25"/>
  <c r="C200" i="11"/>
  <c r="N301" i="33"/>
  <c r="C312" i="34"/>
  <c r="C301" i="11"/>
  <c r="E302" i="25"/>
  <c r="E19" i="25"/>
  <c r="C18" i="11"/>
  <c r="N18" i="33"/>
  <c r="C29" i="34"/>
  <c r="N314" i="33"/>
  <c r="C314" i="11"/>
  <c r="C325" i="34"/>
  <c r="E315" i="25"/>
  <c r="C295" i="34"/>
  <c r="E285" i="25"/>
  <c r="C284" i="11"/>
  <c r="N284" i="33"/>
  <c r="E196" i="25"/>
  <c r="N195" i="33"/>
  <c r="C206" i="34"/>
  <c r="C195" i="11"/>
  <c r="N95" i="33"/>
  <c r="C106" i="34"/>
  <c r="E96" i="25"/>
  <c r="C95" i="11"/>
  <c r="C82" i="34"/>
  <c r="C71" i="11"/>
  <c r="N71" i="33"/>
  <c r="E72" i="25"/>
  <c r="N60" i="33"/>
  <c r="C60" i="11"/>
  <c r="E61" i="25"/>
  <c r="C71" i="34"/>
  <c r="N310" i="33"/>
  <c r="E311" i="25"/>
  <c r="C321" i="34"/>
  <c r="C310" i="11"/>
  <c r="N6" i="33"/>
  <c r="C17" i="34"/>
  <c r="E7" i="25"/>
  <c r="C6" i="11"/>
  <c r="N99" i="33"/>
  <c r="C110" i="34"/>
  <c r="E100" i="25"/>
  <c r="C99" i="11"/>
  <c r="N182" i="33"/>
  <c r="C182" i="11"/>
  <c r="C193" i="34"/>
  <c r="E183" i="25"/>
  <c r="N201" i="33"/>
  <c r="E202" i="25"/>
  <c r="C212" i="34"/>
  <c r="C201" i="11"/>
  <c r="C42" i="11"/>
  <c r="N42" i="33"/>
  <c r="C53" i="34"/>
  <c r="E43" i="25"/>
  <c r="N105" i="33"/>
  <c r="C116" i="34"/>
  <c r="E106" i="25"/>
  <c r="C105" i="11"/>
  <c r="E110" i="25"/>
  <c r="C120" i="34"/>
  <c r="N109" i="33"/>
  <c r="C109" i="11"/>
  <c r="E281" i="25"/>
  <c r="N280" i="33"/>
  <c r="C280" i="11"/>
  <c r="C291" i="34"/>
  <c r="E140" i="25"/>
  <c r="N139" i="33"/>
  <c r="C150" i="34"/>
  <c r="C139" i="11"/>
  <c r="N253" i="33"/>
  <c r="C253" i="11"/>
  <c r="C264" i="34"/>
  <c r="E254" i="25"/>
  <c r="E242" i="25"/>
  <c r="N241" i="33"/>
  <c r="C241" i="11"/>
  <c r="C252" i="34"/>
  <c r="C279" i="34"/>
  <c r="N268" i="33"/>
  <c r="C268" i="11"/>
  <c r="E269" i="25"/>
  <c r="N214" i="33"/>
  <c r="C214" i="11"/>
  <c r="E215" i="25"/>
  <c r="C225" i="34"/>
  <c r="N150" i="33"/>
  <c r="C150" i="11"/>
  <c r="C161" i="34"/>
  <c r="E151" i="25"/>
  <c r="C217" i="11"/>
  <c r="N217" i="33"/>
  <c r="E218" i="25"/>
  <c r="C228" i="34"/>
  <c r="C199" i="34"/>
  <c r="N188" i="33"/>
  <c r="C188" i="11"/>
  <c r="E189" i="25"/>
  <c r="C68" i="11"/>
  <c r="C79" i="34"/>
  <c r="E69" i="25"/>
  <c r="N68" i="33"/>
  <c r="C185" i="34"/>
  <c r="E175" i="25"/>
  <c r="N174" i="33"/>
  <c r="C174" i="11"/>
  <c r="C276" i="34"/>
  <c r="N265" i="33"/>
  <c r="E266" i="25"/>
  <c r="C265" i="11"/>
  <c r="C40" i="34"/>
  <c r="C29" i="11"/>
  <c r="N29" i="33"/>
  <c r="E30" i="25"/>
  <c r="N221" i="33"/>
  <c r="C221" i="11"/>
  <c r="E222" i="25"/>
  <c r="C232" i="34"/>
  <c r="N26" i="33"/>
  <c r="C26" i="11"/>
  <c r="E27" i="25"/>
  <c r="C37" i="34"/>
  <c r="C267" i="34"/>
  <c r="C256" i="11"/>
  <c r="N256" i="33"/>
  <c r="E257" i="25"/>
  <c r="E17" i="25"/>
  <c r="C16" i="11"/>
  <c r="N16" i="33"/>
  <c r="C27" i="34"/>
  <c r="C244" i="11"/>
  <c r="N244" i="33"/>
  <c r="E245" i="25"/>
  <c r="C255" i="34"/>
  <c r="N31" i="33"/>
  <c r="C42" i="34"/>
  <c r="E32" i="25"/>
  <c r="C31" i="11"/>
  <c r="C164" i="11"/>
  <c r="E165" i="25"/>
  <c r="C175" i="34"/>
  <c r="N164" i="33"/>
  <c r="E139" i="25"/>
  <c r="C138" i="11"/>
  <c r="N138" i="33"/>
  <c r="C149" i="34"/>
  <c r="C40" i="11"/>
  <c r="N40" i="33"/>
  <c r="E41" i="25"/>
  <c r="C51" i="34"/>
  <c r="E97" i="25"/>
  <c r="N96" i="33"/>
  <c r="C96" i="11"/>
  <c r="C107" i="34"/>
  <c r="C67" i="34"/>
  <c r="N56" i="33"/>
  <c r="E57" i="25"/>
  <c r="C56" i="11"/>
  <c r="N21" i="33"/>
  <c r="E22" i="25"/>
  <c r="C32" i="34"/>
  <c r="C21" i="11"/>
  <c r="C322" i="34"/>
  <c r="N311" i="33"/>
  <c r="E312" i="25"/>
  <c r="C311" i="11"/>
  <c r="E115" i="25"/>
  <c r="C125" i="34"/>
  <c r="N114" i="33"/>
  <c r="C114" i="11"/>
  <c r="E44" i="25"/>
  <c r="N43" i="33"/>
  <c r="C54" i="34"/>
  <c r="C43" i="11"/>
  <c r="E214" i="25"/>
  <c r="C224" i="34"/>
  <c r="N213" i="33"/>
  <c r="C213" i="11"/>
  <c r="E9" i="25"/>
  <c r="C19" i="34"/>
  <c r="N8" i="33"/>
  <c r="C8" i="11"/>
  <c r="E54" i="25"/>
  <c r="C64" i="34"/>
  <c r="N53" i="33"/>
  <c r="C53" i="11"/>
  <c r="C9" i="11"/>
  <c r="C20" i="34"/>
  <c r="N9" i="33"/>
  <c r="E10" i="25"/>
  <c r="E149" i="25"/>
  <c r="C159" i="34"/>
  <c r="N148" i="33"/>
  <c r="C148" i="11"/>
  <c r="N55" i="33"/>
  <c r="C55" i="11"/>
  <c r="E56" i="25"/>
  <c r="C66" i="34"/>
  <c r="C12" i="11"/>
  <c r="E13" i="25"/>
  <c r="N12" i="33"/>
  <c r="C23" i="34"/>
  <c r="E63" i="25"/>
  <c r="C62" i="11"/>
  <c r="C73" i="34"/>
  <c r="N62" i="33"/>
  <c r="C167" i="34"/>
  <c r="C156" i="11"/>
  <c r="E157" i="25"/>
  <c r="N156" i="33"/>
  <c r="C324" i="34"/>
  <c r="C313" i="11"/>
  <c r="N313" i="33"/>
  <c r="E314" i="25"/>
  <c r="C140" i="34"/>
  <c r="N129" i="33"/>
  <c r="C129" i="11"/>
  <c r="E130" i="25"/>
  <c r="C70" i="11"/>
  <c r="C81" i="34"/>
  <c r="N70" i="33"/>
  <c r="E71" i="25"/>
  <c r="E188" i="25"/>
  <c r="C198" i="34"/>
  <c r="C187" i="11"/>
  <c r="N187" i="33"/>
  <c r="C305" i="11"/>
  <c r="N305" i="33"/>
  <c r="E306" i="25"/>
  <c r="C316" i="34"/>
  <c r="N14" i="33"/>
  <c r="E15" i="25"/>
  <c r="C14" i="11"/>
  <c r="C25" i="34"/>
  <c r="E11" i="25"/>
  <c r="N10" i="33"/>
  <c r="C21" i="34"/>
  <c r="C10" i="11"/>
  <c r="N98" i="33"/>
  <c r="E99" i="25"/>
  <c r="C98" i="11"/>
  <c r="C109" i="34"/>
  <c r="C194" i="34"/>
  <c r="N183" i="33"/>
  <c r="E184" i="25"/>
  <c r="C183" i="11"/>
  <c r="N224" i="33"/>
  <c r="C224" i="11"/>
  <c r="C235" i="34"/>
  <c r="E225" i="25"/>
  <c r="E229" i="25"/>
  <c r="N228" i="33"/>
  <c r="C228" i="11"/>
  <c r="C239" i="34"/>
  <c r="E298" i="25"/>
  <c r="N297" i="33"/>
  <c r="C297" i="11"/>
  <c r="C308" i="34"/>
  <c r="N320" i="33"/>
  <c r="E321" i="25"/>
  <c r="C320" i="11"/>
  <c r="C331" i="34"/>
  <c r="N115" i="33"/>
  <c r="C126" i="34"/>
  <c r="C115" i="11"/>
  <c r="E116" i="25"/>
  <c r="C138" i="34"/>
  <c r="N127" i="33"/>
  <c r="E128" i="25"/>
  <c r="C127" i="11"/>
  <c r="C329" i="34"/>
  <c r="N318" i="33"/>
  <c r="C318" i="11"/>
  <c r="E319" i="25"/>
  <c r="C158" i="11"/>
  <c r="E159" i="25"/>
  <c r="N158" i="33"/>
  <c r="C169" i="34"/>
  <c r="C230" i="11"/>
  <c r="N230" i="33"/>
  <c r="E231" i="25"/>
  <c r="C241" i="34"/>
  <c r="E148" i="25"/>
  <c r="N147" i="33"/>
  <c r="C158" i="34"/>
  <c r="C147" i="11"/>
  <c r="C118" i="34"/>
  <c r="N107" i="33"/>
  <c r="E108" i="25"/>
  <c r="C107" i="11"/>
  <c r="N155" i="33"/>
  <c r="E156" i="25"/>
  <c r="C155" i="11"/>
  <c r="C166" i="34"/>
  <c r="N59" i="33"/>
  <c r="C70" i="34"/>
  <c r="C59" i="11"/>
  <c r="E60" i="25"/>
  <c r="E142" i="25"/>
  <c r="N141" i="33"/>
  <c r="C141" i="11"/>
  <c r="C152" i="34"/>
  <c r="C157" i="11"/>
  <c r="E158" i="25"/>
  <c r="N157" i="33"/>
  <c r="C168" i="34"/>
  <c r="N121" i="33"/>
  <c r="C132" i="34"/>
  <c r="E122" i="25"/>
  <c r="C121" i="11"/>
  <c r="C121" i="34"/>
  <c r="N110" i="33"/>
  <c r="E111" i="25"/>
  <c r="C110" i="11"/>
  <c r="N258" i="33"/>
  <c r="C258" i="11"/>
  <c r="E259" i="25"/>
  <c r="C269" i="34"/>
  <c r="N145" i="33"/>
  <c r="E146" i="25"/>
  <c r="C145" i="11"/>
  <c r="C156" i="34"/>
  <c r="C176" i="11"/>
  <c r="C187" i="34"/>
  <c r="N176" i="33"/>
  <c r="E177" i="25"/>
  <c r="N37" i="33"/>
  <c r="C37" i="11"/>
  <c r="E38" i="25"/>
  <c r="C48" i="34"/>
  <c r="N263" i="33"/>
  <c r="C274" i="34"/>
  <c r="C263" i="11"/>
  <c r="E264" i="25"/>
  <c r="C201" i="34"/>
  <c r="C190" i="11"/>
  <c r="N190" i="33"/>
  <c r="E191" i="25"/>
  <c r="E232" i="25"/>
  <c r="C231" i="11"/>
  <c r="C242" i="34"/>
  <c r="N231" i="33"/>
  <c r="N74" i="33"/>
  <c r="E75" i="25"/>
  <c r="C85" i="34"/>
  <c r="C74" i="11"/>
  <c r="N63" i="33"/>
  <c r="C74" i="34"/>
  <c r="E64" i="25"/>
  <c r="C63" i="11"/>
  <c r="C88" i="34"/>
  <c r="N77" i="33"/>
  <c r="C77" i="11"/>
  <c r="E78" i="25"/>
  <c r="E286" i="25"/>
  <c r="C296" i="34"/>
  <c r="N285" i="33"/>
  <c r="C285" i="11"/>
  <c r="N308" i="33"/>
  <c r="C319" i="34"/>
  <c r="E309" i="25"/>
  <c r="C308" i="11"/>
  <c r="C46" i="11"/>
  <c r="C57" i="34"/>
  <c r="N46" i="33"/>
  <c r="E47" i="25"/>
  <c r="E25" i="25"/>
  <c r="C35" i="34"/>
  <c r="N24" i="33"/>
  <c r="C24" i="11"/>
  <c r="N86" i="33"/>
  <c r="E87" i="25"/>
  <c r="C97" i="34"/>
  <c r="C86" i="11"/>
  <c r="C157" i="34"/>
  <c r="N146" i="33"/>
  <c r="E147" i="25"/>
  <c r="C146" i="11"/>
  <c r="N316" i="33"/>
  <c r="C327" i="34"/>
  <c r="E317" i="25"/>
  <c r="C316" i="11"/>
  <c r="C32" i="11"/>
  <c r="N32" i="33"/>
  <c r="E33" i="25"/>
  <c r="C43" i="34"/>
  <c r="C203" i="11"/>
  <c r="N203" i="33"/>
  <c r="E204" i="25"/>
  <c r="C214" i="34"/>
  <c r="E255" i="25"/>
  <c r="C265" i="34"/>
  <c r="N254" i="33"/>
  <c r="C254" i="11"/>
  <c r="C59" i="34"/>
  <c r="E49" i="25"/>
  <c r="C48" i="11"/>
  <c r="N48" i="33"/>
  <c r="E26" i="25"/>
  <c r="C25" i="11"/>
  <c r="C36" i="34"/>
  <c r="N25" i="33"/>
  <c r="E228" i="25"/>
  <c r="N227" i="33"/>
  <c r="C227" i="11"/>
  <c r="C238" i="34"/>
  <c r="E52" i="25"/>
  <c r="N51" i="33"/>
  <c r="C62" i="34"/>
  <c r="C51" i="11"/>
  <c r="N162" i="33"/>
  <c r="C173" i="34"/>
  <c r="E163" i="25"/>
  <c r="C162" i="11"/>
  <c r="N197" i="33"/>
  <c r="C197" i="11"/>
  <c r="E198" i="25"/>
  <c r="C208" i="34"/>
  <c r="E131" i="25"/>
  <c r="C141" i="34"/>
  <c r="C130" i="11"/>
  <c r="N130" i="33"/>
  <c r="C181" i="11"/>
  <c r="N181" i="33"/>
  <c r="C192" i="34"/>
  <c r="E182" i="25"/>
  <c r="E171" i="25"/>
  <c r="C170" i="11"/>
  <c r="C181" i="34"/>
  <c r="N170" i="33"/>
  <c r="C242" i="11"/>
  <c r="E243" i="25"/>
  <c r="N242" i="33"/>
  <c r="C253" i="34"/>
  <c r="C143" i="34"/>
  <c r="N132" i="33"/>
  <c r="C132" i="11"/>
  <c r="E133" i="25"/>
  <c r="C119" i="11"/>
  <c r="N119" i="33"/>
  <c r="C130" i="34"/>
  <c r="E120" i="25"/>
  <c r="N226" i="33"/>
  <c r="C226" i="11"/>
  <c r="E227" i="25"/>
  <c r="C237" i="34"/>
  <c r="C49" i="34"/>
  <c r="N38" i="33"/>
  <c r="E39" i="25"/>
  <c r="C38" i="11"/>
  <c r="N322" i="33"/>
  <c r="E323" i="25"/>
  <c r="C322" i="11"/>
  <c r="C333" i="34"/>
  <c r="E48" i="25"/>
  <c r="N47" i="33"/>
  <c r="C47" i="11"/>
  <c r="C58" i="34"/>
  <c r="N171" i="33"/>
  <c r="C182" i="34"/>
  <c r="C171" i="11"/>
  <c r="E172" i="25"/>
  <c r="C50" i="34"/>
  <c r="N39" i="33"/>
  <c r="E40" i="25"/>
  <c r="C39" i="11"/>
  <c r="E293" i="25"/>
  <c r="N292" i="33"/>
  <c r="C303" i="34"/>
  <c r="C292" i="11"/>
  <c r="C30" i="34"/>
  <c r="N19" i="33"/>
  <c r="C19" i="11"/>
  <c r="E20" i="25"/>
  <c r="E313" i="25"/>
  <c r="C312" i="11"/>
  <c r="C323" i="34"/>
  <c r="N312" i="33"/>
  <c r="N91" i="33"/>
  <c r="C91" i="11"/>
  <c r="C102" i="34"/>
  <c r="E92" i="25"/>
  <c r="C208" i="11"/>
  <c r="C219" i="34"/>
  <c r="E209" i="25"/>
  <c r="N208" i="33"/>
  <c r="E176" i="25"/>
  <c r="C186" i="34"/>
  <c r="N175" i="33"/>
  <c r="C175" i="11"/>
  <c r="C300" i="34"/>
  <c r="E290" i="25"/>
  <c r="N289" i="33"/>
  <c r="C289" i="11"/>
  <c r="N128" i="33"/>
  <c r="C139" i="34"/>
  <c r="C128" i="11"/>
  <c r="E129" i="25"/>
  <c r="C125" i="11"/>
  <c r="N125" i="33"/>
  <c r="E126" i="25"/>
  <c r="C136" i="34"/>
  <c r="E200" i="25"/>
  <c r="C210" i="34"/>
  <c r="F10" i="48" s="1"/>
  <c r="N199" i="33"/>
  <c r="C199" i="11"/>
  <c r="C23" i="11"/>
  <c r="N23" i="33"/>
  <c r="E24" i="25"/>
  <c r="C34" i="34"/>
  <c r="E136" i="25"/>
  <c r="N135" i="33"/>
  <c r="C135" i="11"/>
  <c r="C146" i="34"/>
  <c r="C243" i="34"/>
  <c r="E233" i="25"/>
  <c r="C232" i="11"/>
  <c r="N232" i="33"/>
  <c r="E102" i="25"/>
  <c r="C101" i="11"/>
  <c r="N101" i="33"/>
  <c r="C112" i="34"/>
  <c r="E112" i="25"/>
  <c r="N111" i="33"/>
  <c r="C111" i="11"/>
  <c r="C122" i="34"/>
  <c r="N196" i="33"/>
  <c r="C207" i="34"/>
  <c r="C196" i="11"/>
  <c r="E197" i="25"/>
  <c r="C223" i="11"/>
  <c r="C234" i="34"/>
  <c r="E224" i="25"/>
  <c r="N223" i="33"/>
  <c r="C202" i="11"/>
  <c r="C213" i="34"/>
  <c r="N202" i="33"/>
  <c r="E203" i="25"/>
  <c r="N152" i="33"/>
  <c r="C152" i="11"/>
  <c r="E153" i="25"/>
  <c r="C163" i="34"/>
  <c r="N239" i="33"/>
  <c r="E240" i="25"/>
  <c r="C250" i="34"/>
  <c r="C239" i="11"/>
  <c r="E223" i="25"/>
  <c r="N222" i="33"/>
  <c r="C222" i="11"/>
  <c r="C233" i="34"/>
  <c r="C198" i="11"/>
  <c r="E199" i="25"/>
  <c r="C209" i="34"/>
  <c r="N198" i="33"/>
  <c r="C124" i="34"/>
  <c r="N113" i="33"/>
  <c r="C113" i="11"/>
  <c r="E114" i="25"/>
  <c r="C286" i="34"/>
  <c r="N275" i="33"/>
  <c r="E276" i="25"/>
  <c r="C275" i="11"/>
  <c r="N66" i="33"/>
  <c r="C77" i="34"/>
  <c r="E67" i="25"/>
  <c r="C66" i="11"/>
  <c r="N255" i="33"/>
  <c r="C266" i="34"/>
  <c r="E256" i="25"/>
  <c r="C255" i="11"/>
  <c r="E248" i="25"/>
  <c r="N247" i="33"/>
  <c r="C258" i="34"/>
  <c r="C247" i="11"/>
  <c r="C217" i="34"/>
  <c r="C206" i="11"/>
  <c r="E207" i="25"/>
  <c r="N206" i="33"/>
  <c r="N27" i="33"/>
  <c r="C38" i="34"/>
  <c r="E28" i="25"/>
  <c r="C27" i="11"/>
  <c r="N245" i="33"/>
  <c r="C256" i="34"/>
  <c r="E246" i="25"/>
  <c r="C245" i="11"/>
  <c r="E280" i="25"/>
  <c r="C290" i="34"/>
  <c r="N279" i="33"/>
  <c r="C279" i="11"/>
  <c r="E211" i="25"/>
  <c r="N210" i="33"/>
  <c r="C210" i="11"/>
  <c r="C221" i="34"/>
  <c r="E70" i="25"/>
  <c r="C80" i="34"/>
  <c r="C69" i="11"/>
  <c r="N69" i="33"/>
  <c r="C22" i="34"/>
  <c r="N11" i="33"/>
  <c r="E12" i="25"/>
  <c r="C11" i="11"/>
  <c r="C272" i="34"/>
  <c r="C261" i="11"/>
  <c r="N261" i="33"/>
  <c r="E262" i="25"/>
  <c r="E235" i="25"/>
  <c r="C234" i="11"/>
  <c r="C245" i="34"/>
  <c r="N234" i="33"/>
  <c r="C207" i="11"/>
  <c r="N207" i="33"/>
  <c r="E208" i="25"/>
  <c r="C218" i="34"/>
  <c r="E258" i="25"/>
  <c r="N257" i="33"/>
  <c r="C257" i="11"/>
  <c r="C268" i="34"/>
  <c r="C89" i="11"/>
  <c r="N89" i="33"/>
  <c r="C100" i="34"/>
  <c r="E90" i="25"/>
  <c r="N298" i="33"/>
  <c r="C298" i="11"/>
  <c r="E299" i="25"/>
  <c r="C309" i="34"/>
  <c r="C173" i="11"/>
  <c r="N173" i="33"/>
  <c r="C184" i="34"/>
  <c r="E174" i="25"/>
  <c r="E195" i="25"/>
  <c r="C194" i="11"/>
  <c r="N194" i="33"/>
  <c r="C205" i="34"/>
  <c r="C260" i="11"/>
  <c r="C271" i="34"/>
  <c r="E261" i="25"/>
  <c r="N260" i="33"/>
  <c r="C204" i="34"/>
  <c r="N193" i="33"/>
  <c r="E194" i="25"/>
  <c r="C193" i="11"/>
  <c r="N76" i="33"/>
  <c r="E77" i="25"/>
  <c r="C87" i="34"/>
  <c r="C76" i="11"/>
  <c r="N61" i="33"/>
  <c r="E62" i="25"/>
  <c r="C61" i="11"/>
  <c r="C72" i="34"/>
  <c r="E268" i="25"/>
  <c r="C267" i="11"/>
  <c r="N267" i="33"/>
  <c r="C278" i="34"/>
  <c r="C300" i="11"/>
  <c r="C311" i="34"/>
  <c r="E301" i="25"/>
  <c r="N300" i="33"/>
  <c r="E16" i="25"/>
  <c r="N15" i="33"/>
  <c r="C26" i="34"/>
  <c r="C15" i="11"/>
  <c r="E154" i="25"/>
  <c r="C153" i="11"/>
  <c r="N153" i="33"/>
  <c r="C164" i="34"/>
  <c r="N249" i="33"/>
  <c r="C260" i="34"/>
  <c r="E250" i="25"/>
  <c r="C249" i="11"/>
  <c r="E252" i="25"/>
  <c r="C262" i="34"/>
  <c r="C251" i="11"/>
  <c r="N251" i="33"/>
  <c r="C307" i="34"/>
  <c r="N296" i="33"/>
  <c r="C296" i="11"/>
  <c r="E297" i="25"/>
  <c r="N118" i="33"/>
  <c r="E119" i="25"/>
  <c r="C129" i="34"/>
  <c r="C118" i="11"/>
  <c r="C169" i="11"/>
  <c r="C180" i="34"/>
  <c r="E170" i="25"/>
  <c r="N169" i="33"/>
  <c r="C178" i="11"/>
  <c r="N178" i="33"/>
  <c r="E179" i="25"/>
  <c r="C189" i="34"/>
  <c r="N288" i="33"/>
  <c r="C299" i="34"/>
  <c r="E289" i="25"/>
  <c r="C288" i="11"/>
  <c r="E168" i="25"/>
  <c r="N167" i="33"/>
  <c r="C167" i="11"/>
  <c r="C178" i="34"/>
  <c r="E291" i="25"/>
  <c r="C301" i="34"/>
  <c r="N290" i="33"/>
  <c r="C290" i="11"/>
  <c r="C250" i="11"/>
  <c r="N250" i="33"/>
  <c r="E251" i="25"/>
  <c r="C261" i="34"/>
  <c r="C227" i="34"/>
  <c r="E217" i="25"/>
  <c r="C216" i="11"/>
  <c r="N216" i="33"/>
  <c r="C114" i="34"/>
  <c r="C103" i="11"/>
  <c r="E104" i="25"/>
  <c r="N103" i="33"/>
  <c r="C176" i="34"/>
  <c r="N165" i="33"/>
  <c r="C165" i="11"/>
  <c r="E166" i="25"/>
  <c r="N235" i="33"/>
  <c r="E236" i="25"/>
  <c r="C246" i="34"/>
  <c r="C235" i="11"/>
  <c r="C191" i="34"/>
  <c r="E181" i="25"/>
  <c r="C180" i="11"/>
  <c r="N180" i="33"/>
  <c r="C160" i="11"/>
  <c r="E161" i="25"/>
  <c r="C171" i="34"/>
  <c r="N160" i="33"/>
  <c r="C78" i="34"/>
  <c r="C67" i="11"/>
  <c r="N67" i="33"/>
  <c r="E68" i="25"/>
  <c r="N287" i="33"/>
  <c r="C287" i="11"/>
  <c r="C298" i="34"/>
  <c r="E288" i="25"/>
  <c r="N159" i="33"/>
  <c r="C159" i="11"/>
  <c r="C170" i="34"/>
  <c r="E160" i="25"/>
  <c r="E107" i="25"/>
  <c r="N106" i="33"/>
  <c r="C117" i="34"/>
  <c r="C106" i="11"/>
  <c r="N7" i="33"/>
  <c r="E8" i="25"/>
  <c r="C18" i="34"/>
  <c r="C7" i="11"/>
  <c r="C155" i="34"/>
  <c r="C144" i="11"/>
  <c r="E145" i="25"/>
  <c r="N144" i="33"/>
  <c r="C197" i="34"/>
  <c r="N186" i="33"/>
  <c r="E187" i="25"/>
  <c r="C186" i="11"/>
  <c r="C166" i="11"/>
  <c r="N166" i="33"/>
  <c r="E167" i="25"/>
  <c r="C177" i="34"/>
  <c r="C229" i="34"/>
  <c r="N218" i="33"/>
  <c r="E219" i="25"/>
  <c r="C218" i="11"/>
  <c r="N28" i="33"/>
  <c r="C28" i="11"/>
  <c r="C39" i="34"/>
  <c r="E29" i="25"/>
  <c r="N220" i="33"/>
  <c r="C231" i="34"/>
  <c r="E221" i="25"/>
  <c r="C220" i="11"/>
  <c r="C243" i="11"/>
  <c r="E244" i="25"/>
  <c r="C254" i="34"/>
  <c r="N243" i="33"/>
  <c r="E105" i="25"/>
  <c r="N104" i="33"/>
  <c r="C104" i="11"/>
  <c r="C115" i="34"/>
  <c r="E287" i="25"/>
  <c r="C286" i="11"/>
  <c r="C297" i="34"/>
  <c r="N286" i="33"/>
  <c r="C63" i="34"/>
  <c r="E53" i="25"/>
  <c r="N52" i="33"/>
  <c r="C52" i="11"/>
  <c r="C212" i="11"/>
  <c r="N212" i="33"/>
  <c r="C223" i="34"/>
  <c r="E213" i="25"/>
  <c r="E83" i="25"/>
  <c r="N82" i="33"/>
  <c r="C93" i="34"/>
  <c r="C82" i="11"/>
  <c r="C44" i="11"/>
  <c r="E45" i="25"/>
  <c r="N44" i="33"/>
  <c r="C55" i="34"/>
  <c r="E260" i="25"/>
  <c r="C270" i="34"/>
  <c r="N259" i="33"/>
  <c r="C259" i="11"/>
  <c r="N92" i="33"/>
  <c r="E93" i="25"/>
  <c r="C92" i="11"/>
  <c r="C103" i="34"/>
  <c r="E191" i="9" l="1"/>
  <c r="F18" i="48"/>
  <c r="M186" i="49"/>
  <c r="E186" i="25"/>
  <c r="N185" i="33"/>
  <c r="D185" i="37" s="1"/>
  <c r="C185" i="11"/>
  <c r="L185" i="11" s="1"/>
  <c r="M185" i="11" s="1"/>
  <c r="C196" i="34"/>
  <c r="L52" i="11"/>
  <c r="M52" i="11" s="1"/>
  <c r="H52" i="11"/>
  <c r="I52" i="11" s="1"/>
  <c r="H7" i="11"/>
  <c r="I7" i="11" s="1"/>
  <c r="L7" i="11"/>
  <c r="H235" i="11"/>
  <c r="I235" i="11" s="1"/>
  <c r="L235" i="11"/>
  <c r="M235" i="11" s="1"/>
  <c r="H15" i="11"/>
  <c r="I15" i="11" s="1"/>
  <c r="L15" i="11"/>
  <c r="M15" i="11" s="1"/>
  <c r="L76" i="11"/>
  <c r="M76" i="11" s="1"/>
  <c r="H76" i="11"/>
  <c r="I76" i="11" s="1"/>
  <c r="H279" i="11"/>
  <c r="I279" i="11" s="1"/>
  <c r="L279" i="11"/>
  <c r="M279" i="11" s="1"/>
  <c r="L245" i="11"/>
  <c r="M245" i="11" s="1"/>
  <c r="H245" i="11"/>
  <c r="I245" i="11" s="1"/>
  <c r="L27" i="11"/>
  <c r="M27" i="11" s="1"/>
  <c r="H27" i="11"/>
  <c r="I27" i="11" s="1"/>
  <c r="H247" i="11"/>
  <c r="I247" i="11" s="1"/>
  <c r="L247" i="11"/>
  <c r="M247" i="11" s="1"/>
  <c r="H255" i="11"/>
  <c r="I255" i="11" s="1"/>
  <c r="L255" i="11"/>
  <c r="M255" i="11" s="1"/>
  <c r="H275" i="11"/>
  <c r="I275" i="11" s="1"/>
  <c r="L275" i="11"/>
  <c r="M275" i="11" s="1"/>
  <c r="H239" i="11"/>
  <c r="I239" i="11" s="1"/>
  <c r="L239" i="11"/>
  <c r="M239" i="11" s="1"/>
  <c r="H199" i="11"/>
  <c r="I199" i="11" s="1"/>
  <c r="L199" i="11"/>
  <c r="M199" i="11" s="1"/>
  <c r="L289" i="11"/>
  <c r="M289" i="11" s="1"/>
  <c r="H289" i="11"/>
  <c r="I289" i="11" s="1"/>
  <c r="L175" i="11"/>
  <c r="M175" i="11" s="1"/>
  <c r="H175" i="11"/>
  <c r="I175" i="11" s="1"/>
  <c r="L292" i="11"/>
  <c r="M292" i="11" s="1"/>
  <c r="H292" i="11"/>
  <c r="I292" i="11" s="1"/>
  <c r="H39" i="11"/>
  <c r="I39" i="11" s="1"/>
  <c r="L39" i="11"/>
  <c r="M39" i="11" s="1"/>
  <c r="H38" i="11"/>
  <c r="I38" i="11" s="1"/>
  <c r="L38" i="11"/>
  <c r="M38" i="11" s="1"/>
  <c r="L162" i="11"/>
  <c r="M162" i="11" s="1"/>
  <c r="H162" i="11"/>
  <c r="I162" i="11" s="1"/>
  <c r="H51" i="11"/>
  <c r="I51" i="11" s="1"/>
  <c r="L51" i="11"/>
  <c r="M51" i="11" s="1"/>
  <c r="H254" i="11"/>
  <c r="I254" i="11" s="1"/>
  <c r="L254" i="11"/>
  <c r="M254" i="11" s="1"/>
  <c r="L316" i="11"/>
  <c r="M316" i="11" s="1"/>
  <c r="H316" i="11"/>
  <c r="I316" i="11" s="1"/>
  <c r="L146" i="11"/>
  <c r="M146" i="11" s="1"/>
  <c r="H146" i="11"/>
  <c r="I146" i="11" s="1"/>
  <c r="H86" i="11"/>
  <c r="I86" i="11" s="1"/>
  <c r="L86" i="11"/>
  <c r="M86" i="11" s="1"/>
  <c r="L24" i="11"/>
  <c r="M24" i="11" s="1"/>
  <c r="H24" i="11"/>
  <c r="I24" i="11" s="1"/>
  <c r="L308" i="11"/>
  <c r="M308" i="11" s="1"/>
  <c r="H308" i="11"/>
  <c r="I308" i="11" s="1"/>
  <c r="L285" i="11"/>
  <c r="M285" i="11" s="1"/>
  <c r="H285" i="11"/>
  <c r="I285" i="11" s="1"/>
  <c r="L63" i="11"/>
  <c r="M63" i="11" s="1"/>
  <c r="H63" i="11"/>
  <c r="I63" i="11" s="1"/>
  <c r="L74" i="11"/>
  <c r="M74" i="11" s="1"/>
  <c r="H74" i="11"/>
  <c r="I74" i="11" s="1"/>
  <c r="L110" i="11"/>
  <c r="M110" i="11" s="1"/>
  <c r="H110" i="11"/>
  <c r="I110" i="11" s="1"/>
  <c r="H121" i="11"/>
  <c r="I121" i="11" s="1"/>
  <c r="L121" i="11"/>
  <c r="M121" i="11" s="1"/>
  <c r="H107" i="11"/>
  <c r="I107" i="11" s="1"/>
  <c r="L107" i="11"/>
  <c r="M107" i="11" s="1"/>
  <c r="H147" i="11"/>
  <c r="I147" i="11" s="1"/>
  <c r="L147" i="11"/>
  <c r="M147" i="11" s="1"/>
  <c r="L127" i="11"/>
  <c r="M127" i="11" s="1"/>
  <c r="H127" i="11"/>
  <c r="I127" i="11" s="1"/>
  <c r="H183" i="11"/>
  <c r="I183" i="11" s="1"/>
  <c r="L183" i="11"/>
  <c r="M183" i="11" s="1"/>
  <c r="L10" i="11"/>
  <c r="M10" i="11" s="1"/>
  <c r="H10" i="11"/>
  <c r="I10" i="11" s="1"/>
  <c r="L148" i="11"/>
  <c r="M148" i="11" s="1"/>
  <c r="H148" i="11"/>
  <c r="I148" i="11" s="1"/>
  <c r="L53" i="11"/>
  <c r="M53" i="11" s="1"/>
  <c r="H53" i="11"/>
  <c r="I53" i="11" s="1"/>
  <c r="L8" i="11"/>
  <c r="M8" i="11" s="1"/>
  <c r="H8" i="11"/>
  <c r="I8" i="11" s="1"/>
  <c r="L213" i="11"/>
  <c r="M213" i="11" s="1"/>
  <c r="H213" i="11"/>
  <c r="I213" i="11" s="1"/>
  <c r="H43" i="11"/>
  <c r="I43" i="11" s="1"/>
  <c r="L43" i="11"/>
  <c r="M43" i="11" s="1"/>
  <c r="L114" i="11"/>
  <c r="M114" i="11" s="1"/>
  <c r="H114" i="11"/>
  <c r="I114" i="11" s="1"/>
  <c r="H311" i="11"/>
  <c r="I311" i="11" s="1"/>
  <c r="L311" i="11"/>
  <c r="M311" i="11" s="1"/>
  <c r="H21" i="11"/>
  <c r="I21" i="11" s="1"/>
  <c r="L21" i="11"/>
  <c r="M21" i="11" s="1"/>
  <c r="L56" i="11"/>
  <c r="M56" i="11" s="1"/>
  <c r="H56" i="11"/>
  <c r="I56" i="11" s="1"/>
  <c r="L31" i="11"/>
  <c r="M31" i="11" s="1"/>
  <c r="H31" i="11"/>
  <c r="I31" i="11" s="1"/>
  <c r="L265" i="11"/>
  <c r="M265" i="11" s="1"/>
  <c r="H265" i="11"/>
  <c r="I265" i="11" s="1"/>
  <c r="L174" i="11"/>
  <c r="M174" i="11" s="1"/>
  <c r="H174" i="11"/>
  <c r="I174" i="11" s="1"/>
  <c r="H139" i="11"/>
  <c r="I139" i="11" s="1"/>
  <c r="L139" i="11"/>
  <c r="M139" i="11" s="1"/>
  <c r="L109" i="11"/>
  <c r="M109" i="11" s="1"/>
  <c r="H109" i="11"/>
  <c r="I109" i="11" s="1"/>
  <c r="H105" i="11"/>
  <c r="I105" i="11" s="1"/>
  <c r="L105" i="11"/>
  <c r="M105" i="11" s="1"/>
  <c r="L201" i="11"/>
  <c r="M201" i="11" s="1"/>
  <c r="H201" i="11"/>
  <c r="I201" i="11" s="1"/>
  <c r="H99" i="11"/>
  <c r="I99" i="11" s="1"/>
  <c r="L99" i="11"/>
  <c r="M99" i="11" s="1"/>
  <c r="L6" i="11"/>
  <c r="M6" i="11" s="1"/>
  <c r="H6" i="11"/>
  <c r="I6" i="11" s="1"/>
  <c r="L310" i="11"/>
  <c r="M310" i="11" s="1"/>
  <c r="H310" i="11"/>
  <c r="I310" i="11" s="1"/>
  <c r="L95" i="11"/>
  <c r="M95" i="11" s="1"/>
  <c r="H95" i="11"/>
  <c r="I95" i="11" s="1"/>
  <c r="H195" i="11"/>
  <c r="I195" i="11" s="1"/>
  <c r="L195" i="11"/>
  <c r="M195" i="11" s="1"/>
  <c r="H200" i="11"/>
  <c r="I200" i="11" s="1"/>
  <c r="L200" i="11"/>
  <c r="M200" i="11" s="1"/>
  <c r="H211" i="11"/>
  <c r="I211" i="11" s="1"/>
  <c r="L211" i="11"/>
  <c r="M211" i="11" s="1"/>
  <c r="H264" i="11"/>
  <c r="I264" i="11" s="1"/>
  <c r="L264" i="11"/>
  <c r="M264" i="11" s="1"/>
  <c r="H54" i="11"/>
  <c r="I54" i="11" s="1"/>
  <c r="L54" i="11"/>
  <c r="M54" i="11" s="1"/>
  <c r="L317" i="11"/>
  <c r="M317" i="11" s="1"/>
  <c r="H317" i="11"/>
  <c r="I317" i="11" s="1"/>
  <c r="L172" i="11"/>
  <c r="M172" i="11" s="1"/>
  <c r="H172" i="11"/>
  <c r="I172" i="11" s="1"/>
  <c r="L13" i="11"/>
  <c r="M13" i="11" s="1"/>
  <c r="H13" i="11"/>
  <c r="I13" i="11" s="1"/>
  <c r="H262" i="11"/>
  <c r="I262" i="11" s="1"/>
  <c r="L262" i="11"/>
  <c r="M262" i="11" s="1"/>
  <c r="H102" i="11"/>
  <c r="I102" i="11" s="1"/>
  <c r="L102" i="11"/>
  <c r="M102" i="11" s="1"/>
  <c r="H238" i="11"/>
  <c r="I238" i="11" s="1"/>
  <c r="L238" i="11"/>
  <c r="M238" i="11" s="1"/>
  <c r="H219" i="11"/>
  <c r="I219" i="11" s="1"/>
  <c r="L219" i="11"/>
  <c r="M219" i="11" s="1"/>
  <c r="H161" i="11"/>
  <c r="I161" i="11" s="1"/>
  <c r="L161" i="11"/>
  <c r="M161" i="11" s="1"/>
  <c r="H73" i="11"/>
  <c r="I73" i="11" s="1"/>
  <c r="L73" i="11"/>
  <c r="M73" i="11" s="1"/>
  <c r="L192" i="11"/>
  <c r="M192" i="11" s="1"/>
  <c r="H192" i="11"/>
  <c r="I192" i="11" s="1"/>
  <c r="H270" i="11"/>
  <c r="I270" i="11" s="1"/>
  <c r="L270" i="11"/>
  <c r="M270" i="11" s="1"/>
  <c r="L184" i="11"/>
  <c r="M184" i="11" s="1"/>
  <c r="H184" i="11"/>
  <c r="I184" i="11" s="1"/>
  <c r="H266" i="11"/>
  <c r="I266" i="11" s="1"/>
  <c r="L266" i="11"/>
  <c r="M266" i="11" s="1"/>
  <c r="L276" i="11"/>
  <c r="M276" i="11" s="1"/>
  <c r="H276" i="11"/>
  <c r="I276" i="11" s="1"/>
  <c r="H319" i="11"/>
  <c r="I319" i="11" s="1"/>
  <c r="L319" i="11"/>
  <c r="M319" i="11" s="1"/>
  <c r="L122" i="11"/>
  <c r="M122" i="11" s="1"/>
  <c r="H122" i="11"/>
  <c r="I122" i="11" s="1"/>
  <c r="H304" i="11"/>
  <c r="I304" i="11" s="1"/>
  <c r="L304" i="11"/>
  <c r="M304" i="11" s="1"/>
  <c r="L116" i="11"/>
  <c r="M116" i="11" s="1"/>
  <c r="H116" i="11"/>
  <c r="I116" i="11" s="1"/>
  <c r="L17" i="11"/>
  <c r="M17" i="11" s="1"/>
  <c r="H17" i="11"/>
  <c r="I17" i="11" s="1"/>
  <c r="L64" i="11"/>
  <c r="M64" i="11" s="1"/>
  <c r="H64" i="11"/>
  <c r="I64" i="11" s="1"/>
  <c r="L273" i="11"/>
  <c r="M273" i="11" s="1"/>
  <c r="H273" i="11"/>
  <c r="I273" i="11" s="1"/>
  <c r="L236" i="11"/>
  <c r="M236" i="11" s="1"/>
  <c r="H236" i="11"/>
  <c r="I236" i="11" s="1"/>
  <c r="L277" i="11"/>
  <c r="M277" i="11" s="1"/>
  <c r="H277" i="11"/>
  <c r="I277" i="11" s="1"/>
  <c r="H307" i="11"/>
  <c r="I307" i="11" s="1"/>
  <c r="L307" i="11"/>
  <c r="M307" i="11" s="1"/>
  <c r="H177" i="11"/>
  <c r="I177" i="11" s="1"/>
  <c r="L177" i="11"/>
  <c r="M177" i="11" s="1"/>
  <c r="L117" i="11"/>
  <c r="M117" i="11" s="1"/>
  <c r="H117" i="11"/>
  <c r="I117" i="11" s="1"/>
  <c r="L225" i="11"/>
  <c r="M225" i="11" s="1"/>
  <c r="H225" i="11"/>
  <c r="I225" i="11" s="1"/>
  <c r="H87" i="11"/>
  <c r="I87" i="11" s="1"/>
  <c r="L87" i="11"/>
  <c r="M87" i="11" s="1"/>
  <c r="L233" i="11"/>
  <c r="M233" i="11" s="1"/>
  <c r="H233" i="11"/>
  <c r="I233" i="11" s="1"/>
  <c r="L92" i="11"/>
  <c r="M92" i="11" s="1"/>
  <c r="H92" i="11"/>
  <c r="I92" i="11" s="1"/>
  <c r="L104" i="11"/>
  <c r="M104" i="11" s="1"/>
  <c r="H104" i="11"/>
  <c r="I104" i="11" s="1"/>
  <c r="L180" i="11"/>
  <c r="M180" i="11" s="1"/>
  <c r="H180" i="11"/>
  <c r="I180" i="11" s="1"/>
  <c r="L165" i="11"/>
  <c r="M165" i="11" s="1"/>
  <c r="H165" i="11"/>
  <c r="I165" i="11" s="1"/>
  <c r="H216" i="11"/>
  <c r="I216" i="11" s="1"/>
  <c r="L216" i="11"/>
  <c r="M216" i="11" s="1"/>
  <c r="H167" i="11"/>
  <c r="I167" i="11" s="1"/>
  <c r="L167" i="11"/>
  <c r="M167" i="11" s="1"/>
  <c r="H296" i="11"/>
  <c r="I296" i="11" s="1"/>
  <c r="L296" i="11"/>
  <c r="M296" i="11" s="1"/>
  <c r="H251" i="11"/>
  <c r="I251" i="11" s="1"/>
  <c r="L251" i="11"/>
  <c r="M251" i="11" s="1"/>
  <c r="L61" i="11"/>
  <c r="M61" i="11" s="1"/>
  <c r="H61" i="11"/>
  <c r="I61" i="11" s="1"/>
  <c r="L257" i="11"/>
  <c r="M257" i="11" s="1"/>
  <c r="H257" i="11"/>
  <c r="I257" i="11" s="1"/>
  <c r="L69" i="11"/>
  <c r="M69" i="11" s="1"/>
  <c r="H69" i="11"/>
  <c r="I69" i="11" s="1"/>
  <c r="L210" i="11"/>
  <c r="M210" i="11" s="1"/>
  <c r="H210" i="11"/>
  <c r="I210" i="11" s="1"/>
  <c r="H113" i="11"/>
  <c r="I113" i="11" s="1"/>
  <c r="L113" i="11"/>
  <c r="M113" i="11" s="1"/>
  <c r="H222" i="11"/>
  <c r="I222" i="11" s="1"/>
  <c r="L222" i="11"/>
  <c r="M222" i="11" s="1"/>
  <c r="L196" i="11"/>
  <c r="M196" i="11" s="1"/>
  <c r="H196" i="11"/>
  <c r="I196" i="11" s="1"/>
  <c r="L111" i="11"/>
  <c r="M111" i="11" s="1"/>
  <c r="H111" i="11"/>
  <c r="I111" i="11" s="1"/>
  <c r="H232" i="11"/>
  <c r="I232" i="11" s="1"/>
  <c r="L232" i="11"/>
  <c r="M232" i="11" s="1"/>
  <c r="H135" i="11"/>
  <c r="I135" i="11" s="1"/>
  <c r="L135" i="11"/>
  <c r="M135" i="11" s="1"/>
  <c r="L128" i="11"/>
  <c r="M128" i="11" s="1"/>
  <c r="H128" i="11"/>
  <c r="I128" i="11" s="1"/>
  <c r="L19" i="11"/>
  <c r="M19" i="11" s="1"/>
  <c r="H19" i="11"/>
  <c r="I19" i="11" s="1"/>
  <c r="H171" i="11"/>
  <c r="I171" i="11" s="1"/>
  <c r="L171" i="11"/>
  <c r="M171" i="11" s="1"/>
  <c r="L47" i="11"/>
  <c r="M47" i="11" s="1"/>
  <c r="H47" i="11"/>
  <c r="I47" i="11" s="1"/>
  <c r="H322" i="11"/>
  <c r="I322" i="11" s="1"/>
  <c r="L322" i="11"/>
  <c r="M322" i="11" s="1"/>
  <c r="L132" i="11"/>
  <c r="M132" i="11" s="1"/>
  <c r="H132" i="11"/>
  <c r="I132" i="11" s="1"/>
  <c r="L130" i="11"/>
  <c r="M130" i="11" s="1"/>
  <c r="H130" i="11"/>
  <c r="I130" i="11" s="1"/>
  <c r="H227" i="11"/>
  <c r="I227" i="11" s="1"/>
  <c r="L227" i="11"/>
  <c r="M227" i="11" s="1"/>
  <c r="L48" i="11"/>
  <c r="M48" i="11" s="1"/>
  <c r="H48" i="11"/>
  <c r="I48" i="11" s="1"/>
  <c r="L77" i="11"/>
  <c r="M77" i="11" s="1"/>
  <c r="H77" i="11"/>
  <c r="I77" i="11" s="1"/>
  <c r="H263" i="11"/>
  <c r="I263" i="11" s="1"/>
  <c r="L263" i="11"/>
  <c r="M263" i="11" s="1"/>
  <c r="H145" i="11"/>
  <c r="I145" i="11" s="1"/>
  <c r="L145" i="11"/>
  <c r="M145" i="11" s="1"/>
  <c r="L141" i="11"/>
  <c r="M141" i="11" s="1"/>
  <c r="H141" i="11"/>
  <c r="I141" i="11" s="1"/>
  <c r="H59" i="11"/>
  <c r="I59" i="11" s="1"/>
  <c r="L59" i="11"/>
  <c r="M59" i="11" s="1"/>
  <c r="H155" i="11"/>
  <c r="I155" i="11" s="1"/>
  <c r="L155" i="11"/>
  <c r="M155" i="11" s="1"/>
  <c r="H318" i="11"/>
  <c r="I318" i="11" s="1"/>
  <c r="L318" i="11"/>
  <c r="M318" i="11" s="1"/>
  <c r="H115" i="11"/>
  <c r="I115" i="11" s="1"/>
  <c r="L115" i="11"/>
  <c r="M115" i="11" s="1"/>
  <c r="H320" i="11"/>
  <c r="I320" i="11" s="1"/>
  <c r="L320" i="11"/>
  <c r="M320" i="11" s="1"/>
  <c r="L297" i="11"/>
  <c r="M297" i="11" s="1"/>
  <c r="H297" i="11"/>
  <c r="I297" i="11" s="1"/>
  <c r="L228" i="11"/>
  <c r="M228" i="11" s="1"/>
  <c r="H228" i="11"/>
  <c r="I228" i="11" s="1"/>
  <c r="L98" i="11"/>
  <c r="M98" i="11" s="1"/>
  <c r="H98" i="11"/>
  <c r="I98" i="11" s="1"/>
  <c r="L14" i="11"/>
  <c r="M14" i="11" s="1"/>
  <c r="H14" i="11"/>
  <c r="I14" i="11" s="1"/>
  <c r="H187" i="11"/>
  <c r="I187" i="11" s="1"/>
  <c r="L187" i="11"/>
  <c r="M187" i="11" s="1"/>
  <c r="H129" i="11"/>
  <c r="I129" i="11" s="1"/>
  <c r="L129" i="11"/>
  <c r="M129" i="11" s="1"/>
  <c r="L96" i="11"/>
  <c r="M96" i="11" s="1"/>
  <c r="H96" i="11"/>
  <c r="I96" i="11" s="1"/>
  <c r="L188" i="11"/>
  <c r="M188" i="11" s="1"/>
  <c r="H188" i="11"/>
  <c r="I188" i="11" s="1"/>
  <c r="L268" i="11"/>
  <c r="M268" i="11" s="1"/>
  <c r="H268" i="11"/>
  <c r="I268" i="11" s="1"/>
  <c r="L241" i="11"/>
  <c r="M241" i="11" s="1"/>
  <c r="H241" i="11"/>
  <c r="I241" i="11" s="1"/>
  <c r="H280" i="11"/>
  <c r="I280" i="11" s="1"/>
  <c r="L280" i="11"/>
  <c r="M280" i="11" s="1"/>
  <c r="L284" i="11"/>
  <c r="M284" i="11" s="1"/>
  <c r="H284" i="11"/>
  <c r="I284" i="11" s="1"/>
  <c r="L301" i="11"/>
  <c r="M301" i="11" s="1"/>
  <c r="H301" i="11"/>
  <c r="I301" i="11" s="1"/>
  <c r="H291" i="11"/>
  <c r="I291" i="11" s="1"/>
  <c r="L291" i="11"/>
  <c r="M291" i="11" s="1"/>
  <c r="H94" i="11"/>
  <c r="I94" i="11" s="1"/>
  <c r="L94" i="11"/>
  <c r="M94" i="11" s="1"/>
  <c r="L22" i="11"/>
  <c r="M22" i="11" s="1"/>
  <c r="H22" i="11"/>
  <c r="I22" i="11" s="1"/>
  <c r="L154" i="11"/>
  <c r="M154" i="11" s="1"/>
  <c r="H154" i="11"/>
  <c r="I154" i="11" s="1"/>
  <c r="H272" i="11"/>
  <c r="I272" i="11" s="1"/>
  <c r="L272" i="11"/>
  <c r="M272" i="11" s="1"/>
  <c r="L58" i="11"/>
  <c r="M58" i="11" s="1"/>
  <c r="H58" i="11"/>
  <c r="I58" i="11" s="1"/>
  <c r="L143" i="11"/>
  <c r="M143" i="11" s="1"/>
  <c r="H143" i="11"/>
  <c r="I143" i="11" s="1"/>
  <c r="L112" i="11"/>
  <c r="M112" i="11" s="1"/>
  <c r="H112" i="11"/>
  <c r="I112" i="11" s="1"/>
  <c r="L93" i="11"/>
  <c r="M93" i="11" s="1"/>
  <c r="H93" i="11"/>
  <c r="I93" i="11" s="1"/>
  <c r="H240" i="11"/>
  <c r="I240" i="11" s="1"/>
  <c r="L240" i="11"/>
  <c r="M240" i="11" s="1"/>
  <c r="H215" i="11"/>
  <c r="I215" i="11" s="1"/>
  <c r="L215" i="11"/>
  <c r="M215" i="11" s="1"/>
  <c r="H81" i="11"/>
  <c r="I81" i="11" s="1"/>
  <c r="L81" i="11"/>
  <c r="M81" i="11" s="1"/>
  <c r="L79" i="11"/>
  <c r="M79" i="11" s="1"/>
  <c r="H79" i="11"/>
  <c r="I79" i="11" s="1"/>
  <c r="H123" i="11"/>
  <c r="I123" i="11" s="1"/>
  <c r="L123" i="11"/>
  <c r="M123" i="11" s="1"/>
  <c r="H30" i="11"/>
  <c r="I30" i="11" s="1"/>
  <c r="L30" i="11"/>
  <c r="M30" i="11" s="1"/>
  <c r="L204" i="11"/>
  <c r="M204" i="11" s="1"/>
  <c r="H204" i="11"/>
  <c r="I204" i="11" s="1"/>
  <c r="L108" i="11"/>
  <c r="M108" i="11" s="1"/>
  <c r="H108" i="11"/>
  <c r="I108" i="11" s="1"/>
  <c r="L20" i="11"/>
  <c r="M20" i="11" s="1"/>
  <c r="H20" i="11"/>
  <c r="I20" i="11" s="1"/>
  <c r="L293" i="11"/>
  <c r="M293" i="11" s="1"/>
  <c r="H293" i="11"/>
  <c r="I293" i="11" s="1"/>
  <c r="L72" i="11"/>
  <c r="M72" i="11" s="1"/>
  <c r="H72" i="11"/>
  <c r="I72" i="11" s="1"/>
  <c r="L124" i="11"/>
  <c r="M124" i="11" s="1"/>
  <c r="H124" i="11"/>
  <c r="I124" i="11" s="1"/>
  <c r="L88" i="11"/>
  <c r="M88" i="11" s="1"/>
  <c r="H88" i="11"/>
  <c r="I88" i="11" s="1"/>
  <c r="L237" i="11"/>
  <c r="M237" i="11" s="1"/>
  <c r="H237" i="11"/>
  <c r="I237" i="11" s="1"/>
  <c r="L281" i="11"/>
  <c r="M281" i="11" s="1"/>
  <c r="H281" i="11"/>
  <c r="I281" i="11" s="1"/>
  <c r="L50" i="11"/>
  <c r="H50" i="11"/>
  <c r="I50" i="11" s="1"/>
  <c r="L133" i="11"/>
  <c r="M133" i="11" s="1"/>
  <c r="H133" i="11"/>
  <c r="I133" i="11" s="1"/>
  <c r="H248" i="11"/>
  <c r="I248" i="11" s="1"/>
  <c r="L248" i="11"/>
  <c r="M248" i="11" s="1"/>
  <c r="H75" i="11"/>
  <c r="I75" i="11" s="1"/>
  <c r="L75" i="11"/>
  <c r="M75" i="11" s="1"/>
  <c r="L252" i="11"/>
  <c r="M252" i="11" s="1"/>
  <c r="H252" i="11"/>
  <c r="I252" i="11" s="1"/>
  <c r="L294" i="11"/>
  <c r="M294" i="11" s="1"/>
  <c r="H294" i="11"/>
  <c r="I294" i="11" s="1"/>
  <c r="H259" i="11"/>
  <c r="I259" i="11" s="1"/>
  <c r="L259" i="11"/>
  <c r="M259" i="11" s="1"/>
  <c r="L82" i="11"/>
  <c r="M82" i="11" s="1"/>
  <c r="H82" i="11"/>
  <c r="I82" i="11" s="1"/>
  <c r="L220" i="11"/>
  <c r="M220" i="11" s="1"/>
  <c r="H220" i="11"/>
  <c r="I220" i="11" s="1"/>
  <c r="H218" i="11"/>
  <c r="I218" i="11" s="1"/>
  <c r="L218" i="11"/>
  <c r="M218" i="11" s="1"/>
  <c r="L186" i="11"/>
  <c r="M186" i="11" s="1"/>
  <c r="H186" i="11"/>
  <c r="I186" i="11" s="1"/>
  <c r="L106" i="11"/>
  <c r="M106" i="11" s="1"/>
  <c r="H106" i="11"/>
  <c r="I106" i="11" s="1"/>
  <c r="L290" i="11"/>
  <c r="M290" i="11" s="1"/>
  <c r="H290" i="11"/>
  <c r="I290" i="11" s="1"/>
  <c r="H288" i="11"/>
  <c r="I288" i="11" s="1"/>
  <c r="L288" i="11"/>
  <c r="M288" i="11" s="1"/>
  <c r="H118" i="11"/>
  <c r="I118" i="11" s="1"/>
  <c r="L118" i="11"/>
  <c r="M118" i="11" s="1"/>
  <c r="L249" i="11"/>
  <c r="M249" i="11" s="1"/>
  <c r="H249" i="11"/>
  <c r="I249" i="11" s="1"/>
  <c r="H193" i="11"/>
  <c r="I193" i="11" s="1"/>
  <c r="L193" i="11"/>
  <c r="M193" i="11" s="1"/>
  <c r="L11" i="11"/>
  <c r="M11" i="11" s="1"/>
  <c r="H11" i="11"/>
  <c r="I11" i="11" s="1"/>
  <c r="L66" i="11"/>
  <c r="M66" i="11" s="1"/>
  <c r="H66" i="11"/>
  <c r="I66" i="11" s="1"/>
  <c r="H286" i="11"/>
  <c r="I286" i="11" s="1"/>
  <c r="L286" i="11"/>
  <c r="M286" i="11" s="1"/>
  <c r="L28" i="11"/>
  <c r="M28" i="11" s="1"/>
  <c r="H28" i="11"/>
  <c r="I28" i="11" s="1"/>
  <c r="L144" i="11"/>
  <c r="M144" i="11" s="1"/>
  <c r="H144" i="11"/>
  <c r="I144" i="11" s="1"/>
  <c r="L159" i="11"/>
  <c r="M159" i="11" s="1"/>
  <c r="H159" i="11"/>
  <c r="I159" i="11" s="1"/>
  <c r="H287" i="11"/>
  <c r="I287" i="11" s="1"/>
  <c r="L287" i="11"/>
  <c r="M287" i="11" s="1"/>
  <c r="H67" i="11"/>
  <c r="I67" i="11" s="1"/>
  <c r="L67" i="11"/>
  <c r="M67" i="11" s="1"/>
  <c r="H103" i="11"/>
  <c r="I103" i="11" s="1"/>
  <c r="L103" i="11"/>
  <c r="M103" i="11" s="1"/>
  <c r="H153" i="11"/>
  <c r="I153" i="11" s="1"/>
  <c r="L153" i="11"/>
  <c r="M153" i="11" s="1"/>
  <c r="H267" i="11"/>
  <c r="I267" i="11" s="1"/>
  <c r="L267" i="11"/>
  <c r="M267" i="11" s="1"/>
  <c r="L194" i="11"/>
  <c r="M194" i="11" s="1"/>
  <c r="H194" i="11"/>
  <c r="I194" i="11" s="1"/>
  <c r="H298" i="11"/>
  <c r="I298" i="11" s="1"/>
  <c r="L298" i="11"/>
  <c r="M298" i="11" s="1"/>
  <c r="H234" i="11"/>
  <c r="I234" i="11" s="1"/>
  <c r="L234" i="11"/>
  <c r="M234" i="11" s="1"/>
  <c r="L261" i="11"/>
  <c r="M261" i="11" s="1"/>
  <c r="H261" i="11"/>
  <c r="I261" i="11" s="1"/>
  <c r="H206" i="11"/>
  <c r="I206" i="11" s="1"/>
  <c r="L206" i="11"/>
  <c r="M206" i="11" s="1"/>
  <c r="L152" i="11"/>
  <c r="M152" i="11" s="1"/>
  <c r="H152" i="11"/>
  <c r="I152" i="11" s="1"/>
  <c r="L101" i="11"/>
  <c r="M101" i="11" s="1"/>
  <c r="H101" i="11"/>
  <c r="I101" i="11" s="1"/>
  <c r="H91" i="11"/>
  <c r="I91" i="11" s="1"/>
  <c r="L91" i="11"/>
  <c r="M91" i="11" s="1"/>
  <c r="H312" i="11"/>
  <c r="I312" i="11" s="1"/>
  <c r="L312" i="11"/>
  <c r="M312" i="11" s="1"/>
  <c r="H226" i="11"/>
  <c r="I226" i="11" s="1"/>
  <c r="L226" i="11"/>
  <c r="M226" i="11" s="1"/>
  <c r="L170" i="11"/>
  <c r="M170" i="11" s="1"/>
  <c r="H170" i="11"/>
  <c r="I170" i="11" s="1"/>
  <c r="L197" i="11"/>
  <c r="M197" i="11" s="1"/>
  <c r="H197" i="11"/>
  <c r="I197" i="11" s="1"/>
  <c r="H25" i="11"/>
  <c r="I25" i="11" s="1"/>
  <c r="L25" i="11"/>
  <c r="M25" i="11" s="1"/>
  <c r="H231" i="11"/>
  <c r="I231" i="11" s="1"/>
  <c r="L231" i="11"/>
  <c r="M231" i="11" s="1"/>
  <c r="H190" i="11"/>
  <c r="I190" i="11" s="1"/>
  <c r="L190" i="11"/>
  <c r="M190" i="11" s="1"/>
  <c r="L37" i="11"/>
  <c r="M37" i="11" s="1"/>
  <c r="H37" i="11"/>
  <c r="I37" i="11" s="1"/>
  <c r="H258" i="11"/>
  <c r="I258" i="11" s="1"/>
  <c r="L258" i="11"/>
  <c r="M258" i="11" s="1"/>
  <c r="H224" i="11"/>
  <c r="I224" i="11" s="1"/>
  <c r="L224" i="11"/>
  <c r="M224" i="11" s="1"/>
  <c r="L313" i="11"/>
  <c r="M313" i="11" s="1"/>
  <c r="H313" i="11"/>
  <c r="I313" i="11" s="1"/>
  <c r="L156" i="11"/>
  <c r="M156" i="11" s="1"/>
  <c r="H156" i="11"/>
  <c r="I156" i="11" s="1"/>
  <c r="H62" i="11"/>
  <c r="I62" i="11" s="1"/>
  <c r="L62" i="11"/>
  <c r="M62" i="11" s="1"/>
  <c r="H55" i="11"/>
  <c r="I55" i="11" s="1"/>
  <c r="L55" i="11"/>
  <c r="M55" i="11" s="1"/>
  <c r="L138" i="11"/>
  <c r="M138" i="11" s="1"/>
  <c r="H138" i="11"/>
  <c r="I138" i="11" s="1"/>
  <c r="L16" i="11"/>
  <c r="M16" i="11" s="1"/>
  <c r="H16" i="11"/>
  <c r="I16" i="11" s="1"/>
  <c r="H256" i="11"/>
  <c r="I256" i="11" s="1"/>
  <c r="L256" i="11"/>
  <c r="M256" i="11" s="1"/>
  <c r="L26" i="11"/>
  <c r="M26" i="11" s="1"/>
  <c r="H26" i="11"/>
  <c r="I26" i="11" s="1"/>
  <c r="L221" i="11"/>
  <c r="M221" i="11" s="1"/>
  <c r="H221" i="11"/>
  <c r="I221" i="11" s="1"/>
  <c r="L29" i="11"/>
  <c r="M29" i="11" s="1"/>
  <c r="H29" i="11"/>
  <c r="I29" i="11" s="1"/>
  <c r="H150" i="11"/>
  <c r="I150" i="11" s="1"/>
  <c r="L150" i="11"/>
  <c r="M150" i="11" s="1"/>
  <c r="H214" i="11"/>
  <c r="I214" i="11" s="1"/>
  <c r="L214" i="11"/>
  <c r="M214" i="11" s="1"/>
  <c r="L253" i="11"/>
  <c r="M253" i="11" s="1"/>
  <c r="H253" i="11"/>
  <c r="I253" i="11" s="1"/>
  <c r="H182" i="11"/>
  <c r="I182" i="11" s="1"/>
  <c r="L182" i="11"/>
  <c r="M182" i="11" s="1"/>
  <c r="L60" i="11"/>
  <c r="M60" i="11" s="1"/>
  <c r="H60" i="11"/>
  <c r="I60" i="11" s="1"/>
  <c r="H71" i="11"/>
  <c r="I71" i="11" s="1"/>
  <c r="L71" i="11"/>
  <c r="M71" i="11" s="1"/>
  <c r="H314" i="11"/>
  <c r="I314" i="11" s="1"/>
  <c r="L314" i="11"/>
  <c r="M314" i="11" s="1"/>
  <c r="L18" i="11"/>
  <c r="M18" i="11" s="1"/>
  <c r="H18" i="11"/>
  <c r="I18" i="11" s="1"/>
  <c r="L45" i="11"/>
  <c r="M45" i="11" s="1"/>
  <c r="H45" i="11"/>
  <c r="I45" i="11" s="1"/>
  <c r="L140" i="11"/>
  <c r="M140" i="11" s="1"/>
  <c r="H140" i="11"/>
  <c r="I140" i="11" s="1"/>
  <c r="L189" i="11"/>
  <c r="M189" i="11" s="1"/>
  <c r="H189" i="11"/>
  <c r="I189" i="11" s="1"/>
  <c r="H315" i="11"/>
  <c r="I315" i="11" s="1"/>
  <c r="L315" i="11"/>
  <c r="M315" i="11" s="1"/>
  <c r="L78" i="11"/>
  <c r="M78" i="11" s="1"/>
  <c r="H78" i="11"/>
  <c r="I78" i="11" s="1"/>
  <c r="H131" i="11"/>
  <c r="I131" i="11" s="1"/>
  <c r="L131" i="11"/>
  <c r="M131" i="11" s="1"/>
  <c r="L168" i="11"/>
  <c r="M168" i="11" s="1"/>
  <c r="H168" i="11"/>
  <c r="I168" i="11" s="1"/>
  <c r="L34" i="11"/>
  <c r="M34" i="11" s="1"/>
  <c r="H34" i="11"/>
  <c r="I34" i="11" s="1"/>
  <c r="H57" i="11"/>
  <c r="I57" i="11" s="1"/>
  <c r="L57" i="11"/>
  <c r="M57" i="11" s="1"/>
  <c r="H179" i="11"/>
  <c r="I179" i="11" s="1"/>
  <c r="L179" i="11"/>
  <c r="M179" i="11" s="1"/>
  <c r="L80" i="11"/>
  <c r="M80" i="11" s="1"/>
  <c r="H80" i="11"/>
  <c r="I80" i="11" s="1"/>
  <c r="H246" i="11"/>
  <c r="I246" i="11" s="1"/>
  <c r="L246" i="11"/>
  <c r="M246" i="11" s="1"/>
  <c r="H302" i="11"/>
  <c r="I302" i="11" s="1"/>
  <c r="L302" i="11"/>
  <c r="M302" i="11" s="1"/>
  <c r="L191" i="11"/>
  <c r="M191" i="11" s="1"/>
  <c r="H191" i="11"/>
  <c r="I191" i="11" s="1"/>
  <c r="H295" i="11"/>
  <c r="I295" i="11" s="1"/>
  <c r="L295" i="11"/>
  <c r="M295" i="11" s="1"/>
  <c r="H303" i="11"/>
  <c r="I303" i="11" s="1"/>
  <c r="L303" i="11"/>
  <c r="M303" i="11" s="1"/>
  <c r="L149" i="11"/>
  <c r="M149" i="11" s="1"/>
  <c r="H149" i="11"/>
  <c r="I149" i="11" s="1"/>
  <c r="L100" i="11"/>
  <c r="M100" i="11" s="1"/>
  <c r="H100" i="11"/>
  <c r="I100" i="11" s="1"/>
  <c r="L44" i="11"/>
  <c r="H44" i="11"/>
  <c r="I44" i="11" s="1"/>
  <c r="L212" i="11"/>
  <c r="M212" i="11" s="1"/>
  <c r="H212" i="11"/>
  <c r="I212" i="11" s="1"/>
  <c r="H243" i="11"/>
  <c r="I243" i="11" s="1"/>
  <c r="L243" i="11"/>
  <c r="M243" i="11" s="1"/>
  <c r="H166" i="11"/>
  <c r="I166" i="11" s="1"/>
  <c r="L166" i="11"/>
  <c r="M166" i="11" s="1"/>
  <c r="L160" i="11"/>
  <c r="M160" i="11" s="1"/>
  <c r="H160" i="11"/>
  <c r="I160" i="11" s="1"/>
  <c r="H250" i="11"/>
  <c r="I250" i="11" s="1"/>
  <c r="L250" i="11"/>
  <c r="M250" i="11" s="1"/>
  <c r="L178" i="11"/>
  <c r="M178" i="11" s="1"/>
  <c r="H178" i="11"/>
  <c r="I178" i="11" s="1"/>
  <c r="H169" i="11"/>
  <c r="I169" i="11" s="1"/>
  <c r="L169" i="11"/>
  <c r="M169" i="11" s="1"/>
  <c r="L300" i="11"/>
  <c r="M300" i="11" s="1"/>
  <c r="H300" i="11"/>
  <c r="I300" i="11" s="1"/>
  <c r="L260" i="11"/>
  <c r="M260" i="11" s="1"/>
  <c r="H260" i="11"/>
  <c r="I260" i="11" s="1"/>
  <c r="L173" i="11"/>
  <c r="M173" i="11" s="1"/>
  <c r="H173" i="11"/>
  <c r="I173" i="11" s="1"/>
  <c r="H89" i="11"/>
  <c r="I89" i="11" s="1"/>
  <c r="L89" i="11"/>
  <c r="M89" i="11" s="1"/>
  <c r="H207" i="11"/>
  <c r="I207" i="11" s="1"/>
  <c r="L207" i="11"/>
  <c r="M207" i="11" s="1"/>
  <c r="H198" i="11"/>
  <c r="I198" i="11" s="1"/>
  <c r="L198" i="11"/>
  <c r="M198" i="11" s="1"/>
  <c r="H202" i="11"/>
  <c r="I202" i="11" s="1"/>
  <c r="L202" i="11"/>
  <c r="M202" i="11" s="1"/>
  <c r="H223" i="11"/>
  <c r="I223" i="11" s="1"/>
  <c r="L223" i="11"/>
  <c r="M223" i="11" s="1"/>
  <c r="L23" i="11"/>
  <c r="M23" i="11" s="1"/>
  <c r="H23" i="11"/>
  <c r="I23" i="11" s="1"/>
  <c r="L125" i="11"/>
  <c r="M125" i="11" s="1"/>
  <c r="H125" i="11"/>
  <c r="I125" i="11" s="1"/>
  <c r="H208" i="11"/>
  <c r="I208" i="11" s="1"/>
  <c r="L208" i="11"/>
  <c r="M208" i="11" s="1"/>
  <c r="H119" i="11"/>
  <c r="I119" i="11" s="1"/>
  <c r="L119" i="11"/>
  <c r="M119" i="11" s="1"/>
  <c r="L242" i="11"/>
  <c r="M242" i="11" s="1"/>
  <c r="H242" i="11"/>
  <c r="I242" i="11" s="1"/>
  <c r="L181" i="11"/>
  <c r="M181" i="11" s="1"/>
  <c r="H181" i="11"/>
  <c r="I181" i="11" s="1"/>
  <c r="H203" i="11"/>
  <c r="I203" i="11" s="1"/>
  <c r="L203" i="11"/>
  <c r="M203" i="11" s="1"/>
  <c r="L32" i="11"/>
  <c r="M32" i="11" s="1"/>
  <c r="H32" i="11"/>
  <c r="I32" i="11" s="1"/>
  <c r="L46" i="11"/>
  <c r="M46" i="11" s="1"/>
  <c r="H46" i="11"/>
  <c r="I46" i="11" s="1"/>
  <c r="L176" i="11"/>
  <c r="M176" i="11" s="1"/>
  <c r="H176" i="11"/>
  <c r="I176" i="11" s="1"/>
  <c r="L157" i="11"/>
  <c r="M157" i="11" s="1"/>
  <c r="H157" i="11"/>
  <c r="I157" i="11" s="1"/>
  <c r="H230" i="11"/>
  <c r="I230" i="11" s="1"/>
  <c r="L230" i="11"/>
  <c r="M230" i="11" s="1"/>
  <c r="H158" i="11"/>
  <c r="I158" i="11" s="1"/>
  <c r="L158" i="11"/>
  <c r="M158" i="11" s="1"/>
  <c r="L305" i="11"/>
  <c r="M305" i="11" s="1"/>
  <c r="H305" i="11"/>
  <c r="I305" i="11" s="1"/>
  <c r="H70" i="11"/>
  <c r="I70" i="11" s="1"/>
  <c r="L70" i="11"/>
  <c r="M70" i="11" s="1"/>
  <c r="L12" i="11"/>
  <c r="M12" i="11" s="1"/>
  <c r="H12" i="11"/>
  <c r="I12" i="11" s="1"/>
  <c r="H9" i="11"/>
  <c r="I9" i="11" s="1"/>
  <c r="L9" i="11"/>
  <c r="M9" i="11" s="1"/>
  <c r="L40" i="11"/>
  <c r="M40" i="11" s="1"/>
  <c r="H40" i="11"/>
  <c r="I40" i="11" s="1"/>
  <c r="L164" i="11"/>
  <c r="M164" i="11" s="1"/>
  <c r="H164" i="11"/>
  <c r="I164" i="11" s="1"/>
  <c r="L244" i="11"/>
  <c r="M244" i="11" s="1"/>
  <c r="H244" i="11"/>
  <c r="I244" i="11" s="1"/>
  <c r="L68" i="11"/>
  <c r="M68" i="11" s="1"/>
  <c r="H68" i="11"/>
  <c r="I68" i="11" s="1"/>
  <c r="L217" i="11"/>
  <c r="M217" i="11" s="1"/>
  <c r="H217" i="11"/>
  <c r="I217" i="11" s="1"/>
  <c r="L42" i="11"/>
  <c r="M42" i="11" s="1"/>
  <c r="H42" i="11"/>
  <c r="I42" i="11" s="1"/>
  <c r="L229" i="11"/>
  <c r="M229" i="11" s="1"/>
  <c r="H229" i="11"/>
  <c r="I229" i="11" s="1"/>
  <c r="L90" i="11"/>
  <c r="M90" i="11" s="1"/>
  <c r="H90" i="11"/>
  <c r="I90" i="11" s="1"/>
  <c r="H282" i="11"/>
  <c r="I282" i="11" s="1"/>
  <c r="L282" i="11"/>
  <c r="M282" i="11" s="1"/>
  <c r="L209" i="11"/>
  <c r="M209" i="11" s="1"/>
  <c r="H209" i="11"/>
  <c r="I209" i="11" s="1"/>
  <c r="L309" i="11"/>
  <c r="M309" i="11" s="1"/>
  <c r="H309" i="11"/>
  <c r="I309" i="11" s="1"/>
  <c r="H163" i="11"/>
  <c r="I163" i="11" s="1"/>
  <c r="L163" i="11"/>
  <c r="M163" i="11" s="1"/>
  <c r="L269" i="11"/>
  <c r="M269" i="11" s="1"/>
  <c r="H269" i="11"/>
  <c r="I269" i="11" s="1"/>
  <c r="H83" i="11"/>
  <c r="I83" i="11" s="1"/>
  <c r="L83" i="11"/>
  <c r="M83" i="11" s="1"/>
  <c r="H274" i="11"/>
  <c r="I274" i="11" s="1"/>
  <c r="L274" i="11"/>
  <c r="M274" i="11" s="1"/>
  <c r="H97" i="11"/>
  <c r="I97" i="11" s="1"/>
  <c r="L97" i="11"/>
  <c r="M97" i="11" s="1"/>
  <c r="L84" i="11"/>
  <c r="M84" i="11" s="1"/>
  <c r="H84" i="11"/>
  <c r="I84" i="11" s="1"/>
  <c r="H41" i="11"/>
  <c r="I41" i="11" s="1"/>
  <c r="L41" i="11"/>
  <c r="M41" i="11" s="1"/>
  <c r="H33" i="11"/>
  <c r="I33" i="11" s="1"/>
  <c r="L33" i="11"/>
  <c r="M33" i="11" s="1"/>
  <c r="L306" i="11"/>
  <c r="M306" i="11" s="1"/>
  <c r="H306" i="11"/>
  <c r="I306" i="11" s="1"/>
  <c r="H271" i="11"/>
  <c r="I271" i="11" s="1"/>
  <c r="L271" i="11"/>
  <c r="M271" i="11" s="1"/>
  <c r="L205" i="11"/>
  <c r="M205" i="11" s="1"/>
  <c r="H205" i="11"/>
  <c r="I205" i="11" s="1"/>
  <c r="H299" i="11"/>
  <c r="I299" i="11" s="1"/>
  <c r="L299" i="11"/>
  <c r="M299" i="11" s="1"/>
  <c r="H49" i="11"/>
  <c r="I49" i="11" s="1"/>
  <c r="L49" i="11"/>
  <c r="M49" i="11" s="1"/>
  <c r="H283" i="11"/>
  <c r="I283" i="11" s="1"/>
  <c r="L283" i="11"/>
  <c r="M283" i="11" s="1"/>
  <c r="H278" i="11"/>
  <c r="I278" i="11" s="1"/>
  <c r="L278" i="11"/>
  <c r="M278" i="11" s="1"/>
  <c r="H35" i="11"/>
  <c r="I35" i="11" s="1"/>
  <c r="L35" i="11"/>
  <c r="M35" i="11" s="1"/>
  <c r="L85" i="11"/>
  <c r="M85" i="11" s="1"/>
  <c r="H85" i="11"/>
  <c r="I85" i="11" s="1"/>
  <c r="L36" i="11"/>
  <c r="M36" i="11" s="1"/>
  <c r="H36" i="11"/>
  <c r="I36" i="11" s="1"/>
  <c r="H126" i="11"/>
  <c r="I126" i="11" s="1"/>
  <c r="L126" i="11"/>
  <c r="M126" i="11" s="1"/>
  <c r="L120" i="11"/>
  <c r="M120" i="11" s="1"/>
  <c r="H120" i="11"/>
  <c r="I120" i="11" s="1"/>
  <c r="H151" i="11"/>
  <c r="I151" i="11" s="1"/>
  <c r="L151" i="11"/>
  <c r="M151" i="11" s="1"/>
  <c r="L142" i="11"/>
  <c r="M142" i="11" s="1"/>
  <c r="H142" i="11"/>
  <c r="I142" i="11" s="1"/>
  <c r="H137" i="11"/>
  <c r="I137" i="11" s="1"/>
  <c r="L137" i="11"/>
  <c r="M137" i="11" s="1"/>
  <c r="L136" i="11"/>
  <c r="M136" i="11" s="1"/>
  <c r="H136" i="11"/>
  <c r="I136" i="11" s="1"/>
  <c r="H65" i="11"/>
  <c r="I65" i="11" s="1"/>
  <c r="L65" i="11"/>
  <c r="M65" i="11" s="1"/>
  <c r="H134" i="11"/>
  <c r="I134" i="11" s="1"/>
  <c r="L134" i="11"/>
  <c r="M134" i="11" s="1"/>
  <c r="E11" i="9"/>
  <c r="C332" i="34"/>
  <c r="M322" i="49"/>
  <c r="M5" i="33"/>
  <c r="M6" i="49" s="1"/>
  <c r="C321" i="11"/>
  <c r="L323" i="33"/>
  <c r="C6" i="9" s="1"/>
  <c r="C7" i="9" s="1"/>
  <c r="E322" i="25"/>
  <c r="N321" i="33"/>
  <c r="D321" i="37" s="1"/>
  <c r="E327" i="9"/>
  <c r="D82" i="37"/>
  <c r="D212" i="37"/>
  <c r="D286" i="37"/>
  <c r="D104" i="37"/>
  <c r="D243" i="37"/>
  <c r="D218" i="37"/>
  <c r="D166" i="37"/>
  <c r="D186" i="37"/>
  <c r="D144" i="37"/>
  <c r="D106" i="37"/>
  <c r="D160" i="37"/>
  <c r="D180" i="37"/>
  <c r="D165" i="37"/>
  <c r="D103" i="37"/>
  <c r="D216" i="37"/>
  <c r="D250" i="37"/>
  <c r="D167" i="37"/>
  <c r="D178" i="37"/>
  <c r="D169" i="37"/>
  <c r="D296" i="37"/>
  <c r="D251" i="37"/>
  <c r="D15" i="37"/>
  <c r="D300" i="37"/>
  <c r="D193" i="37"/>
  <c r="D260" i="37"/>
  <c r="D173" i="37"/>
  <c r="D89" i="37"/>
  <c r="D257" i="37"/>
  <c r="D207" i="37"/>
  <c r="D234" i="37"/>
  <c r="D11" i="37"/>
  <c r="D69" i="37"/>
  <c r="D210" i="37"/>
  <c r="D206" i="37"/>
  <c r="D247" i="37"/>
  <c r="D275" i="37"/>
  <c r="D113" i="37"/>
  <c r="D198" i="37"/>
  <c r="D222" i="37"/>
  <c r="D223" i="37"/>
  <c r="D111" i="37"/>
  <c r="D232" i="37"/>
  <c r="D135" i="37"/>
  <c r="D23" i="37"/>
  <c r="D128" i="37"/>
  <c r="D289" i="37"/>
  <c r="D175" i="37"/>
  <c r="D91" i="37"/>
  <c r="D171" i="37"/>
  <c r="D322" i="37"/>
  <c r="D226" i="37"/>
  <c r="D242" i="37"/>
  <c r="D197" i="37"/>
  <c r="D162" i="37"/>
  <c r="D254" i="37"/>
  <c r="D316" i="37"/>
  <c r="D86" i="37"/>
  <c r="D24" i="37"/>
  <c r="D46" i="37"/>
  <c r="D308" i="37"/>
  <c r="D285" i="37"/>
  <c r="D63" i="37"/>
  <c r="D74" i="37"/>
  <c r="D190" i="37"/>
  <c r="D263" i="37"/>
  <c r="D37" i="37"/>
  <c r="D176" i="37"/>
  <c r="D145" i="37"/>
  <c r="D258" i="37"/>
  <c r="D121" i="37"/>
  <c r="D157" i="37"/>
  <c r="D59" i="37"/>
  <c r="D155" i="37"/>
  <c r="D158" i="37"/>
  <c r="D115" i="37"/>
  <c r="D320" i="37"/>
  <c r="D224" i="37"/>
  <c r="D98" i="37"/>
  <c r="D14" i="37"/>
  <c r="D70" i="37"/>
  <c r="D313" i="37"/>
  <c r="D12" i="37"/>
  <c r="D55" i="37"/>
  <c r="D148" i="37"/>
  <c r="D9" i="37"/>
  <c r="D53" i="37"/>
  <c r="D8" i="37"/>
  <c r="D213" i="37"/>
  <c r="D114" i="37"/>
  <c r="D21" i="37"/>
  <c r="D138" i="37"/>
  <c r="D31" i="37"/>
  <c r="D16" i="37"/>
  <c r="D256" i="37"/>
  <c r="D26" i="37"/>
  <c r="D221" i="37"/>
  <c r="D29" i="37"/>
  <c r="D174" i="37"/>
  <c r="D150" i="37"/>
  <c r="D214" i="37"/>
  <c r="D253" i="37"/>
  <c r="D109" i="37"/>
  <c r="D105" i="37"/>
  <c r="D201" i="37"/>
  <c r="D182" i="37"/>
  <c r="D99" i="37"/>
  <c r="D6" i="37"/>
  <c r="D310" i="37"/>
  <c r="D60" i="37"/>
  <c r="D71" i="37"/>
  <c r="D95" i="37"/>
  <c r="D314" i="37"/>
  <c r="D18" i="37"/>
  <c r="D301" i="37"/>
  <c r="D45" i="37"/>
  <c r="D140" i="37"/>
  <c r="D189" i="37"/>
  <c r="D264" i="37"/>
  <c r="D315" i="37"/>
  <c r="D13" i="37"/>
  <c r="D262" i="37"/>
  <c r="D102" i="37"/>
  <c r="D219" i="37"/>
  <c r="D229" i="37"/>
  <c r="D78" i="37"/>
  <c r="D161" i="37"/>
  <c r="D272" i="37"/>
  <c r="D131" i="37"/>
  <c r="D73" i="37"/>
  <c r="D274" i="37"/>
  <c r="D192" i="37"/>
  <c r="D93" i="37"/>
  <c r="D270" i="37"/>
  <c r="D168" i="37"/>
  <c r="D215" i="37"/>
  <c r="D266" i="37"/>
  <c r="D276" i="37"/>
  <c r="D81" i="37"/>
  <c r="D57" i="37"/>
  <c r="D30" i="37"/>
  <c r="D319" i="37"/>
  <c r="D179" i="37"/>
  <c r="D33" i="37"/>
  <c r="D122" i="37"/>
  <c r="D304" i="37"/>
  <c r="D116" i="37"/>
  <c r="D271" i="37"/>
  <c r="D64" i="37"/>
  <c r="D124" i="37"/>
  <c r="D80" i="37"/>
  <c r="D283" i="37"/>
  <c r="D177" i="37"/>
  <c r="D302" i="37"/>
  <c r="D191" i="37"/>
  <c r="D117" i="37"/>
  <c r="D237" i="37"/>
  <c r="D295" i="37"/>
  <c r="D85" i="37"/>
  <c r="D303" i="37"/>
  <c r="M50" i="11"/>
  <c r="D50" i="37"/>
  <c r="D133" i="37"/>
  <c r="D120" i="37"/>
  <c r="D151" i="37"/>
  <c r="D142" i="37"/>
  <c r="D149" i="37"/>
  <c r="D100" i="37"/>
  <c r="D65" i="37"/>
  <c r="D92" i="37"/>
  <c r="D259" i="37"/>
  <c r="D44" i="37"/>
  <c r="M44" i="11"/>
  <c r="D52" i="37"/>
  <c r="D220" i="37"/>
  <c r="D28" i="37"/>
  <c r="D7" i="37"/>
  <c r="D159" i="37"/>
  <c r="D287" i="37"/>
  <c r="D67" i="37"/>
  <c r="D235" i="37"/>
  <c r="D290" i="37"/>
  <c r="D288" i="37"/>
  <c r="D118" i="37"/>
  <c r="D249" i="37"/>
  <c r="D153" i="37"/>
  <c r="D267" i="37"/>
  <c r="D61" i="37"/>
  <c r="D76" i="37"/>
  <c r="D194" i="37"/>
  <c r="D298" i="37"/>
  <c r="D261" i="37"/>
  <c r="D279" i="37"/>
  <c r="D245" i="37"/>
  <c r="D27" i="37"/>
  <c r="D255" i="37"/>
  <c r="D66" i="37"/>
  <c r="D239" i="37"/>
  <c r="D152" i="37"/>
  <c r="D202" i="37"/>
  <c r="D196" i="37"/>
  <c r="D101" i="37"/>
  <c r="D199" i="37"/>
  <c r="D125" i="37"/>
  <c r="D208" i="37"/>
  <c r="D312" i="37"/>
  <c r="D19" i="37"/>
  <c r="D292" i="37"/>
  <c r="D39" i="37"/>
  <c r="D47" i="37"/>
  <c r="D38" i="37"/>
  <c r="D119" i="37"/>
  <c r="D132" i="37"/>
  <c r="D170" i="37"/>
  <c r="D181" i="37"/>
  <c r="D130" i="37"/>
  <c r="D51" i="37"/>
  <c r="D227" i="37"/>
  <c r="D25" i="37"/>
  <c r="D48" i="37"/>
  <c r="D203" i="37"/>
  <c r="D32" i="37"/>
  <c r="D146" i="37"/>
  <c r="D77" i="37"/>
  <c r="D231" i="37"/>
  <c r="D110" i="37"/>
  <c r="D141" i="37"/>
  <c r="D107" i="37"/>
  <c r="D147" i="37"/>
  <c r="D230" i="37"/>
  <c r="D318" i="37"/>
  <c r="D127" i="37"/>
  <c r="D297" i="37"/>
  <c r="D228" i="37"/>
  <c r="D183" i="37"/>
  <c r="D10" i="37"/>
  <c r="D305" i="37"/>
  <c r="D187" i="37"/>
  <c r="D129" i="37"/>
  <c r="D156" i="37"/>
  <c r="D62" i="37"/>
  <c r="D43" i="37"/>
  <c r="D311" i="37"/>
  <c r="D56" i="37"/>
  <c r="D96" i="37"/>
  <c r="D40" i="37"/>
  <c r="D164" i="37"/>
  <c r="D244" i="37"/>
  <c r="D265" i="37"/>
  <c r="D68" i="37"/>
  <c r="D188" i="37"/>
  <c r="D217" i="37"/>
  <c r="D268" i="37"/>
  <c r="D241" i="37"/>
  <c r="D139" i="37"/>
  <c r="D280" i="37"/>
  <c r="D42" i="37"/>
  <c r="D195" i="37"/>
  <c r="D284" i="37"/>
  <c r="D200" i="37"/>
  <c r="D291" i="37"/>
  <c r="D94" i="37"/>
  <c r="D211" i="37"/>
  <c r="D22" i="37"/>
  <c r="D54" i="37"/>
  <c r="D317" i="37"/>
  <c r="D172" i="37"/>
  <c r="D154" i="37"/>
  <c r="D238" i="37"/>
  <c r="D90" i="37"/>
  <c r="D282" i="37"/>
  <c r="D209" i="37"/>
  <c r="D58" i="37"/>
  <c r="D309" i="37"/>
  <c r="D143" i="37"/>
  <c r="D163" i="37"/>
  <c r="D269" i="37"/>
  <c r="D83" i="37"/>
  <c r="D112" i="37"/>
  <c r="D240" i="37"/>
  <c r="D34" i="37"/>
  <c r="D184" i="37"/>
  <c r="D97" i="37"/>
  <c r="D84" i="37"/>
  <c r="D79" i="37"/>
  <c r="D41" i="37"/>
  <c r="D123" i="37"/>
  <c r="D204" i="37"/>
  <c r="D306" i="37"/>
  <c r="D108" i="37"/>
  <c r="D20" i="37"/>
  <c r="D293" i="37"/>
  <c r="D17" i="37"/>
  <c r="D205" i="37"/>
  <c r="D72" i="37"/>
  <c r="D273" i="37"/>
  <c r="D236" i="37"/>
  <c r="D277" i="37"/>
  <c r="D299" i="37"/>
  <c r="D49" i="37"/>
  <c r="D307" i="37"/>
  <c r="D246" i="37"/>
  <c r="D88" i="37"/>
  <c r="D278" i="37"/>
  <c r="D35" i="37"/>
  <c r="D281" i="37"/>
  <c r="D36" i="37"/>
  <c r="D126" i="37"/>
  <c r="D225" i="37"/>
  <c r="D248" i="37"/>
  <c r="D75" i="37"/>
  <c r="D252" i="37"/>
  <c r="D137" i="37"/>
  <c r="D294" i="37"/>
  <c r="D87" i="37"/>
  <c r="D233" i="37"/>
  <c r="D136" i="37"/>
  <c r="D134" i="37"/>
  <c r="H185" i="11" l="1"/>
  <c r="I185" i="11" s="1"/>
  <c r="L321" i="11"/>
  <c r="M321" i="11" s="1"/>
  <c r="H321" i="11"/>
  <c r="I321" i="11" s="1"/>
  <c r="E329" i="9"/>
  <c r="M323" i="33"/>
  <c r="N323" i="33" s="1"/>
  <c r="C16" i="34"/>
  <c r="C334" i="34" s="1"/>
  <c r="F15" i="34" s="1"/>
  <c r="N5" i="33"/>
  <c r="C5" i="11"/>
  <c r="E6" i="25"/>
  <c r="E324" i="25" s="1"/>
  <c r="M7" i="11"/>
  <c r="O294" i="33" l="1"/>
  <c r="O5" i="33"/>
  <c r="H5" i="11"/>
  <c r="L5" i="11"/>
  <c r="M324" i="49"/>
  <c r="N5" i="49" s="1"/>
  <c r="O141" i="33"/>
  <c r="O13" i="33"/>
  <c r="O138" i="33"/>
  <c r="O173" i="33"/>
  <c r="O243" i="33"/>
  <c r="O248" i="33"/>
  <c r="O192" i="33"/>
  <c r="O211" i="33"/>
  <c r="O320" i="33"/>
  <c r="O209" i="33"/>
  <c r="O149" i="33"/>
  <c r="O247" i="33"/>
  <c r="O130" i="33"/>
  <c r="O30" i="33"/>
  <c r="O32" i="33"/>
  <c r="O218" i="33"/>
  <c r="O222" i="33"/>
  <c r="O142" i="33"/>
  <c r="O197" i="33"/>
  <c r="O137" i="33"/>
  <c r="O235" i="33"/>
  <c r="O160" i="33"/>
  <c r="O21" i="33"/>
  <c r="O259" i="33"/>
  <c r="O34" i="33"/>
  <c r="O196" i="33"/>
  <c r="O154" i="33"/>
  <c r="O115" i="33"/>
  <c r="O257" i="33"/>
  <c r="O103" i="33"/>
  <c r="O24" i="33"/>
  <c r="O99" i="33"/>
  <c r="O57" i="33"/>
  <c r="O298" i="33"/>
  <c r="O228" i="33"/>
  <c r="O41" i="33"/>
  <c r="O60" i="33"/>
  <c r="O311" i="33"/>
  <c r="O95" i="33"/>
  <c r="O114" i="33"/>
  <c r="O187" i="33"/>
  <c r="O40" i="33"/>
  <c r="O69" i="33"/>
  <c r="O193" i="33"/>
  <c r="O190" i="33"/>
  <c r="O140" i="33"/>
  <c r="O237" i="33"/>
  <c r="O255" i="33"/>
  <c r="O244" i="33"/>
  <c r="O126" i="33"/>
  <c r="O215" i="33"/>
  <c r="O42" i="33"/>
  <c r="O61" i="33"/>
  <c r="O85" i="33"/>
  <c r="O36" i="33"/>
  <c r="O165" i="33"/>
  <c r="O82" i="33"/>
  <c r="O251" i="33"/>
  <c r="O111" i="33"/>
  <c r="O53" i="33"/>
  <c r="O315" i="33"/>
  <c r="O321" i="33"/>
  <c r="O76" i="33"/>
  <c r="O51" i="33"/>
  <c r="O268" i="33"/>
  <c r="O281" i="33"/>
  <c r="O29" i="33"/>
  <c r="O304" i="33"/>
  <c r="O84" i="33"/>
  <c r="O81" i="33"/>
  <c r="O322" i="33"/>
  <c r="O38" i="33"/>
  <c r="O258" i="33"/>
  <c r="O155" i="33"/>
  <c r="O178" i="33"/>
  <c r="O223" i="33"/>
  <c r="O180" i="33"/>
  <c r="O89" i="33"/>
  <c r="O171" i="33"/>
  <c r="O70" i="33"/>
  <c r="O310" i="33"/>
  <c r="O274" i="33"/>
  <c r="O177" i="33"/>
  <c r="O52" i="33"/>
  <c r="O292" i="33"/>
  <c r="O127" i="33"/>
  <c r="O200" i="33"/>
  <c r="O307" i="33"/>
  <c r="O46" i="33"/>
  <c r="O314" i="33"/>
  <c r="O27" i="33"/>
  <c r="O163" i="33"/>
  <c r="O74" i="33"/>
  <c r="O239" i="33"/>
  <c r="O8" i="33"/>
  <c r="O153" i="33"/>
  <c r="O236" i="33"/>
  <c r="O291" i="33"/>
  <c r="O55" i="33"/>
  <c r="O212" i="33"/>
  <c r="O300" i="33"/>
  <c r="O210" i="33"/>
  <c r="O186" i="33"/>
  <c r="O167" i="33"/>
  <c r="O206" i="33"/>
  <c r="O135" i="33"/>
  <c r="O157" i="33"/>
  <c r="O213" i="33"/>
  <c r="O18" i="33"/>
  <c r="O73" i="33"/>
  <c r="O319" i="33"/>
  <c r="O295" i="33"/>
  <c r="O288" i="33"/>
  <c r="O312" i="33"/>
  <c r="O231" i="33"/>
  <c r="O56" i="33"/>
  <c r="O317" i="33"/>
  <c r="O306" i="33"/>
  <c r="O233" i="33"/>
  <c r="O26" i="33"/>
  <c r="O264" i="33"/>
  <c r="O120" i="33"/>
  <c r="O68" i="33"/>
  <c r="O79" i="33"/>
  <c r="O98" i="33"/>
  <c r="O66" i="33"/>
  <c r="O88" i="33"/>
  <c r="O283" i="33"/>
  <c r="O267" i="33"/>
  <c r="O139" i="33"/>
  <c r="O117" i="33"/>
  <c r="O245" i="33"/>
  <c r="O129" i="33"/>
  <c r="O286" i="33"/>
  <c r="O169" i="33"/>
  <c r="O234" i="33"/>
  <c r="O232" i="33"/>
  <c r="O144" i="33"/>
  <c r="O250" i="33"/>
  <c r="O260" i="33"/>
  <c r="O113" i="33"/>
  <c r="D323" i="37"/>
  <c r="E25" i="37" s="1"/>
  <c r="F25" i="37" s="1"/>
  <c r="I25" i="37" s="1"/>
  <c r="G36" i="34" s="1"/>
  <c r="H36" i="34" s="1"/>
  <c r="O176" i="33"/>
  <c r="O12" i="33"/>
  <c r="O174" i="33"/>
  <c r="O301" i="33"/>
  <c r="O229" i="33"/>
  <c r="O266" i="33"/>
  <c r="O64" i="33"/>
  <c r="O50" i="33"/>
  <c r="O290" i="33"/>
  <c r="O261" i="33"/>
  <c r="O39" i="33"/>
  <c r="O110" i="33"/>
  <c r="O156" i="33"/>
  <c r="O284" i="33"/>
  <c r="O143" i="33"/>
  <c r="O20" i="33"/>
  <c r="O252" i="33"/>
  <c r="O148" i="33"/>
  <c r="O185" i="33"/>
  <c r="O272" i="33"/>
  <c r="O124" i="33"/>
  <c r="O47" i="33"/>
  <c r="O22" i="33"/>
  <c r="O278" i="33"/>
  <c r="O37" i="33"/>
  <c r="O302" i="33"/>
  <c r="O96" i="33"/>
  <c r="O91" i="33"/>
  <c r="O262" i="33"/>
  <c r="O220" i="33"/>
  <c r="O227" i="33"/>
  <c r="O205" i="33"/>
  <c r="O80" i="33"/>
  <c r="O226" i="33"/>
  <c r="O188" i="33"/>
  <c r="O7" i="33"/>
  <c r="D5" i="34"/>
  <c r="O58" i="33"/>
  <c r="O293" i="33"/>
  <c r="O308" i="33"/>
  <c r="O253" i="33"/>
  <c r="O65" i="33"/>
  <c r="O297" i="33"/>
  <c r="O299" i="33"/>
  <c r="O242" i="33"/>
  <c r="O168" i="33"/>
  <c r="O100" i="33"/>
  <c r="O199" i="33"/>
  <c r="O10" i="33"/>
  <c r="O72" i="33"/>
  <c r="O150" i="33"/>
  <c r="O43" i="33"/>
  <c r="O249" i="33"/>
  <c r="O309" i="33"/>
  <c r="O263" i="33"/>
  <c r="E4" i="9"/>
  <c r="D4" i="9" s="1"/>
  <c r="O25" i="33"/>
  <c r="O318" i="33"/>
  <c r="O62" i="33"/>
  <c r="O241" i="33"/>
  <c r="O238" i="33"/>
  <c r="O97" i="33"/>
  <c r="O17" i="33"/>
  <c r="O75" i="33"/>
  <c r="O254" i="33"/>
  <c r="O31" i="33"/>
  <c r="O182" i="33"/>
  <c r="O161" i="33"/>
  <c r="O33" i="33"/>
  <c r="O279" i="33"/>
  <c r="O119" i="33"/>
  <c r="O195" i="33"/>
  <c r="O240" i="33"/>
  <c r="O277" i="33"/>
  <c r="O128" i="33"/>
  <c r="O224" i="33"/>
  <c r="O276" i="33"/>
  <c r="O92" i="33"/>
  <c r="O230" i="33"/>
  <c r="O54" i="33"/>
  <c r="O87" i="33"/>
  <c r="O14" i="33"/>
  <c r="O219" i="33"/>
  <c r="O303" i="33"/>
  <c r="O67" i="33"/>
  <c r="O125" i="33"/>
  <c r="O77" i="33"/>
  <c r="O184" i="33"/>
  <c r="O246" i="33"/>
  <c r="O105" i="33"/>
  <c r="O107" i="33"/>
  <c r="O63" i="33"/>
  <c r="O152" i="33"/>
  <c r="O59" i="33"/>
  <c r="O108" i="33"/>
  <c r="O166" i="33"/>
  <c r="O296" i="33"/>
  <c r="O207" i="33"/>
  <c r="O275" i="33"/>
  <c r="O104" i="33"/>
  <c r="O106" i="33"/>
  <c r="O216" i="33"/>
  <c r="O15" i="33"/>
  <c r="O11" i="33"/>
  <c r="O198" i="33"/>
  <c r="O23" i="33"/>
  <c r="O285" i="33"/>
  <c r="O158" i="33"/>
  <c r="O9" i="33"/>
  <c r="O256" i="33"/>
  <c r="O71" i="33"/>
  <c r="O189" i="33"/>
  <c r="O78" i="33"/>
  <c r="O93" i="33"/>
  <c r="O271" i="33"/>
  <c r="O191" i="33"/>
  <c r="O133" i="33"/>
  <c r="O287" i="33"/>
  <c r="O194" i="33"/>
  <c r="O208" i="33"/>
  <c r="O132" i="33"/>
  <c r="O48" i="33"/>
  <c r="O147" i="33"/>
  <c r="O305" i="33"/>
  <c r="O164" i="33"/>
  <c r="O280" i="33"/>
  <c r="O172" i="33"/>
  <c r="O269" i="33"/>
  <c r="O204" i="33"/>
  <c r="O49" i="33"/>
  <c r="O225" i="33"/>
  <c r="O134" i="33"/>
  <c r="O313" i="33"/>
  <c r="O16" i="33"/>
  <c r="O109" i="33"/>
  <c r="O45" i="33"/>
  <c r="O131" i="33"/>
  <c r="O122" i="33"/>
  <c r="O44" i="33"/>
  <c r="O101" i="33"/>
  <c r="O265" i="33"/>
  <c r="O94" i="33"/>
  <c r="O83" i="33"/>
  <c r="O123" i="33"/>
  <c r="O35" i="33"/>
  <c r="O86" i="33"/>
  <c r="O121" i="33"/>
  <c r="O6" i="33"/>
  <c r="O179" i="33"/>
  <c r="O118" i="33"/>
  <c r="O181" i="33"/>
  <c r="O217" i="33"/>
  <c r="O112" i="33"/>
  <c r="O175" i="33"/>
  <c r="O145" i="33"/>
  <c r="O214" i="33"/>
  <c r="O116" i="33"/>
  <c r="O151" i="33"/>
  <c r="O159" i="33"/>
  <c r="O202" i="33"/>
  <c r="O170" i="33"/>
  <c r="O183" i="33"/>
  <c r="O282" i="33"/>
  <c r="O273" i="33"/>
  <c r="O136" i="33"/>
  <c r="O201" i="33"/>
  <c r="O146" i="33"/>
  <c r="O90" i="33"/>
  <c r="O270" i="33"/>
  <c r="O203" i="33"/>
  <c r="O316" i="33"/>
  <c r="O19" i="33"/>
  <c r="O28" i="33"/>
  <c r="G36" i="40"/>
  <c r="G38" i="40" s="1"/>
  <c r="O221" i="33"/>
  <c r="O162" i="33"/>
  <c r="O102" i="33"/>
  <c r="O289" i="33"/>
  <c r="D8" i="34"/>
  <c r="D6" i="34"/>
  <c r="C323" i="11"/>
  <c r="D5" i="37"/>
  <c r="N8" i="49" l="1"/>
  <c r="N7" i="49"/>
  <c r="N6" i="49"/>
  <c r="N105" i="49"/>
  <c r="O105" i="49" s="1"/>
  <c r="E17" i="37"/>
  <c r="F17" i="37" s="1"/>
  <c r="I17" i="37" s="1"/>
  <c r="G28" i="34" s="1"/>
  <c r="H28" i="34" s="1"/>
  <c r="E162" i="37"/>
  <c r="F162" i="37" s="1"/>
  <c r="I162" i="37" s="1"/>
  <c r="G173" i="34" s="1"/>
  <c r="H173" i="34" s="1"/>
  <c r="E225" i="37"/>
  <c r="F225" i="37" s="1"/>
  <c r="I225" i="37" s="1"/>
  <c r="G236" i="34" s="1"/>
  <c r="H236" i="34" s="1"/>
  <c r="E239" i="37"/>
  <c r="F239" i="37" s="1"/>
  <c r="I239" i="37" s="1"/>
  <c r="G250" i="34" s="1"/>
  <c r="H250" i="34" s="1"/>
  <c r="E190" i="37"/>
  <c r="F190" i="37" s="1"/>
  <c r="I190" i="37" s="1"/>
  <c r="G201" i="34" s="1"/>
  <c r="H201" i="34" s="1"/>
  <c r="E126" i="37"/>
  <c r="F126" i="37" s="1"/>
  <c r="I126" i="37" s="1"/>
  <c r="G137" i="34" s="1"/>
  <c r="H137" i="34" s="1"/>
  <c r="E219" i="37"/>
  <c r="F219" i="37" s="1"/>
  <c r="I219" i="37" s="1"/>
  <c r="G230" i="34" s="1"/>
  <c r="H230" i="34" s="1"/>
  <c r="E15" i="37"/>
  <c r="F15" i="37" s="1"/>
  <c r="I15" i="37" s="1"/>
  <c r="G26" i="34" s="1"/>
  <c r="H26" i="34" s="1"/>
  <c r="E111" i="37"/>
  <c r="F111" i="37" s="1"/>
  <c r="I111" i="37" s="1"/>
  <c r="G122" i="34" s="1"/>
  <c r="H122" i="34" s="1"/>
  <c r="E321" i="37"/>
  <c r="F321" i="37" s="1"/>
  <c r="I321" i="37" s="1"/>
  <c r="G332" i="34" s="1"/>
  <c r="H332" i="34" s="1"/>
  <c r="E50" i="37"/>
  <c r="F50" i="37" s="1"/>
  <c r="I50" i="37" s="1"/>
  <c r="G61" i="34" s="1"/>
  <c r="H61" i="34" s="1"/>
  <c r="E291" i="37"/>
  <c r="F291" i="37" s="1"/>
  <c r="I291" i="37" s="1"/>
  <c r="G302" i="34" s="1"/>
  <c r="H302" i="34" s="1"/>
  <c r="E68" i="37"/>
  <c r="F68" i="37" s="1"/>
  <c r="I68" i="37" s="1"/>
  <c r="G79" i="34" s="1"/>
  <c r="H79" i="34" s="1"/>
  <c r="E149" i="37"/>
  <c r="F149" i="37" s="1"/>
  <c r="I149" i="37" s="1"/>
  <c r="G160" i="34" s="1"/>
  <c r="H160" i="34" s="1"/>
  <c r="E154" i="37"/>
  <c r="F154" i="37" s="1"/>
  <c r="I154" i="37" s="1"/>
  <c r="G165" i="34" s="1"/>
  <c r="H165" i="34" s="1"/>
  <c r="E263" i="37"/>
  <c r="F263" i="37" s="1"/>
  <c r="I263" i="37" s="1"/>
  <c r="G274" i="34" s="1"/>
  <c r="H274" i="34" s="1"/>
  <c r="E131" i="37"/>
  <c r="F131" i="37" s="1"/>
  <c r="I131" i="37" s="1"/>
  <c r="G142" i="34" s="1"/>
  <c r="H142" i="34" s="1"/>
  <c r="E97" i="37"/>
  <c r="F97" i="37" s="1"/>
  <c r="I97" i="37" s="1"/>
  <c r="G108" i="34" s="1"/>
  <c r="H108" i="34" s="1"/>
  <c r="E308" i="37"/>
  <c r="F308" i="37" s="1"/>
  <c r="I308" i="37" s="1"/>
  <c r="G319" i="34" s="1"/>
  <c r="H319" i="34" s="1"/>
  <c r="E48" i="37"/>
  <c r="F48" i="37" s="1"/>
  <c r="I48" i="37" s="1"/>
  <c r="G59" i="34" s="1"/>
  <c r="H59" i="34" s="1"/>
  <c r="E127" i="37"/>
  <c r="F127" i="37" s="1"/>
  <c r="I127" i="37" s="1"/>
  <c r="G138" i="34" s="1"/>
  <c r="H138" i="34" s="1"/>
  <c r="E231" i="37"/>
  <c r="F231" i="37" s="1"/>
  <c r="I231" i="37" s="1"/>
  <c r="G242" i="34" s="1"/>
  <c r="H242" i="34" s="1"/>
  <c r="E278" i="37"/>
  <c r="F278" i="37" s="1"/>
  <c r="I278" i="37" s="1"/>
  <c r="G289" i="34" s="1"/>
  <c r="H289" i="34" s="1"/>
  <c r="E43" i="37"/>
  <c r="F43" i="37" s="1"/>
  <c r="I43" i="37" s="1"/>
  <c r="G54" i="34" s="1"/>
  <c r="H54" i="34" s="1"/>
  <c r="E213" i="37"/>
  <c r="F213" i="37" s="1"/>
  <c r="I213" i="37" s="1"/>
  <c r="G224" i="34" s="1"/>
  <c r="H224" i="34" s="1"/>
  <c r="E45" i="37"/>
  <c r="F45" i="37" s="1"/>
  <c r="I45" i="37" s="1"/>
  <c r="G56" i="34" s="1"/>
  <c r="H56" i="34" s="1"/>
  <c r="E29" i="37"/>
  <c r="F29" i="37" s="1"/>
  <c r="I29" i="37" s="1"/>
  <c r="G40" i="34" s="1"/>
  <c r="H40" i="34" s="1"/>
  <c r="E180" i="37"/>
  <c r="F180" i="37" s="1"/>
  <c r="I180" i="37" s="1"/>
  <c r="G191" i="34" s="1"/>
  <c r="H191" i="34" s="1"/>
  <c r="E275" i="37"/>
  <c r="F275" i="37" s="1"/>
  <c r="I275" i="37" s="1"/>
  <c r="G286" i="34" s="1"/>
  <c r="H286" i="34" s="1"/>
  <c r="E316" i="37"/>
  <c r="F316" i="37" s="1"/>
  <c r="I316" i="37" s="1"/>
  <c r="G327" i="34" s="1"/>
  <c r="H327" i="34" s="1"/>
  <c r="E84" i="37"/>
  <c r="F84" i="37" s="1"/>
  <c r="I84" i="37" s="1"/>
  <c r="G95" i="34" s="1"/>
  <c r="H95" i="34" s="1"/>
  <c r="E203" i="37"/>
  <c r="F203" i="37" s="1"/>
  <c r="I203" i="37" s="1"/>
  <c r="G214" i="34" s="1"/>
  <c r="H214" i="34" s="1"/>
  <c r="E269" i="37"/>
  <c r="F269" i="37" s="1"/>
  <c r="I269" i="37" s="1"/>
  <c r="G280" i="34" s="1"/>
  <c r="H280" i="34" s="1"/>
  <c r="E109" i="37"/>
  <c r="F109" i="37" s="1"/>
  <c r="I109" i="37" s="1"/>
  <c r="G120" i="34" s="1"/>
  <c r="H120" i="34" s="1"/>
  <c r="E106" i="37"/>
  <c r="F106" i="37" s="1"/>
  <c r="I106" i="37" s="1"/>
  <c r="G117" i="34" s="1"/>
  <c r="H117" i="34" s="1"/>
  <c r="E250" i="37"/>
  <c r="F250" i="37" s="1"/>
  <c r="I250" i="37" s="1"/>
  <c r="G261" i="34" s="1"/>
  <c r="H261" i="34" s="1"/>
  <c r="E72" i="37"/>
  <c r="F72" i="37" s="1"/>
  <c r="I72" i="37" s="1"/>
  <c r="G83" i="34" s="1"/>
  <c r="H83" i="34" s="1"/>
  <c r="E216" i="37"/>
  <c r="F216" i="37" s="1"/>
  <c r="I216" i="37" s="1"/>
  <c r="G227" i="34" s="1"/>
  <c r="H227" i="34" s="1"/>
  <c r="E6" i="37"/>
  <c r="F6" i="37" s="1"/>
  <c r="I6" i="37" s="1"/>
  <c r="G17" i="34" s="1"/>
  <c r="H17" i="34" s="1"/>
  <c r="E178" i="37"/>
  <c r="F178" i="37" s="1"/>
  <c r="I178" i="37" s="1"/>
  <c r="G189" i="34" s="1"/>
  <c r="H189" i="34" s="1"/>
  <c r="E304" i="37"/>
  <c r="F304" i="37" s="1"/>
  <c r="I304" i="37" s="1"/>
  <c r="G315" i="34" s="1"/>
  <c r="H315" i="34" s="1"/>
  <c r="E150" i="37"/>
  <c r="F150" i="37" s="1"/>
  <c r="I150" i="37" s="1"/>
  <c r="G161" i="34" s="1"/>
  <c r="H161" i="34" s="1"/>
  <c r="E277" i="37"/>
  <c r="F277" i="37" s="1"/>
  <c r="I277" i="37" s="1"/>
  <c r="G288" i="34" s="1"/>
  <c r="H288" i="34" s="1"/>
  <c r="E173" i="37"/>
  <c r="F173" i="37" s="1"/>
  <c r="I173" i="37" s="1"/>
  <c r="G184" i="34" s="1"/>
  <c r="H184" i="34" s="1"/>
  <c r="E53" i="37"/>
  <c r="F53" i="37" s="1"/>
  <c r="I53" i="37" s="1"/>
  <c r="G64" i="34" s="1"/>
  <c r="H64" i="34" s="1"/>
  <c r="E62" i="37"/>
  <c r="F62" i="37" s="1"/>
  <c r="I62" i="37" s="1"/>
  <c r="G73" i="34" s="1"/>
  <c r="H73" i="34" s="1"/>
  <c r="E292" i="37"/>
  <c r="F292" i="37" s="1"/>
  <c r="I292" i="37" s="1"/>
  <c r="G303" i="34" s="1"/>
  <c r="H303" i="34" s="1"/>
  <c r="E207" i="37"/>
  <c r="F207" i="37" s="1"/>
  <c r="I207" i="37" s="1"/>
  <c r="G218" i="34" s="1"/>
  <c r="H218" i="34" s="1"/>
  <c r="E136" i="37"/>
  <c r="F136" i="37" s="1"/>
  <c r="I136" i="37" s="1"/>
  <c r="G147" i="34" s="1"/>
  <c r="H147" i="34" s="1"/>
  <c r="E30" i="37"/>
  <c r="F30" i="37" s="1"/>
  <c r="I30" i="37" s="1"/>
  <c r="G41" i="34" s="1"/>
  <c r="H41" i="34" s="1"/>
  <c r="E248" i="37"/>
  <c r="F248" i="37" s="1"/>
  <c r="I248" i="37" s="1"/>
  <c r="G259" i="34" s="1"/>
  <c r="H259" i="34" s="1"/>
  <c r="E174" i="37"/>
  <c r="F174" i="37" s="1"/>
  <c r="I174" i="37" s="1"/>
  <c r="G185" i="34" s="1"/>
  <c r="H185" i="34" s="1"/>
  <c r="E87" i="37"/>
  <c r="F87" i="37" s="1"/>
  <c r="I87" i="37" s="1"/>
  <c r="G98" i="34" s="1"/>
  <c r="H98" i="34" s="1"/>
  <c r="E290" i="37"/>
  <c r="F290" i="37" s="1"/>
  <c r="I290" i="37" s="1"/>
  <c r="G301" i="34" s="1"/>
  <c r="H301" i="34" s="1"/>
  <c r="E220" i="37"/>
  <c r="F220" i="37" s="1"/>
  <c r="I220" i="37" s="1"/>
  <c r="G231" i="34" s="1"/>
  <c r="H231" i="34" s="1"/>
  <c r="E146" i="37"/>
  <c r="F146" i="37" s="1"/>
  <c r="I146" i="37" s="1"/>
  <c r="G157" i="34" s="1"/>
  <c r="H157" i="34" s="1"/>
  <c r="E7" i="37"/>
  <c r="F7" i="37" s="1"/>
  <c r="I7" i="37" s="1"/>
  <c r="G18" i="34" s="1"/>
  <c r="H18" i="34" s="1"/>
  <c r="E262" i="37"/>
  <c r="F262" i="37" s="1"/>
  <c r="I262" i="37" s="1"/>
  <c r="G273" i="34" s="1"/>
  <c r="H273" i="34" s="1"/>
  <c r="E192" i="37"/>
  <c r="F192" i="37" s="1"/>
  <c r="I192" i="37" s="1"/>
  <c r="G203" i="34" s="1"/>
  <c r="H203" i="34" s="1"/>
  <c r="E91" i="37"/>
  <c r="F91" i="37" s="1"/>
  <c r="I91" i="37" s="1"/>
  <c r="G102" i="34" s="1"/>
  <c r="H102" i="34" s="1"/>
  <c r="E309" i="37"/>
  <c r="F309" i="37" s="1"/>
  <c r="I309" i="37" s="1"/>
  <c r="G320" i="34" s="1"/>
  <c r="H320" i="34" s="1"/>
  <c r="E257" i="37"/>
  <c r="F257" i="37" s="1"/>
  <c r="I257" i="37" s="1"/>
  <c r="G268" i="34" s="1"/>
  <c r="H268" i="34" s="1"/>
  <c r="E193" i="37"/>
  <c r="F193" i="37" s="1"/>
  <c r="I193" i="37" s="1"/>
  <c r="G204" i="34" s="1"/>
  <c r="H204" i="34" s="1"/>
  <c r="E141" i="37"/>
  <c r="F141" i="37" s="1"/>
  <c r="I141" i="37" s="1"/>
  <c r="G152" i="34" s="1"/>
  <c r="H152" i="34" s="1"/>
  <c r="E85" i="37"/>
  <c r="F85" i="37" s="1"/>
  <c r="I85" i="37" s="1"/>
  <c r="G96" i="34" s="1"/>
  <c r="H96" i="34" s="1"/>
  <c r="E24" i="37"/>
  <c r="F24" i="37" s="1"/>
  <c r="I24" i="37" s="1"/>
  <c r="G35" i="34" s="1"/>
  <c r="H35" i="34" s="1"/>
  <c r="E94" i="37"/>
  <c r="F94" i="37" s="1"/>
  <c r="I94" i="37" s="1"/>
  <c r="G105" i="34" s="1"/>
  <c r="H105" i="34" s="1"/>
  <c r="E42" i="37"/>
  <c r="F42" i="37" s="1"/>
  <c r="I42" i="37" s="1"/>
  <c r="G53" i="34" s="1"/>
  <c r="H53" i="34" s="1"/>
  <c r="E266" i="37"/>
  <c r="F266" i="37" s="1"/>
  <c r="I266" i="37" s="1"/>
  <c r="G277" i="34" s="1"/>
  <c r="H277" i="34" s="1"/>
  <c r="E196" i="37"/>
  <c r="F196" i="37" s="1"/>
  <c r="I196" i="37" s="1"/>
  <c r="G207" i="34" s="1"/>
  <c r="H207" i="34" s="1"/>
  <c r="E112" i="37"/>
  <c r="F112" i="37" s="1"/>
  <c r="I112" i="37" s="1"/>
  <c r="G123" i="34" s="1"/>
  <c r="H123" i="34" s="1"/>
  <c r="E302" i="37"/>
  <c r="F302" i="37" s="1"/>
  <c r="I302" i="37" s="1"/>
  <c r="G313" i="34" s="1"/>
  <c r="H313" i="34" s="1"/>
  <c r="E232" i="37"/>
  <c r="F232" i="37" s="1"/>
  <c r="I232" i="37" s="1"/>
  <c r="G243" i="34" s="1"/>
  <c r="H243" i="34" s="1"/>
  <c r="E163" i="37"/>
  <c r="F163" i="37" s="1"/>
  <c r="I163" i="37" s="1"/>
  <c r="G174" i="34" s="1"/>
  <c r="H174" i="34" s="1"/>
  <c r="E47" i="37"/>
  <c r="F47" i="37" s="1"/>
  <c r="I47" i="37" s="1"/>
  <c r="G58" i="34" s="1"/>
  <c r="H58" i="34" s="1"/>
  <c r="E274" i="37"/>
  <c r="F274" i="37" s="1"/>
  <c r="I274" i="37" s="1"/>
  <c r="G285" i="34" s="1"/>
  <c r="H285" i="34" s="1"/>
  <c r="E204" i="37"/>
  <c r="F204" i="37" s="1"/>
  <c r="I204" i="37" s="1"/>
  <c r="G215" i="34" s="1"/>
  <c r="H215" i="34" s="1"/>
  <c r="E108" i="37"/>
  <c r="F108" i="37" s="1"/>
  <c r="I108" i="37" s="1"/>
  <c r="G119" i="34" s="1"/>
  <c r="H119" i="34" s="1"/>
  <c r="E320" i="37"/>
  <c r="F320" i="37" s="1"/>
  <c r="I320" i="37" s="1"/>
  <c r="G331" i="34" s="1"/>
  <c r="H331" i="34" s="1"/>
  <c r="E246" i="37"/>
  <c r="F246" i="37" s="1"/>
  <c r="I246" i="37" s="1"/>
  <c r="G257" i="34" s="1"/>
  <c r="H257" i="34" s="1"/>
  <c r="E160" i="37"/>
  <c r="F160" i="37" s="1"/>
  <c r="I160" i="37" s="1"/>
  <c r="G171" i="34" s="1"/>
  <c r="H171" i="34" s="1"/>
  <c r="E67" i="37"/>
  <c r="F67" i="37" s="1"/>
  <c r="I67" i="37" s="1"/>
  <c r="G78" i="34" s="1"/>
  <c r="H78" i="34" s="1"/>
  <c r="E301" i="37"/>
  <c r="F301" i="37" s="1"/>
  <c r="I301" i="37" s="1"/>
  <c r="G312" i="34" s="1"/>
  <c r="H312" i="34" s="1"/>
  <c r="E237" i="37"/>
  <c r="F237" i="37" s="1"/>
  <c r="I237" i="37" s="1"/>
  <c r="G248" i="34" s="1"/>
  <c r="H248" i="34" s="1"/>
  <c r="E181" i="37"/>
  <c r="F181" i="37" s="1"/>
  <c r="I181" i="37" s="1"/>
  <c r="G192" i="34" s="1"/>
  <c r="H192" i="34" s="1"/>
  <c r="E129" i="37"/>
  <c r="F129" i="37" s="1"/>
  <c r="I129" i="37" s="1"/>
  <c r="G140" i="34" s="1"/>
  <c r="H140" i="34" s="1"/>
  <c r="E65" i="37"/>
  <c r="F65" i="37" s="1"/>
  <c r="I65" i="37" s="1"/>
  <c r="G76" i="34" s="1"/>
  <c r="H76" i="34" s="1"/>
  <c r="E138" i="37"/>
  <c r="F138" i="37" s="1"/>
  <c r="I138" i="37" s="1"/>
  <c r="G149" i="34" s="1"/>
  <c r="H149" i="34" s="1"/>
  <c r="E82" i="37"/>
  <c r="F82" i="37" s="1"/>
  <c r="I82" i="37" s="1"/>
  <c r="G93" i="34" s="1"/>
  <c r="H93" i="34" s="1"/>
  <c r="E37" i="37"/>
  <c r="F37" i="37" s="1"/>
  <c r="I37" i="37" s="1"/>
  <c r="G48" i="34" s="1"/>
  <c r="H48" i="34" s="1"/>
  <c r="E282" i="37"/>
  <c r="F282" i="37" s="1"/>
  <c r="I282" i="37" s="1"/>
  <c r="G293" i="34" s="1"/>
  <c r="H293" i="34" s="1"/>
  <c r="E223" i="37"/>
  <c r="F223" i="37" s="1"/>
  <c r="I223" i="37" s="1"/>
  <c r="G234" i="34" s="1"/>
  <c r="H234" i="34" s="1"/>
  <c r="E164" i="37"/>
  <c r="F164" i="37" s="1"/>
  <c r="I164" i="37" s="1"/>
  <c r="G175" i="34" s="1"/>
  <c r="H175" i="34" s="1"/>
  <c r="E96" i="37"/>
  <c r="F96" i="37" s="1"/>
  <c r="I96" i="37" s="1"/>
  <c r="G107" i="34" s="1"/>
  <c r="H107" i="34" s="1"/>
  <c r="E318" i="37"/>
  <c r="F318" i="37" s="1"/>
  <c r="I318" i="37" s="1"/>
  <c r="G329" i="34" s="1"/>
  <c r="H329" i="34" s="1"/>
  <c r="E259" i="37"/>
  <c r="F259" i="37" s="1"/>
  <c r="I259" i="37" s="1"/>
  <c r="G270" i="34" s="1"/>
  <c r="H270" i="34" s="1"/>
  <c r="E206" i="37"/>
  <c r="F206" i="37" s="1"/>
  <c r="I206" i="37" s="1"/>
  <c r="G217" i="34" s="1"/>
  <c r="H217" i="34" s="1"/>
  <c r="E147" i="37"/>
  <c r="F147" i="37" s="1"/>
  <c r="I147" i="37" s="1"/>
  <c r="G158" i="34" s="1"/>
  <c r="H158" i="34" s="1"/>
  <c r="E63" i="37"/>
  <c r="F63" i="37" s="1"/>
  <c r="I63" i="37" s="1"/>
  <c r="G74" i="34" s="1"/>
  <c r="H74" i="34" s="1"/>
  <c r="E306" i="37"/>
  <c r="F306" i="37" s="1"/>
  <c r="I306" i="37" s="1"/>
  <c r="G317" i="34" s="1"/>
  <c r="H317" i="34" s="1"/>
  <c r="E247" i="37"/>
  <c r="F247" i="37" s="1"/>
  <c r="I247" i="37" s="1"/>
  <c r="G258" i="34" s="1"/>
  <c r="H258" i="34" s="1"/>
  <c r="E188" i="37"/>
  <c r="F188" i="37" s="1"/>
  <c r="I188" i="37" s="1"/>
  <c r="G199" i="34" s="1"/>
  <c r="H199" i="34" s="1"/>
  <c r="E132" i="37"/>
  <c r="F132" i="37" s="1"/>
  <c r="I132" i="37" s="1"/>
  <c r="G143" i="34" s="1"/>
  <c r="H143" i="34" s="1"/>
  <c r="E44" i="37"/>
  <c r="F44" i="37" s="1"/>
  <c r="I44" i="37" s="1"/>
  <c r="G55" i="34" s="1"/>
  <c r="H55" i="34" s="1"/>
  <c r="E288" i="37"/>
  <c r="F288" i="37" s="1"/>
  <c r="I288" i="37" s="1"/>
  <c r="G299" i="34" s="1"/>
  <c r="H299" i="34" s="1"/>
  <c r="E235" i="37"/>
  <c r="F235" i="37" s="1"/>
  <c r="I235" i="37" s="1"/>
  <c r="G246" i="34" s="1"/>
  <c r="H246" i="34" s="1"/>
  <c r="E176" i="37"/>
  <c r="F176" i="37" s="1"/>
  <c r="I176" i="37" s="1"/>
  <c r="G187" i="34" s="1"/>
  <c r="H187" i="34" s="1"/>
  <c r="E107" i="37"/>
  <c r="F107" i="37" s="1"/>
  <c r="I107" i="37" s="1"/>
  <c r="G118" i="34" s="1"/>
  <c r="H118" i="34" s="1"/>
  <c r="E18" i="37"/>
  <c r="F18" i="37" s="1"/>
  <c r="I18" i="37" s="1"/>
  <c r="G29" i="34" s="1"/>
  <c r="H29" i="34" s="1"/>
  <c r="E289" i="37"/>
  <c r="F289" i="37" s="1"/>
  <c r="I289" i="37" s="1"/>
  <c r="G300" i="34" s="1"/>
  <c r="H300" i="34" s="1"/>
  <c r="E245" i="37"/>
  <c r="F245" i="37" s="1"/>
  <c r="I245" i="37" s="1"/>
  <c r="G256" i="34" s="1"/>
  <c r="H256" i="34" s="1"/>
  <c r="E205" i="37"/>
  <c r="F205" i="37" s="1"/>
  <c r="I205" i="37" s="1"/>
  <c r="G216" i="34" s="1"/>
  <c r="H216" i="34" s="1"/>
  <c r="E161" i="37"/>
  <c r="F161" i="37" s="1"/>
  <c r="I161" i="37" s="1"/>
  <c r="G172" i="34" s="1"/>
  <c r="H172" i="34" s="1"/>
  <c r="E117" i="37"/>
  <c r="F117" i="37" s="1"/>
  <c r="I117" i="37" s="1"/>
  <c r="G128" i="34" s="1"/>
  <c r="H128" i="34" s="1"/>
  <c r="E77" i="37"/>
  <c r="F77" i="37" s="1"/>
  <c r="I77" i="37" s="1"/>
  <c r="G88" i="34" s="1"/>
  <c r="H88" i="34" s="1"/>
  <c r="E31" i="37"/>
  <c r="F31" i="37" s="1"/>
  <c r="I31" i="37" s="1"/>
  <c r="G42" i="34" s="1"/>
  <c r="H42" i="34" s="1"/>
  <c r="E114" i="37"/>
  <c r="F114" i="37" s="1"/>
  <c r="I114" i="37" s="1"/>
  <c r="G125" i="34" s="1"/>
  <c r="H125" i="34" s="1"/>
  <c r="E74" i="37"/>
  <c r="F74" i="37" s="1"/>
  <c r="I74" i="37" s="1"/>
  <c r="G85" i="34" s="1"/>
  <c r="H85" i="34" s="1"/>
  <c r="E27" i="37"/>
  <c r="F27" i="37" s="1"/>
  <c r="I27" i="37" s="1"/>
  <c r="G38" i="34" s="1"/>
  <c r="H38" i="34" s="1"/>
  <c r="E314" i="37"/>
  <c r="F314" i="37" s="1"/>
  <c r="I314" i="37" s="1"/>
  <c r="G325" i="34" s="1"/>
  <c r="H325" i="34" s="1"/>
  <c r="E287" i="37"/>
  <c r="F287" i="37" s="1"/>
  <c r="I287" i="37" s="1"/>
  <c r="G298" i="34" s="1"/>
  <c r="H298" i="34" s="1"/>
  <c r="E260" i="37"/>
  <c r="F260" i="37" s="1"/>
  <c r="I260" i="37" s="1"/>
  <c r="G271" i="34" s="1"/>
  <c r="H271" i="34" s="1"/>
  <c r="E228" i="37"/>
  <c r="F228" i="37" s="1"/>
  <c r="I228" i="37" s="1"/>
  <c r="G239" i="34" s="1"/>
  <c r="H239" i="34" s="1"/>
  <c r="E202" i="37"/>
  <c r="F202" i="37" s="1"/>
  <c r="I202" i="37" s="1"/>
  <c r="G213" i="34" s="1"/>
  <c r="H213" i="34" s="1"/>
  <c r="E175" i="37"/>
  <c r="F175" i="37" s="1"/>
  <c r="I175" i="37" s="1"/>
  <c r="G186" i="34" s="1"/>
  <c r="H186" i="34" s="1"/>
  <c r="E143" i="37"/>
  <c r="F143" i="37" s="1"/>
  <c r="I143" i="37" s="1"/>
  <c r="G154" i="34" s="1"/>
  <c r="H154" i="34" s="1"/>
  <c r="E104" i="37"/>
  <c r="F104" i="37" s="1"/>
  <c r="I104" i="37" s="1"/>
  <c r="G115" i="34" s="1"/>
  <c r="H115" i="34" s="1"/>
  <c r="E64" i="37"/>
  <c r="F64" i="37" s="1"/>
  <c r="I64" i="37" s="1"/>
  <c r="G75" i="34" s="1"/>
  <c r="H75" i="34" s="1"/>
  <c r="E14" i="37"/>
  <c r="F14" i="37" s="1"/>
  <c r="I14" i="37" s="1"/>
  <c r="G25" i="34" s="1"/>
  <c r="H25" i="34" s="1"/>
  <c r="E296" i="37"/>
  <c r="F296" i="37" s="1"/>
  <c r="I296" i="37" s="1"/>
  <c r="G307" i="34" s="1"/>
  <c r="H307" i="34" s="1"/>
  <c r="E270" i="37"/>
  <c r="F270" i="37" s="1"/>
  <c r="I270" i="37" s="1"/>
  <c r="G281" i="34" s="1"/>
  <c r="H281" i="34" s="1"/>
  <c r="E238" i="37"/>
  <c r="F238" i="37" s="1"/>
  <c r="I238" i="37" s="1"/>
  <c r="G249" i="34" s="1"/>
  <c r="H249" i="34" s="1"/>
  <c r="E211" i="37"/>
  <c r="F211" i="37" s="1"/>
  <c r="I211" i="37" s="1"/>
  <c r="G222" i="34" s="1"/>
  <c r="H222" i="34" s="1"/>
  <c r="E184" i="37"/>
  <c r="F184" i="37" s="1"/>
  <c r="I184" i="37" s="1"/>
  <c r="G195" i="34" s="1"/>
  <c r="H195" i="34" s="1"/>
  <c r="E152" i="37"/>
  <c r="F152" i="37" s="1"/>
  <c r="I152" i="37" s="1"/>
  <c r="G163" i="34" s="1"/>
  <c r="H163" i="34" s="1"/>
  <c r="E119" i="37"/>
  <c r="F119" i="37" s="1"/>
  <c r="I119" i="37" s="1"/>
  <c r="G130" i="34" s="1"/>
  <c r="H130" i="34" s="1"/>
  <c r="E79" i="37"/>
  <c r="F79" i="37" s="1"/>
  <c r="I79" i="37" s="1"/>
  <c r="G90" i="34" s="1"/>
  <c r="H90" i="34" s="1"/>
  <c r="E28" i="37"/>
  <c r="F28" i="37" s="1"/>
  <c r="I28" i="37" s="1"/>
  <c r="G39" i="34" s="1"/>
  <c r="H39" i="34" s="1"/>
  <c r="E311" i="37"/>
  <c r="F311" i="37" s="1"/>
  <c r="I311" i="37" s="1"/>
  <c r="G322" i="34" s="1"/>
  <c r="H322" i="34" s="1"/>
  <c r="E284" i="37"/>
  <c r="F284" i="37" s="1"/>
  <c r="I284" i="37" s="1"/>
  <c r="G295" i="34" s="1"/>
  <c r="H295" i="34" s="1"/>
  <c r="E252" i="37"/>
  <c r="F252" i="37" s="1"/>
  <c r="I252" i="37" s="1"/>
  <c r="G263" i="34" s="1"/>
  <c r="H263" i="34" s="1"/>
  <c r="E226" i="37"/>
  <c r="F226" i="37" s="1"/>
  <c r="I226" i="37" s="1"/>
  <c r="G237" i="34" s="1"/>
  <c r="H237" i="34" s="1"/>
  <c r="E199" i="37"/>
  <c r="F199" i="37" s="1"/>
  <c r="I199" i="37" s="1"/>
  <c r="G210" i="34" s="1"/>
  <c r="H210" i="34" s="1"/>
  <c r="E167" i="37"/>
  <c r="F167" i="37" s="1"/>
  <c r="I167" i="37" s="1"/>
  <c r="G178" i="34" s="1"/>
  <c r="H178" i="34" s="1"/>
  <c r="E140" i="37"/>
  <c r="F140" i="37" s="1"/>
  <c r="I140" i="37" s="1"/>
  <c r="G151" i="34" s="1"/>
  <c r="H151" i="34" s="1"/>
  <c r="E100" i="37"/>
  <c r="F100" i="37" s="1"/>
  <c r="I100" i="37" s="1"/>
  <c r="G111" i="34" s="1"/>
  <c r="H111" i="34" s="1"/>
  <c r="E52" i="37"/>
  <c r="F52" i="37" s="1"/>
  <c r="I52" i="37" s="1"/>
  <c r="G63" i="34" s="1"/>
  <c r="H63" i="34" s="1"/>
  <c r="E11" i="37"/>
  <c r="F11" i="37" s="1"/>
  <c r="I11" i="37" s="1"/>
  <c r="G22" i="34" s="1"/>
  <c r="H22" i="34" s="1"/>
  <c r="E299" i="37"/>
  <c r="F299" i="37" s="1"/>
  <c r="I299" i="37" s="1"/>
  <c r="G310" i="34" s="1"/>
  <c r="H310" i="34" s="1"/>
  <c r="E267" i="37"/>
  <c r="F267" i="37" s="1"/>
  <c r="I267" i="37" s="1"/>
  <c r="G278" i="34" s="1"/>
  <c r="H278" i="34" s="1"/>
  <c r="E240" i="37"/>
  <c r="F240" i="37" s="1"/>
  <c r="I240" i="37" s="1"/>
  <c r="G251" i="34" s="1"/>
  <c r="H251" i="34" s="1"/>
  <c r="E214" i="37"/>
  <c r="F214" i="37" s="1"/>
  <c r="I214" i="37" s="1"/>
  <c r="G225" i="34" s="1"/>
  <c r="H225" i="34" s="1"/>
  <c r="E182" i="37"/>
  <c r="F182" i="37" s="1"/>
  <c r="I182" i="37" s="1"/>
  <c r="G193" i="34" s="1"/>
  <c r="H193" i="34" s="1"/>
  <c r="E155" i="37"/>
  <c r="F155" i="37" s="1"/>
  <c r="I155" i="37" s="1"/>
  <c r="G166" i="34" s="1"/>
  <c r="H166" i="34" s="1"/>
  <c r="E123" i="37"/>
  <c r="F123" i="37" s="1"/>
  <c r="I123" i="37" s="1"/>
  <c r="G134" i="34" s="1"/>
  <c r="H134" i="34" s="1"/>
  <c r="E75" i="37"/>
  <c r="F75" i="37" s="1"/>
  <c r="I75" i="37" s="1"/>
  <c r="G86" i="34" s="1"/>
  <c r="H86" i="34" s="1"/>
  <c r="E34" i="37"/>
  <c r="F34" i="37" s="1"/>
  <c r="I34" i="37" s="1"/>
  <c r="G45" i="34" s="1"/>
  <c r="H45" i="34" s="1"/>
  <c r="E317" i="37"/>
  <c r="F317" i="37" s="1"/>
  <c r="I317" i="37" s="1"/>
  <c r="G328" i="34" s="1"/>
  <c r="H328" i="34" s="1"/>
  <c r="E293" i="37"/>
  <c r="F293" i="37" s="1"/>
  <c r="I293" i="37" s="1"/>
  <c r="G304" i="34" s="1"/>
  <c r="H304" i="34" s="1"/>
  <c r="E273" i="37"/>
  <c r="F273" i="37" s="1"/>
  <c r="I273" i="37" s="1"/>
  <c r="G284" i="34" s="1"/>
  <c r="H284" i="34" s="1"/>
  <c r="E253" i="37"/>
  <c r="F253" i="37" s="1"/>
  <c r="I253" i="37" s="1"/>
  <c r="G264" i="34" s="1"/>
  <c r="H264" i="34" s="1"/>
  <c r="E229" i="37"/>
  <c r="F229" i="37" s="1"/>
  <c r="I229" i="37" s="1"/>
  <c r="G240" i="34" s="1"/>
  <c r="H240" i="34" s="1"/>
  <c r="E209" i="37"/>
  <c r="F209" i="37" s="1"/>
  <c r="I209" i="37" s="1"/>
  <c r="G220" i="34" s="1"/>
  <c r="H220" i="34" s="1"/>
  <c r="E189" i="37"/>
  <c r="F189" i="37" s="1"/>
  <c r="I189" i="37" s="1"/>
  <c r="G200" i="34" s="1"/>
  <c r="H200" i="34" s="1"/>
  <c r="E165" i="37"/>
  <c r="F165" i="37" s="1"/>
  <c r="I165" i="37" s="1"/>
  <c r="G176" i="34" s="1"/>
  <c r="H176" i="34" s="1"/>
  <c r="E145" i="37"/>
  <c r="F145" i="37" s="1"/>
  <c r="I145" i="37" s="1"/>
  <c r="G156" i="34" s="1"/>
  <c r="H156" i="34" s="1"/>
  <c r="E125" i="37"/>
  <c r="F125" i="37" s="1"/>
  <c r="I125" i="37" s="1"/>
  <c r="G136" i="34" s="1"/>
  <c r="H136" i="34" s="1"/>
  <c r="E101" i="37"/>
  <c r="F101" i="37" s="1"/>
  <c r="I101" i="37" s="1"/>
  <c r="G112" i="34" s="1"/>
  <c r="H112" i="34" s="1"/>
  <c r="E81" i="37"/>
  <c r="F81" i="37" s="1"/>
  <c r="I81" i="37" s="1"/>
  <c r="G92" i="34" s="1"/>
  <c r="H92" i="34" s="1"/>
  <c r="E61" i="37"/>
  <c r="F61" i="37" s="1"/>
  <c r="I61" i="37" s="1"/>
  <c r="G72" i="34" s="1"/>
  <c r="H72" i="34" s="1"/>
  <c r="E36" i="37"/>
  <c r="F36" i="37" s="1"/>
  <c r="I36" i="37" s="1"/>
  <c r="G47" i="34" s="1"/>
  <c r="H47" i="34" s="1"/>
  <c r="E19" i="37"/>
  <c r="F19" i="37" s="1"/>
  <c r="I19" i="37" s="1"/>
  <c r="G30" i="34" s="1"/>
  <c r="H30" i="34" s="1"/>
  <c r="E122" i="37"/>
  <c r="F122" i="37" s="1"/>
  <c r="I122" i="37" s="1"/>
  <c r="G133" i="34" s="1"/>
  <c r="H133" i="34" s="1"/>
  <c r="E98" i="37"/>
  <c r="F98" i="37" s="1"/>
  <c r="I98" i="37" s="1"/>
  <c r="G109" i="34" s="1"/>
  <c r="H109" i="34" s="1"/>
  <c r="E78" i="37"/>
  <c r="F78" i="37" s="1"/>
  <c r="I78" i="37" s="1"/>
  <c r="G89" i="34" s="1"/>
  <c r="H89" i="34" s="1"/>
  <c r="E58" i="37"/>
  <c r="F58" i="37" s="1"/>
  <c r="I58" i="37" s="1"/>
  <c r="G69" i="34" s="1"/>
  <c r="H69" i="34" s="1"/>
  <c r="E32" i="37"/>
  <c r="F32" i="37" s="1"/>
  <c r="I32" i="37" s="1"/>
  <c r="G43" i="34" s="1"/>
  <c r="H43" i="34" s="1"/>
  <c r="E33" i="37"/>
  <c r="F33" i="37" s="1"/>
  <c r="I33" i="37" s="1"/>
  <c r="G44" i="34" s="1"/>
  <c r="H44" i="34" s="1"/>
  <c r="E5" i="37"/>
  <c r="F5" i="37" s="1"/>
  <c r="I5" i="37" s="1"/>
  <c r="E9" i="37"/>
  <c r="F9" i="37" s="1"/>
  <c r="I9" i="37" s="1"/>
  <c r="G20" i="34" s="1"/>
  <c r="H20" i="34" s="1"/>
  <c r="E303" i="37"/>
  <c r="F303" i="37" s="1"/>
  <c r="I303" i="37" s="1"/>
  <c r="G314" i="34" s="1"/>
  <c r="H314" i="34" s="1"/>
  <c r="E271" i="37"/>
  <c r="F271" i="37" s="1"/>
  <c r="I271" i="37" s="1"/>
  <c r="G282" i="34" s="1"/>
  <c r="H282" i="34" s="1"/>
  <c r="E244" i="37"/>
  <c r="F244" i="37" s="1"/>
  <c r="I244" i="37" s="1"/>
  <c r="G255" i="34" s="1"/>
  <c r="H255" i="34" s="1"/>
  <c r="E218" i="37"/>
  <c r="F218" i="37" s="1"/>
  <c r="I218" i="37" s="1"/>
  <c r="G229" i="34" s="1"/>
  <c r="H229" i="34" s="1"/>
  <c r="E186" i="37"/>
  <c r="F186" i="37" s="1"/>
  <c r="I186" i="37" s="1"/>
  <c r="G197" i="34" s="1"/>
  <c r="H197" i="34" s="1"/>
  <c r="E159" i="37"/>
  <c r="F159" i="37" s="1"/>
  <c r="I159" i="37" s="1"/>
  <c r="G170" i="34" s="1"/>
  <c r="H170" i="34" s="1"/>
  <c r="E128" i="37"/>
  <c r="F128" i="37" s="1"/>
  <c r="I128" i="37" s="1"/>
  <c r="G139" i="34" s="1"/>
  <c r="H139" i="34" s="1"/>
  <c r="E80" i="37"/>
  <c r="F80" i="37" s="1"/>
  <c r="I80" i="37" s="1"/>
  <c r="G91" i="34" s="1"/>
  <c r="H91" i="34" s="1"/>
  <c r="E40" i="37"/>
  <c r="F40" i="37" s="1"/>
  <c r="I40" i="37" s="1"/>
  <c r="G51" i="34" s="1"/>
  <c r="H51" i="34" s="1"/>
  <c r="E312" i="37"/>
  <c r="F312" i="37" s="1"/>
  <c r="I312" i="37" s="1"/>
  <c r="G323" i="34" s="1"/>
  <c r="H323" i="34" s="1"/>
  <c r="E280" i="37"/>
  <c r="F280" i="37" s="1"/>
  <c r="I280" i="37" s="1"/>
  <c r="G291" i="34" s="1"/>
  <c r="H291" i="34" s="1"/>
  <c r="E254" i="37"/>
  <c r="F254" i="37" s="1"/>
  <c r="I254" i="37" s="1"/>
  <c r="G265" i="34" s="1"/>
  <c r="H265" i="34" s="1"/>
  <c r="E227" i="37"/>
  <c r="F227" i="37" s="1"/>
  <c r="I227" i="37" s="1"/>
  <c r="G238" i="34" s="1"/>
  <c r="H238" i="34" s="1"/>
  <c r="E195" i="37"/>
  <c r="F195" i="37" s="1"/>
  <c r="I195" i="37" s="1"/>
  <c r="G206" i="34" s="1"/>
  <c r="H206" i="34" s="1"/>
  <c r="E168" i="37"/>
  <c r="F168" i="37" s="1"/>
  <c r="I168" i="37" s="1"/>
  <c r="G179" i="34" s="1"/>
  <c r="H179" i="34" s="1"/>
  <c r="E142" i="37"/>
  <c r="F142" i="37" s="1"/>
  <c r="I142" i="37" s="1"/>
  <c r="G153" i="34" s="1"/>
  <c r="H153" i="34" s="1"/>
  <c r="E95" i="37"/>
  <c r="F95" i="37" s="1"/>
  <c r="I95" i="37" s="1"/>
  <c r="G106" i="34" s="1"/>
  <c r="H106" i="34" s="1"/>
  <c r="E55" i="37"/>
  <c r="F55" i="37" s="1"/>
  <c r="I55" i="37" s="1"/>
  <c r="G66" i="34" s="1"/>
  <c r="H66" i="34" s="1"/>
  <c r="E12" i="37"/>
  <c r="F12" i="37" s="1"/>
  <c r="I12" i="37" s="1"/>
  <c r="G23" i="34" s="1"/>
  <c r="H23" i="34" s="1"/>
  <c r="E295" i="37"/>
  <c r="F295" i="37" s="1"/>
  <c r="I295" i="37" s="1"/>
  <c r="G306" i="34" s="1"/>
  <c r="H306" i="34" s="1"/>
  <c r="E268" i="37"/>
  <c r="F268" i="37" s="1"/>
  <c r="I268" i="37" s="1"/>
  <c r="G279" i="34" s="1"/>
  <c r="H279" i="34" s="1"/>
  <c r="E242" i="37"/>
  <c r="F242" i="37" s="1"/>
  <c r="I242" i="37" s="1"/>
  <c r="G253" i="34" s="1"/>
  <c r="H253" i="34" s="1"/>
  <c r="E210" i="37"/>
  <c r="F210" i="37" s="1"/>
  <c r="I210" i="37" s="1"/>
  <c r="G221" i="34" s="1"/>
  <c r="H221" i="34" s="1"/>
  <c r="E183" i="37"/>
  <c r="F183" i="37" s="1"/>
  <c r="I183" i="37" s="1"/>
  <c r="G194" i="34" s="1"/>
  <c r="H194" i="34" s="1"/>
  <c r="E156" i="37"/>
  <c r="F156" i="37" s="1"/>
  <c r="I156" i="37" s="1"/>
  <c r="G167" i="34" s="1"/>
  <c r="H167" i="34" s="1"/>
  <c r="E116" i="37"/>
  <c r="F116" i="37" s="1"/>
  <c r="I116" i="37" s="1"/>
  <c r="G127" i="34" s="1"/>
  <c r="H127" i="34" s="1"/>
  <c r="E76" i="37"/>
  <c r="F76" i="37" s="1"/>
  <c r="I76" i="37" s="1"/>
  <c r="G87" i="34" s="1"/>
  <c r="H87" i="34" s="1"/>
  <c r="E35" i="37"/>
  <c r="F35" i="37" s="1"/>
  <c r="I35" i="37" s="1"/>
  <c r="G46" i="34" s="1"/>
  <c r="H46" i="34" s="1"/>
  <c r="E310" i="37"/>
  <c r="F310" i="37" s="1"/>
  <c r="I310" i="37" s="1"/>
  <c r="G321" i="34" s="1"/>
  <c r="H321" i="34" s="1"/>
  <c r="E283" i="37"/>
  <c r="F283" i="37" s="1"/>
  <c r="I283" i="37" s="1"/>
  <c r="G294" i="34" s="1"/>
  <c r="H294" i="34" s="1"/>
  <c r="E256" i="37"/>
  <c r="F256" i="37" s="1"/>
  <c r="I256" i="37" s="1"/>
  <c r="G267" i="34" s="1"/>
  <c r="H267" i="34" s="1"/>
  <c r="E224" i="37"/>
  <c r="F224" i="37" s="1"/>
  <c r="I224" i="37" s="1"/>
  <c r="G235" i="34" s="1"/>
  <c r="H235" i="34" s="1"/>
  <c r="E198" i="37"/>
  <c r="F198" i="37" s="1"/>
  <c r="I198" i="37" s="1"/>
  <c r="G209" i="34" s="1"/>
  <c r="H209" i="34" s="1"/>
  <c r="E171" i="37"/>
  <c r="F171" i="37" s="1"/>
  <c r="I171" i="37" s="1"/>
  <c r="G182" i="34" s="1"/>
  <c r="H182" i="34" s="1"/>
  <c r="E139" i="37"/>
  <c r="F139" i="37" s="1"/>
  <c r="I139" i="37" s="1"/>
  <c r="G150" i="34" s="1"/>
  <c r="H150" i="34" s="1"/>
  <c r="E99" i="37"/>
  <c r="F99" i="37" s="1"/>
  <c r="I99" i="37" s="1"/>
  <c r="G110" i="34" s="1"/>
  <c r="H110" i="34" s="1"/>
  <c r="E59" i="37"/>
  <c r="F59" i="37" s="1"/>
  <c r="I59" i="37" s="1"/>
  <c r="G70" i="34" s="1"/>
  <c r="H70" i="34" s="1"/>
  <c r="E10" i="37"/>
  <c r="F10" i="37" s="1"/>
  <c r="I10" i="37" s="1"/>
  <c r="G21" i="34" s="1"/>
  <c r="H21" i="34" s="1"/>
  <c r="E305" i="37"/>
  <c r="F305" i="37" s="1"/>
  <c r="I305" i="37" s="1"/>
  <c r="G316" i="34" s="1"/>
  <c r="H316" i="34" s="1"/>
  <c r="E285" i="37"/>
  <c r="F285" i="37" s="1"/>
  <c r="I285" i="37" s="1"/>
  <c r="G296" i="34" s="1"/>
  <c r="H296" i="34" s="1"/>
  <c r="E261" i="37"/>
  <c r="F261" i="37" s="1"/>
  <c r="I261" i="37" s="1"/>
  <c r="G272" i="34" s="1"/>
  <c r="H272" i="34" s="1"/>
  <c r="E241" i="37"/>
  <c r="F241" i="37" s="1"/>
  <c r="I241" i="37" s="1"/>
  <c r="G252" i="34" s="1"/>
  <c r="H252" i="34" s="1"/>
  <c r="E221" i="37"/>
  <c r="F221" i="37" s="1"/>
  <c r="I221" i="37" s="1"/>
  <c r="G232" i="34" s="1"/>
  <c r="H232" i="34" s="1"/>
  <c r="E197" i="37"/>
  <c r="F197" i="37" s="1"/>
  <c r="I197" i="37" s="1"/>
  <c r="G208" i="34" s="1"/>
  <c r="H208" i="34" s="1"/>
  <c r="E177" i="37"/>
  <c r="F177" i="37" s="1"/>
  <c r="I177" i="37" s="1"/>
  <c r="G188" i="34" s="1"/>
  <c r="H188" i="34" s="1"/>
  <c r="E157" i="37"/>
  <c r="F157" i="37" s="1"/>
  <c r="I157" i="37" s="1"/>
  <c r="G168" i="34" s="1"/>
  <c r="H168" i="34" s="1"/>
  <c r="E133" i="37"/>
  <c r="F133" i="37" s="1"/>
  <c r="I133" i="37" s="1"/>
  <c r="G144" i="34" s="1"/>
  <c r="H144" i="34" s="1"/>
  <c r="E113" i="37"/>
  <c r="F113" i="37" s="1"/>
  <c r="I113" i="37" s="1"/>
  <c r="G124" i="34" s="1"/>
  <c r="H124" i="34" s="1"/>
  <c r="E93" i="37"/>
  <c r="F93" i="37" s="1"/>
  <c r="I93" i="37" s="1"/>
  <c r="G104" i="34" s="1"/>
  <c r="H104" i="34" s="1"/>
  <c r="E69" i="37"/>
  <c r="F69" i="37" s="1"/>
  <c r="I69" i="37" s="1"/>
  <c r="G80" i="34" s="1"/>
  <c r="H80" i="34" s="1"/>
  <c r="E49" i="37"/>
  <c r="F49" i="37" s="1"/>
  <c r="I49" i="37" s="1"/>
  <c r="G60" i="34" s="1"/>
  <c r="H60" i="34" s="1"/>
  <c r="E26" i="37"/>
  <c r="F26" i="37" s="1"/>
  <c r="I26" i="37" s="1"/>
  <c r="G37" i="34" s="1"/>
  <c r="H37" i="34" s="1"/>
  <c r="E130" i="37"/>
  <c r="F130" i="37" s="1"/>
  <c r="I130" i="37" s="1"/>
  <c r="G141" i="34" s="1"/>
  <c r="H141" i="34" s="1"/>
  <c r="E110" i="37"/>
  <c r="F110" i="37" s="1"/>
  <c r="I110" i="37" s="1"/>
  <c r="G121" i="34" s="1"/>
  <c r="H121" i="34" s="1"/>
  <c r="E90" i="37"/>
  <c r="F90" i="37" s="1"/>
  <c r="I90" i="37" s="1"/>
  <c r="G101" i="34" s="1"/>
  <c r="H101" i="34" s="1"/>
  <c r="E66" i="37"/>
  <c r="F66" i="37" s="1"/>
  <c r="I66" i="37" s="1"/>
  <c r="G77" i="34" s="1"/>
  <c r="H77" i="34" s="1"/>
  <c r="E46" i="37"/>
  <c r="F46" i="37" s="1"/>
  <c r="I46" i="37" s="1"/>
  <c r="G57" i="34" s="1"/>
  <c r="H57" i="34" s="1"/>
  <c r="E22" i="37"/>
  <c r="F22" i="37" s="1"/>
  <c r="I22" i="37" s="1"/>
  <c r="G33" i="34" s="1"/>
  <c r="H33" i="34" s="1"/>
  <c r="E21" i="37"/>
  <c r="F21" i="37" s="1"/>
  <c r="I21" i="37" s="1"/>
  <c r="G32" i="34" s="1"/>
  <c r="H32" i="34" s="1"/>
  <c r="E319" i="37"/>
  <c r="F319" i="37" s="1"/>
  <c r="I319" i="37" s="1"/>
  <c r="G330" i="34" s="1"/>
  <c r="H330" i="34" s="1"/>
  <c r="E298" i="37"/>
  <c r="F298" i="37" s="1"/>
  <c r="I298" i="37" s="1"/>
  <c r="G309" i="34" s="1"/>
  <c r="H309" i="34" s="1"/>
  <c r="E276" i="37"/>
  <c r="F276" i="37" s="1"/>
  <c r="I276" i="37" s="1"/>
  <c r="G287" i="34" s="1"/>
  <c r="H287" i="34" s="1"/>
  <c r="E255" i="37"/>
  <c r="F255" i="37" s="1"/>
  <c r="I255" i="37" s="1"/>
  <c r="G266" i="34" s="1"/>
  <c r="H266" i="34" s="1"/>
  <c r="E234" i="37"/>
  <c r="F234" i="37" s="1"/>
  <c r="I234" i="37" s="1"/>
  <c r="G245" i="34" s="1"/>
  <c r="H245" i="34" s="1"/>
  <c r="E212" i="37"/>
  <c r="F212" i="37" s="1"/>
  <c r="I212" i="37" s="1"/>
  <c r="G223" i="34" s="1"/>
  <c r="H223" i="34" s="1"/>
  <c r="E191" i="37"/>
  <c r="F191" i="37" s="1"/>
  <c r="I191" i="37" s="1"/>
  <c r="G202" i="34" s="1"/>
  <c r="H202" i="34" s="1"/>
  <c r="E170" i="37"/>
  <c r="F170" i="37" s="1"/>
  <c r="I170" i="37" s="1"/>
  <c r="G181" i="34" s="1"/>
  <c r="H181" i="34" s="1"/>
  <c r="E148" i="37"/>
  <c r="F148" i="37" s="1"/>
  <c r="I148" i="37" s="1"/>
  <c r="G159" i="34" s="1"/>
  <c r="H159" i="34" s="1"/>
  <c r="E120" i="37"/>
  <c r="F120" i="37" s="1"/>
  <c r="I120" i="37" s="1"/>
  <c r="G131" i="34" s="1"/>
  <c r="H131" i="34" s="1"/>
  <c r="E88" i="37"/>
  <c r="F88" i="37" s="1"/>
  <c r="I88" i="37" s="1"/>
  <c r="G99" i="34" s="1"/>
  <c r="H99" i="34" s="1"/>
  <c r="E56" i="37"/>
  <c r="F56" i="37" s="1"/>
  <c r="I56" i="37" s="1"/>
  <c r="G67" i="34" s="1"/>
  <c r="H67" i="34" s="1"/>
  <c r="E13" i="37"/>
  <c r="F13" i="37" s="1"/>
  <c r="I13" i="37" s="1"/>
  <c r="G24" i="34" s="1"/>
  <c r="H24" i="34" s="1"/>
  <c r="E307" i="37"/>
  <c r="F307" i="37" s="1"/>
  <c r="I307" i="37" s="1"/>
  <c r="G318" i="34" s="1"/>
  <c r="H318" i="34" s="1"/>
  <c r="E286" i="37"/>
  <c r="F286" i="37" s="1"/>
  <c r="I286" i="37" s="1"/>
  <c r="G297" i="34" s="1"/>
  <c r="H297" i="34" s="1"/>
  <c r="E264" i="37"/>
  <c r="F264" i="37" s="1"/>
  <c r="I264" i="37" s="1"/>
  <c r="G275" i="34" s="1"/>
  <c r="H275" i="34" s="1"/>
  <c r="E243" i="37"/>
  <c r="F243" i="37" s="1"/>
  <c r="I243" i="37" s="1"/>
  <c r="G254" i="34" s="1"/>
  <c r="H254" i="34" s="1"/>
  <c r="E222" i="37"/>
  <c r="F222" i="37" s="1"/>
  <c r="I222" i="37" s="1"/>
  <c r="G233" i="34" s="1"/>
  <c r="H233" i="34" s="1"/>
  <c r="E200" i="37"/>
  <c r="F200" i="37" s="1"/>
  <c r="I200" i="37" s="1"/>
  <c r="G211" i="34" s="1"/>
  <c r="H211" i="34" s="1"/>
  <c r="E179" i="37"/>
  <c r="F179" i="37" s="1"/>
  <c r="I179" i="37" s="1"/>
  <c r="G190" i="34" s="1"/>
  <c r="H190" i="34" s="1"/>
  <c r="E158" i="37"/>
  <c r="F158" i="37" s="1"/>
  <c r="I158" i="37" s="1"/>
  <c r="G169" i="34" s="1"/>
  <c r="H169" i="34" s="1"/>
  <c r="E135" i="37"/>
  <c r="F135" i="37" s="1"/>
  <c r="I135" i="37" s="1"/>
  <c r="G146" i="34" s="1"/>
  <c r="H146" i="34" s="1"/>
  <c r="E103" i="37"/>
  <c r="F103" i="37" s="1"/>
  <c r="I103" i="37" s="1"/>
  <c r="G114" i="34" s="1"/>
  <c r="H114" i="34" s="1"/>
  <c r="E71" i="37"/>
  <c r="F71" i="37" s="1"/>
  <c r="I71" i="37" s="1"/>
  <c r="G82" i="34" s="1"/>
  <c r="H82" i="34" s="1"/>
  <c r="E39" i="37"/>
  <c r="F39" i="37" s="1"/>
  <c r="I39" i="37" s="1"/>
  <c r="G50" i="34" s="1"/>
  <c r="H50" i="34" s="1"/>
  <c r="E322" i="37"/>
  <c r="F322" i="37" s="1"/>
  <c r="I322" i="37" s="1"/>
  <c r="G333" i="34" s="1"/>
  <c r="H333" i="34" s="1"/>
  <c r="E300" i="37"/>
  <c r="F300" i="37" s="1"/>
  <c r="I300" i="37" s="1"/>
  <c r="G311" i="34" s="1"/>
  <c r="H311" i="34" s="1"/>
  <c r="E279" i="37"/>
  <c r="F279" i="37" s="1"/>
  <c r="I279" i="37" s="1"/>
  <c r="G290" i="34" s="1"/>
  <c r="H290" i="34" s="1"/>
  <c r="E258" i="37"/>
  <c r="F258" i="37" s="1"/>
  <c r="I258" i="37" s="1"/>
  <c r="G269" i="34" s="1"/>
  <c r="H269" i="34" s="1"/>
  <c r="E236" i="37"/>
  <c r="F236" i="37" s="1"/>
  <c r="I236" i="37" s="1"/>
  <c r="G247" i="34" s="1"/>
  <c r="H247" i="34" s="1"/>
  <c r="E215" i="37"/>
  <c r="F215" i="37" s="1"/>
  <c r="I215" i="37" s="1"/>
  <c r="G226" i="34" s="1"/>
  <c r="H226" i="34" s="1"/>
  <c r="E194" i="37"/>
  <c r="F194" i="37" s="1"/>
  <c r="I194" i="37" s="1"/>
  <c r="G205" i="34" s="1"/>
  <c r="H205" i="34" s="1"/>
  <c r="E172" i="37"/>
  <c r="F172" i="37" s="1"/>
  <c r="I172" i="37" s="1"/>
  <c r="G183" i="34" s="1"/>
  <c r="H183" i="34" s="1"/>
  <c r="E151" i="37"/>
  <c r="F151" i="37" s="1"/>
  <c r="I151" i="37" s="1"/>
  <c r="G162" i="34" s="1"/>
  <c r="H162" i="34" s="1"/>
  <c r="E124" i="37"/>
  <c r="F124" i="37" s="1"/>
  <c r="I124" i="37" s="1"/>
  <c r="G135" i="34" s="1"/>
  <c r="H135" i="34" s="1"/>
  <c r="E92" i="37"/>
  <c r="F92" i="37" s="1"/>
  <c r="I92" i="37" s="1"/>
  <c r="G103" i="34" s="1"/>
  <c r="H103" i="34" s="1"/>
  <c r="E60" i="37"/>
  <c r="F60" i="37" s="1"/>
  <c r="I60" i="37" s="1"/>
  <c r="G71" i="34" s="1"/>
  <c r="H71" i="34" s="1"/>
  <c r="E23" i="37"/>
  <c r="F23" i="37" s="1"/>
  <c r="I23" i="37" s="1"/>
  <c r="G34" i="34" s="1"/>
  <c r="H34" i="34" s="1"/>
  <c r="E315" i="37"/>
  <c r="F315" i="37" s="1"/>
  <c r="I315" i="37" s="1"/>
  <c r="G326" i="34" s="1"/>
  <c r="H326" i="34" s="1"/>
  <c r="E294" i="37"/>
  <c r="F294" i="37" s="1"/>
  <c r="I294" i="37" s="1"/>
  <c r="G305" i="34" s="1"/>
  <c r="H305" i="34" s="1"/>
  <c r="E272" i="37"/>
  <c r="F272" i="37" s="1"/>
  <c r="I272" i="37" s="1"/>
  <c r="G283" i="34" s="1"/>
  <c r="H283" i="34" s="1"/>
  <c r="E251" i="37"/>
  <c r="F251" i="37" s="1"/>
  <c r="I251" i="37" s="1"/>
  <c r="G262" i="34" s="1"/>
  <c r="H262" i="34" s="1"/>
  <c r="E230" i="37"/>
  <c r="F230" i="37" s="1"/>
  <c r="I230" i="37" s="1"/>
  <c r="G241" i="34" s="1"/>
  <c r="H241" i="34" s="1"/>
  <c r="E208" i="37"/>
  <c r="F208" i="37" s="1"/>
  <c r="I208" i="37" s="1"/>
  <c r="G219" i="34" s="1"/>
  <c r="H219" i="34" s="1"/>
  <c r="E187" i="37"/>
  <c r="F187" i="37" s="1"/>
  <c r="I187" i="37" s="1"/>
  <c r="G198" i="34" s="1"/>
  <c r="H198" i="34" s="1"/>
  <c r="E166" i="37"/>
  <c r="F166" i="37" s="1"/>
  <c r="I166" i="37" s="1"/>
  <c r="G177" i="34" s="1"/>
  <c r="H177" i="34" s="1"/>
  <c r="E144" i="37"/>
  <c r="F144" i="37" s="1"/>
  <c r="I144" i="37" s="1"/>
  <c r="G155" i="34" s="1"/>
  <c r="H155" i="34" s="1"/>
  <c r="E115" i="37"/>
  <c r="F115" i="37" s="1"/>
  <c r="I115" i="37" s="1"/>
  <c r="G126" i="34" s="1"/>
  <c r="H126" i="34" s="1"/>
  <c r="E83" i="37"/>
  <c r="F83" i="37" s="1"/>
  <c r="I83" i="37" s="1"/>
  <c r="G94" i="34" s="1"/>
  <c r="H94" i="34" s="1"/>
  <c r="E51" i="37"/>
  <c r="F51" i="37" s="1"/>
  <c r="I51" i="37" s="1"/>
  <c r="G62" i="34" s="1"/>
  <c r="H62" i="34" s="1"/>
  <c r="E8" i="37"/>
  <c r="F8" i="37" s="1"/>
  <c r="I8" i="37" s="1"/>
  <c r="G19" i="34" s="1"/>
  <c r="H19" i="34" s="1"/>
  <c r="E313" i="37"/>
  <c r="F313" i="37" s="1"/>
  <c r="I313" i="37" s="1"/>
  <c r="G324" i="34" s="1"/>
  <c r="H324" i="34" s="1"/>
  <c r="E297" i="37"/>
  <c r="F297" i="37" s="1"/>
  <c r="I297" i="37" s="1"/>
  <c r="G308" i="34" s="1"/>
  <c r="H308" i="34" s="1"/>
  <c r="E281" i="37"/>
  <c r="F281" i="37" s="1"/>
  <c r="I281" i="37" s="1"/>
  <c r="G292" i="34" s="1"/>
  <c r="H292" i="34" s="1"/>
  <c r="E265" i="37"/>
  <c r="F265" i="37" s="1"/>
  <c r="I265" i="37" s="1"/>
  <c r="G276" i="34" s="1"/>
  <c r="H276" i="34" s="1"/>
  <c r="E249" i="37"/>
  <c r="F249" i="37" s="1"/>
  <c r="I249" i="37" s="1"/>
  <c r="G260" i="34" s="1"/>
  <c r="H260" i="34" s="1"/>
  <c r="E233" i="37"/>
  <c r="F233" i="37" s="1"/>
  <c r="I233" i="37" s="1"/>
  <c r="G244" i="34" s="1"/>
  <c r="H244" i="34" s="1"/>
  <c r="E217" i="37"/>
  <c r="F217" i="37" s="1"/>
  <c r="I217" i="37" s="1"/>
  <c r="G228" i="34" s="1"/>
  <c r="H228" i="34" s="1"/>
  <c r="E201" i="37"/>
  <c r="F201" i="37" s="1"/>
  <c r="I201" i="37" s="1"/>
  <c r="G212" i="34" s="1"/>
  <c r="H212" i="34" s="1"/>
  <c r="E185" i="37"/>
  <c r="F185" i="37" s="1"/>
  <c r="I185" i="37" s="1"/>
  <c r="G196" i="34" s="1"/>
  <c r="H196" i="34" s="1"/>
  <c r="E169" i="37"/>
  <c r="F169" i="37" s="1"/>
  <c r="I169" i="37" s="1"/>
  <c r="G180" i="34" s="1"/>
  <c r="H180" i="34" s="1"/>
  <c r="E153" i="37"/>
  <c r="F153" i="37" s="1"/>
  <c r="I153" i="37" s="1"/>
  <c r="G164" i="34" s="1"/>
  <c r="H164" i="34" s="1"/>
  <c r="E137" i="37"/>
  <c r="F137" i="37" s="1"/>
  <c r="I137" i="37" s="1"/>
  <c r="G148" i="34" s="1"/>
  <c r="H148" i="34" s="1"/>
  <c r="E121" i="37"/>
  <c r="F121" i="37" s="1"/>
  <c r="I121" i="37" s="1"/>
  <c r="G132" i="34" s="1"/>
  <c r="H132" i="34" s="1"/>
  <c r="E105" i="37"/>
  <c r="F105" i="37" s="1"/>
  <c r="I105" i="37" s="1"/>
  <c r="G116" i="34" s="1"/>
  <c r="H116" i="34" s="1"/>
  <c r="E89" i="37"/>
  <c r="F89" i="37" s="1"/>
  <c r="I89" i="37" s="1"/>
  <c r="G100" i="34" s="1"/>
  <c r="H100" i="34" s="1"/>
  <c r="E73" i="37"/>
  <c r="F73" i="37" s="1"/>
  <c r="I73" i="37" s="1"/>
  <c r="G84" i="34" s="1"/>
  <c r="H84" i="34" s="1"/>
  <c r="E57" i="37"/>
  <c r="F57" i="37" s="1"/>
  <c r="I57" i="37" s="1"/>
  <c r="G68" i="34" s="1"/>
  <c r="H68" i="34" s="1"/>
  <c r="E41" i="37"/>
  <c r="F41" i="37" s="1"/>
  <c r="I41" i="37" s="1"/>
  <c r="G52" i="34" s="1"/>
  <c r="H52" i="34" s="1"/>
  <c r="E20" i="37"/>
  <c r="F20" i="37" s="1"/>
  <c r="I20" i="37" s="1"/>
  <c r="G31" i="34" s="1"/>
  <c r="H31" i="34" s="1"/>
  <c r="E134" i="37"/>
  <c r="F134" i="37" s="1"/>
  <c r="I134" i="37" s="1"/>
  <c r="G145" i="34" s="1"/>
  <c r="H145" i="34" s="1"/>
  <c r="E118" i="37"/>
  <c r="F118" i="37" s="1"/>
  <c r="I118" i="37" s="1"/>
  <c r="G129" i="34" s="1"/>
  <c r="H129" i="34" s="1"/>
  <c r="E102" i="37"/>
  <c r="F102" i="37" s="1"/>
  <c r="I102" i="37" s="1"/>
  <c r="G113" i="34" s="1"/>
  <c r="H113" i="34" s="1"/>
  <c r="E86" i="37"/>
  <c r="F86" i="37" s="1"/>
  <c r="I86" i="37" s="1"/>
  <c r="G97" i="34" s="1"/>
  <c r="H97" i="34" s="1"/>
  <c r="E70" i="37"/>
  <c r="F70" i="37" s="1"/>
  <c r="I70" i="37" s="1"/>
  <c r="G81" i="34" s="1"/>
  <c r="H81" i="34" s="1"/>
  <c r="E54" i="37"/>
  <c r="F54" i="37" s="1"/>
  <c r="I54" i="37" s="1"/>
  <c r="G65" i="34" s="1"/>
  <c r="H65" i="34" s="1"/>
  <c r="E38" i="37"/>
  <c r="F38" i="37" s="1"/>
  <c r="I38" i="37" s="1"/>
  <c r="G49" i="34" s="1"/>
  <c r="H49" i="34" s="1"/>
  <c r="E16" i="37"/>
  <c r="F16" i="37" s="1"/>
  <c r="I16" i="37" s="1"/>
  <c r="G27" i="34" s="1"/>
  <c r="H27" i="34" s="1"/>
  <c r="D5" i="9"/>
  <c r="D7" i="9"/>
  <c r="D6" i="9"/>
  <c r="I5" i="11"/>
  <c r="I323" i="11" s="1"/>
  <c r="K36" i="40" s="1"/>
  <c r="H323" i="11"/>
  <c r="M5" i="11"/>
  <c r="L323" i="11"/>
  <c r="M105" i="25" l="1"/>
  <c r="J105" i="52"/>
  <c r="K105" i="52" s="1"/>
  <c r="M323" i="11"/>
  <c r="K37" i="40" s="1"/>
  <c r="F10" i="9"/>
  <c r="F325" i="9" s="1"/>
  <c r="G325" i="9" s="1"/>
  <c r="D319" i="39" s="1"/>
  <c r="F30" i="48"/>
  <c r="N264" i="49"/>
  <c r="O264" i="49" s="1"/>
  <c r="N310" i="49"/>
  <c r="O310" i="49" s="1"/>
  <c r="N15" i="49"/>
  <c r="O15" i="49" s="1"/>
  <c r="N58" i="49"/>
  <c r="O58" i="49" s="1"/>
  <c r="N113" i="49"/>
  <c r="O113" i="49" s="1"/>
  <c r="N75" i="49"/>
  <c r="O75" i="49" s="1"/>
  <c r="N215" i="49"/>
  <c r="O215" i="49" s="1"/>
  <c r="N40" i="49"/>
  <c r="O40" i="49" s="1"/>
  <c r="N193" i="49"/>
  <c r="O193" i="49" s="1"/>
  <c r="N309" i="49"/>
  <c r="O309" i="49" s="1"/>
  <c r="N184" i="49"/>
  <c r="O184" i="49" s="1"/>
  <c r="N296" i="49"/>
  <c r="O296" i="49" s="1"/>
  <c r="N281" i="49"/>
  <c r="O281" i="49" s="1"/>
  <c r="N35" i="49"/>
  <c r="O35" i="49" s="1"/>
  <c r="N164" i="49"/>
  <c r="O164" i="49" s="1"/>
  <c r="N76" i="49"/>
  <c r="O76" i="49" s="1"/>
  <c r="N253" i="49"/>
  <c r="O253" i="49" s="1"/>
  <c r="N188" i="49"/>
  <c r="O188" i="49" s="1"/>
  <c r="O7" i="49"/>
  <c r="N182" i="49"/>
  <c r="O182" i="49" s="1"/>
  <c r="N17" i="49"/>
  <c r="O17" i="49" s="1"/>
  <c r="N124" i="49"/>
  <c r="O124" i="49" s="1"/>
  <c r="N197" i="49"/>
  <c r="O197" i="49" s="1"/>
  <c r="N110" i="49"/>
  <c r="O110" i="49" s="1"/>
  <c r="N100" i="49"/>
  <c r="O100" i="49" s="1"/>
  <c r="N66" i="49"/>
  <c r="O66" i="49" s="1"/>
  <c r="N250" i="49"/>
  <c r="O250" i="49" s="1"/>
  <c r="N22" i="49"/>
  <c r="O22" i="49" s="1"/>
  <c r="N59" i="49"/>
  <c r="O59" i="49" s="1"/>
  <c r="N186" i="49"/>
  <c r="O186" i="49" s="1"/>
  <c r="N219" i="49"/>
  <c r="O219" i="49" s="1"/>
  <c r="N278" i="49"/>
  <c r="O278" i="49" s="1"/>
  <c r="N129" i="49"/>
  <c r="O129" i="49" s="1"/>
  <c r="N99" i="49"/>
  <c r="O99" i="49" s="1"/>
  <c r="N74" i="49"/>
  <c r="O74" i="49" s="1"/>
  <c r="N231" i="49"/>
  <c r="O231" i="49" s="1"/>
  <c r="N298" i="49"/>
  <c r="O298" i="49" s="1"/>
  <c r="N18" i="49"/>
  <c r="O18" i="49" s="1"/>
  <c r="N321" i="49"/>
  <c r="O321" i="49" s="1"/>
  <c r="N156" i="49"/>
  <c r="O156" i="49" s="1"/>
  <c r="N300" i="49"/>
  <c r="O300" i="49" s="1"/>
  <c r="N167" i="49"/>
  <c r="O167" i="49" s="1"/>
  <c r="N299" i="49"/>
  <c r="O299" i="49" s="1"/>
  <c r="N171" i="49"/>
  <c r="O171" i="49" s="1"/>
  <c r="N33" i="49"/>
  <c r="O33" i="49" s="1"/>
  <c r="N97" i="49"/>
  <c r="O97" i="49" s="1"/>
  <c r="N280" i="49"/>
  <c r="O280" i="49" s="1"/>
  <c r="N118" i="49"/>
  <c r="O118" i="49" s="1"/>
  <c r="N62" i="49"/>
  <c r="O62" i="49" s="1"/>
  <c r="N183" i="49"/>
  <c r="O183" i="49" s="1"/>
  <c r="N26" i="49"/>
  <c r="O26" i="49" s="1"/>
  <c r="N191" i="49"/>
  <c r="O191" i="49" s="1"/>
  <c r="N282" i="49"/>
  <c r="O282" i="49" s="1"/>
  <c r="N141" i="49"/>
  <c r="O141" i="49" s="1"/>
  <c r="N255" i="49"/>
  <c r="O255" i="49" s="1"/>
  <c r="N80" i="49"/>
  <c r="O80" i="49" s="1"/>
  <c r="N161" i="49"/>
  <c r="O161" i="49" s="1"/>
  <c r="N71" i="49"/>
  <c r="O71" i="49" s="1"/>
  <c r="N313" i="49"/>
  <c r="O313" i="49" s="1"/>
  <c r="N263" i="49"/>
  <c r="O263" i="49" s="1"/>
  <c r="N65" i="49"/>
  <c r="O65" i="49" s="1"/>
  <c r="N297" i="49"/>
  <c r="O297" i="49" s="1"/>
  <c r="N301" i="49"/>
  <c r="O301" i="49" s="1"/>
  <c r="N228" i="49"/>
  <c r="O228" i="49" s="1"/>
  <c r="N261" i="49"/>
  <c r="O261" i="49" s="1"/>
  <c r="N311" i="49"/>
  <c r="O311" i="49" s="1"/>
  <c r="N196" i="49"/>
  <c r="O196" i="49" s="1"/>
  <c r="N132" i="49"/>
  <c r="O132" i="49" s="1"/>
  <c r="N10" i="49"/>
  <c r="O10" i="49" s="1"/>
  <c r="N57" i="49"/>
  <c r="O57" i="49" s="1"/>
  <c r="N45" i="49"/>
  <c r="O45" i="49" s="1"/>
  <c r="N322" i="49"/>
  <c r="O322" i="49" s="1"/>
  <c r="N266" i="49"/>
  <c r="O266" i="49" s="1"/>
  <c r="N64" i="49"/>
  <c r="O64" i="49" s="1"/>
  <c r="N148" i="49"/>
  <c r="O148" i="49" s="1"/>
  <c r="N315" i="49"/>
  <c r="O315" i="49" s="1"/>
  <c r="N82" i="49"/>
  <c r="O82" i="49" s="1"/>
  <c r="N319" i="49"/>
  <c r="O319" i="49" s="1"/>
  <c r="N127" i="49"/>
  <c r="O127" i="49" s="1"/>
  <c r="N165" i="49"/>
  <c r="O165" i="49" s="1"/>
  <c r="N123" i="49"/>
  <c r="O123" i="49" s="1"/>
  <c r="N316" i="49"/>
  <c r="O316" i="49" s="1"/>
  <c r="N128" i="49"/>
  <c r="O128" i="49" s="1"/>
  <c r="N287" i="49"/>
  <c r="O287" i="49" s="1"/>
  <c r="N55" i="49"/>
  <c r="O55" i="49" s="1"/>
  <c r="N269" i="49"/>
  <c r="O269" i="49" s="1"/>
  <c r="N9" i="49"/>
  <c r="O9" i="49" s="1"/>
  <c r="N77" i="49"/>
  <c r="O77" i="49" s="1"/>
  <c r="N246" i="49"/>
  <c r="O246" i="49" s="1"/>
  <c r="N16" i="49"/>
  <c r="O16" i="49" s="1"/>
  <c r="N194" i="49"/>
  <c r="O194" i="49" s="1"/>
  <c r="N19" i="49"/>
  <c r="O19" i="49" s="1"/>
  <c r="N104" i="49"/>
  <c r="O104" i="49" s="1"/>
  <c r="N155" i="49"/>
  <c r="O155" i="49" s="1"/>
  <c r="N103" i="49"/>
  <c r="O103" i="49" s="1"/>
  <c r="N204" i="49"/>
  <c r="O204" i="49" s="1"/>
  <c r="N134" i="49"/>
  <c r="O134" i="49" s="1"/>
  <c r="O8" i="49"/>
  <c r="N201" i="49"/>
  <c r="O201" i="49" s="1"/>
  <c r="N32" i="49"/>
  <c r="O32" i="49" s="1"/>
  <c r="N98" i="49"/>
  <c r="O98" i="49" s="1"/>
  <c r="N120" i="49"/>
  <c r="O120" i="49" s="1"/>
  <c r="N38" i="49"/>
  <c r="O38" i="49" s="1"/>
  <c r="N130" i="49"/>
  <c r="O130" i="49" s="1"/>
  <c r="N241" i="49"/>
  <c r="O241" i="49" s="1"/>
  <c r="N233" i="49"/>
  <c r="O233" i="49" s="1"/>
  <c r="N91" i="49"/>
  <c r="O91" i="49" s="1"/>
  <c r="N116" i="49"/>
  <c r="O116" i="49" s="1"/>
  <c r="N240" i="49"/>
  <c r="O240" i="49" s="1"/>
  <c r="N79" i="49"/>
  <c r="O79" i="49" s="1"/>
  <c r="N34" i="49"/>
  <c r="O34" i="49" s="1"/>
  <c r="N151" i="49"/>
  <c r="O151" i="49" s="1"/>
  <c r="N248" i="49"/>
  <c r="O248" i="49" s="1"/>
  <c r="N172" i="49"/>
  <c r="O172" i="49" s="1"/>
  <c r="N157" i="49"/>
  <c r="O157" i="49" s="1"/>
  <c r="N14" i="49"/>
  <c r="O14" i="49" s="1"/>
  <c r="N308" i="49"/>
  <c r="O308" i="49" s="1"/>
  <c r="N114" i="49"/>
  <c r="O114" i="49" s="1"/>
  <c r="N265" i="49"/>
  <c r="O265" i="49" s="1"/>
  <c r="N49" i="49"/>
  <c r="O49" i="49" s="1"/>
  <c r="N303" i="49"/>
  <c r="O303" i="49" s="1"/>
  <c r="N222" i="49"/>
  <c r="O222" i="49" s="1"/>
  <c r="N85" i="49"/>
  <c r="O85" i="49" s="1"/>
  <c r="N185" i="49"/>
  <c r="O185" i="49" s="1"/>
  <c r="N86" i="49"/>
  <c r="O86" i="49" s="1"/>
  <c r="N39" i="49"/>
  <c r="O39" i="49" s="1"/>
  <c r="N294" i="49"/>
  <c r="O294" i="49" s="1"/>
  <c r="N249" i="49"/>
  <c r="O249" i="49" s="1"/>
  <c r="N143" i="49"/>
  <c r="O143" i="49" s="1"/>
  <c r="N189" i="49"/>
  <c r="O189" i="49" s="1"/>
  <c r="N21" i="49"/>
  <c r="O21" i="49" s="1"/>
  <c r="N149" i="49"/>
  <c r="O149" i="49" s="1"/>
  <c r="N256" i="49"/>
  <c r="O256" i="49" s="1"/>
  <c r="N198" i="49"/>
  <c r="O198" i="49" s="1"/>
  <c r="N122" i="49"/>
  <c r="O122" i="49" s="1"/>
  <c r="N12" i="49"/>
  <c r="O12" i="49" s="1"/>
  <c r="N95" i="49"/>
  <c r="O95" i="49" s="1"/>
  <c r="N225" i="49"/>
  <c r="O225" i="49" s="1"/>
  <c r="N146" i="49"/>
  <c r="O146" i="49" s="1"/>
  <c r="N81" i="49"/>
  <c r="O81" i="49" s="1"/>
  <c r="N211" i="49"/>
  <c r="O211" i="49" s="1"/>
  <c r="N252" i="49"/>
  <c r="O252" i="49" s="1"/>
  <c r="N125" i="49"/>
  <c r="O125" i="49" s="1"/>
  <c r="N291" i="49"/>
  <c r="O291" i="49" s="1"/>
  <c r="N159" i="49"/>
  <c r="O159" i="49" s="1"/>
  <c r="N137" i="49"/>
  <c r="O137" i="49" s="1"/>
  <c r="N181" i="49"/>
  <c r="O181" i="49" s="1"/>
  <c r="N214" i="49"/>
  <c r="O214" i="49" s="1"/>
  <c r="N295" i="49"/>
  <c r="O295" i="49" s="1"/>
  <c r="N101" i="49"/>
  <c r="O101" i="49" s="1"/>
  <c r="N30" i="49"/>
  <c r="O30" i="49" s="1"/>
  <c r="N179" i="49"/>
  <c r="O179" i="49" s="1"/>
  <c r="N174" i="49"/>
  <c r="O174" i="49" s="1"/>
  <c r="N169" i="49"/>
  <c r="O169" i="49" s="1"/>
  <c r="N262" i="49"/>
  <c r="O262" i="49" s="1"/>
  <c r="N54" i="49"/>
  <c r="O54" i="49" s="1"/>
  <c r="N36" i="49"/>
  <c r="O36" i="49" s="1"/>
  <c r="N142" i="49"/>
  <c r="O142" i="49" s="1"/>
  <c r="N48" i="49"/>
  <c r="O48" i="49" s="1"/>
  <c r="N153" i="49"/>
  <c r="O153" i="49" s="1"/>
  <c r="N92" i="49"/>
  <c r="O92" i="49" s="1"/>
  <c r="N232" i="49"/>
  <c r="O232" i="49" s="1"/>
  <c r="N20" i="49"/>
  <c r="O20" i="49" s="1"/>
  <c r="N210" i="49"/>
  <c r="O210" i="49" s="1"/>
  <c r="N108" i="49"/>
  <c r="O108" i="49" s="1"/>
  <c r="N78" i="49"/>
  <c r="O78" i="49" s="1"/>
  <c r="N218" i="49"/>
  <c r="O218" i="49" s="1"/>
  <c r="N73" i="49"/>
  <c r="O73" i="49" s="1"/>
  <c r="N212" i="49"/>
  <c r="O212" i="49" s="1"/>
  <c r="N150" i="49"/>
  <c r="O150" i="49" s="1"/>
  <c r="N320" i="49"/>
  <c r="O320" i="49" s="1"/>
  <c r="N51" i="49"/>
  <c r="O51" i="49" s="1"/>
  <c r="N119" i="49"/>
  <c r="O119" i="49" s="1"/>
  <c r="N69" i="49"/>
  <c r="O69" i="49" s="1"/>
  <c r="N115" i="49"/>
  <c r="O115" i="49" s="1"/>
  <c r="N68" i="49"/>
  <c r="O68" i="49" s="1"/>
  <c r="N200" i="49"/>
  <c r="O200" i="49" s="1"/>
  <c r="N208" i="49"/>
  <c r="O208" i="49" s="1"/>
  <c r="N305" i="49"/>
  <c r="O305" i="49" s="1"/>
  <c r="N63" i="49"/>
  <c r="O63" i="49" s="1"/>
  <c r="N190" i="49"/>
  <c r="O190" i="49" s="1"/>
  <c r="N259" i="49"/>
  <c r="O259" i="49" s="1"/>
  <c r="N168" i="49"/>
  <c r="O168" i="49" s="1"/>
  <c r="N145" i="49"/>
  <c r="O145" i="49" s="1"/>
  <c r="N131" i="49"/>
  <c r="O131" i="49" s="1"/>
  <c r="N289" i="49"/>
  <c r="O289" i="49" s="1"/>
  <c r="N13" i="49"/>
  <c r="O13" i="49" s="1"/>
  <c r="N235" i="49"/>
  <c r="O235" i="49" s="1"/>
  <c r="N67" i="49"/>
  <c r="O67" i="49" s="1"/>
  <c r="N173" i="49"/>
  <c r="O173" i="49" s="1"/>
  <c r="N162" i="49"/>
  <c r="O162" i="49" s="1"/>
  <c r="N44" i="49"/>
  <c r="O44" i="49" s="1"/>
  <c r="N304" i="49"/>
  <c r="O304" i="49" s="1"/>
  <c r="N285" i="49"/>
  <c r="O285" i="49" s="1"/>
  <c r="N286" i="49"/>
  <c r="O286" i="49" s="1"/>
  <c r="N170" i="49"/>
  <c r="O170" i="49" s="1"/>
  <c r="N268" i="49"/>
  <c r="O268" i="49" s="1"/>
  <c r="N224" i="49"/>
  <c r="O224" i="49" s="1"/>
  <c r="N117" i="49"/>
  <c r="O117" i="49" s="1"/>
  <c r="N135" i="49"/>
  <c r="O135" i="49" s="1"/>
  <c r="N111" i="49"/>
  <c r="O111" i="49" s="1"/>
  <c r="N242" i="49"/>
  <c r="O242" i="49" s="1"/>
  <c r="N23" i="49"/>
  <c r="O23" i="49" s="1"/>
  <c r="N83" i="49"/>
  <c r="O83" i="49" s="1"/>
  <c r="N37" i="49"/>
  <c r="O37" i="49" s="1"/>
  <c r="N275" i="49"/>
  <c r="O275" i="49" s="1"/>
  <c r="N180" i="49"/>
  <c r="O180" i="49" s="1"/>
  <c r="N72" i="49"/>
  <c r="O72" i="49" s="1"/>
  <c r="N28" i="49"/>
  <c r="O28" i="49" s="1"/>
  <c r="N60" i="49"/>
  <c r="O60" i="49" s="1"/>
  <c r="N29" i="49"/>
  <c r="O29" i="49" s="1"/>
  <c r="N42" i="49"/>
  <c r="O42" i="49" s="1"/>
  <c r="N306" i="49"/>
  <c r="O306" i="49" s="1"/>
  <c r="N126" i="49"/>
  <c r="O126" i="49" s="1"/>
  <c r="N229" i="49"/>
  <c r="O229" i="49" s="1"/>
  <c r="N89" i="49"/>
  <c r="O89" i="49" s="1"/>
  <c r="N244" i="49"/>
  <c r="O244" i="49" s="1"/>
  <c r="N307" i="49"/>
  <c r="O307" i="49" s="1"/>
  <c r="N203" i="49"/>
  <c r="O203" i="49" s="1"/>
  <c r="N292" i="49"/>
  <c r="O292" i="49" s="1"/>
  <c r="N209" i="49"/>
  <c r="O209" i="49" s="1"/>
  <c r="N206" i="49"/>
  <c r="O206" i="49" s="1"/>
  <c r="N109" i="49"/>
  <c r="O109" i="49" s="1"/>
  <c r="N213" i="49"/>
  <c r="O213" i="49" s="1"/>
  <c r="N27" i="49"/>
  <c r="O27" i="49" s="1"/>
  <c r="N52" i="49"/>
  <c r="O52" i="49" s="1"/>
  <c r="N226" i="49"/>
  <c r="O226" i="49" s="1"/>
  <c r="N112" i="49"/>
  <c r="O112" i="49" s="1"/>
  <c r="N217" i="49"/>
  <c r="O217" i="49" s="1"/>
  <c r="N25" i="49"/>
  <c r="O25" i="49" s="1"/>
  <c r="N56" i="49"/>
  <c r="O56" i="49" s="1"/>
  <c r="N106" i="49"/>
  <c r="O106" i="49" s="1"/>
  <c r="N312" i="49"/>
  <c r="O312" i="49" s="1"/>
  <c r="N247" i="49"/>
  <c r="O247" i="49" s="1"/>
  <c r="N221" i="49"/>
  <c r="O221" i="49" s="1"/>
  <c r="N61" i="49"/>
  <c r="O61" i="49" s="1"/>
  <c r="N140" i="49"/>
  <c r="O140" i="49" s="1"/>
  <c r="N41" i="49"/>
  <c r="O41" i="49" s="1"/>
  <c r="N70" i="49"/>
  <c r="O70" i="49" s="1"/>
  <c r="N318" i="49"/>
  <c r="O318" i="49" s="1"/>
  <c r="N274" i="49"/>
  <c r="O274" i="49" s="1"/>
  <c r="N46" i="49"/>
  <c r="O46" i="49" s="1"/>
  <c r="N199" i="49"/>
  <c r="O199" i="49" s="1"/>
  <c r="N254" i="49"/>
  <c r="O254" i="49" s="1"/>
  <c r="N154" i="49"/>
  <c r="O154" i="49" s="1"/>
  <c r="N317" i="49"/>
  <c r="O317" i="49" s="1"/>
  <c r="N50" i="49"/>
  <c r="O50" i="49" s="1"/>
  <c r="N202" i="49"/>
  <c r="O202" i="49" s="1"/>
  <c r="N258" i="49"/>
  <c r="O258" i="49" s="1"/>
  <c r="N205" i="49"/>
  <c r="O205" i="49" s="1"/>
  <c r="N323" i="49"/>
  <c r="O323" i="49" s="1"/>
  <c r="N177" i="49"/>
  <c r="O177" i="49" s="1"/>
  <c r="N87" i="49"/>
  <c r="O87" i="49" s="1"/>
  <c r="N276" i="49"/>
  <c r="O276" i="49" s="1"/>
  <c r="N94" i="49"/>
  <c r="O94" i="49" s="1"/>
  <c r="N107" i="49"/>
  <c r="O107" i="49" s="1"/>
  <c r="N88" i="49"/>
  <c r="O88" i="49" s="1"/>
  <c r="N277" i="49"/>
  <c r="O277" i="49" s="1"/>
  <c r="N236" i="49"/>
  <c r="O236" i="49" s="1"/>
  <c r="N257" i="49"/>
  <c r="O257" i="49" s="1"/>
  <c r="N314" i="49"/>
  <c r="O314" i="49" s="1"/>
  <c r="N260" i="49"/>
  <c r="O260" i="49" s="1"/>
  <c r="N24" i="49"/>
  <c r="O24" i="49" s="1"/>
  <c r="N273" i="49"/>
  <c r="O273" i="49" s="1"/>
  <c r="N163" i="49"/>
  <c r="O163" i="49" s="1"/>
  <c r="N243" i="49"/>
  <c r="O243" i="49" s="1"/>
  <c r="N267" i="49"/>
  <c r="O267" i="49" s="1"/>
  <c r="N239" i="49"/>
  <c r="O239" i="49" s="1"/>
  <c r="N47" i="49"/>
  <c r="O47" i="49" s="1"/>
  <c r="N227" i="49"/>
  <c r="O227" i="49" s="1"/>
  <c r="N176" i="49"/>
  <c r="O176" i="49" s="1"/>
  <c r="N53" i="49"/>
  <c r="O53" i="49" s="1"/>
  <c r="N31" i="49"/>
  <c r="O31" i="49" s="1"/>
  <c r="N234" i="49"/>
  <c r="O234" i="49" s="1"/>
  <c r="N220" i="49"/>
  <c r="O220" i="49" s="1"/>
  <c r="N207" i="49"/>
  <c r="O207" i="49" s="1"/>
  <c r="N238" i="49"/>
  <c r="O238" i="49" s="1"/>
  <c r="N279" i="49"/>
  <c r="O279" i="49" s="1"/>
  <c r="N187" i="49"/>
  <c r="O187" i="49" s="1"/>
  <c r="B21" i="48"/>
  <c r="N152" i="49"/>
  <c r="O152" i="49" s="1"/>
  <c r="N121" i="49"/>
  <c r="O121" i="49" s="1"/>
  <c r="N284" i="49"/>
  <c r="O284" i="49" s="1"/>
  <c r="N178" i="49"/>
  <c r="O178" i="49" s="1"/>
  <c r="N283" i="49"/>
  <c r="O283" i="49" s="1"/>
  <c r="N96" i="49"/>
  <c r="O96" i="49" s="1"/>
  <c r="N223" i="49"/>
  <c r="O223" i="49" s="1"/>
  <c r="N160" i="49"/>
  <c r="O160" i="49" s="1"/>
  <c r="N144" i="49"/>
  <c r="O144" i="49" s="1"/>
  <c r="N302" i="49"/>
  <c r="O302" i="49" s="1"/>
  <c r="N43" i="49"/>
  <c r="O43" i="49" s="1"/>
  <c r="N147" i="49"/>
  <c r="O147" i="49" s="1"/>
  <c r="N102" i="49"/>
  <c r="O102" i="49" s="1"/>
  <c r="N270" i="49"/>
  <c r="O270" i="49" s="1"/>
  <c r="N293" i="49"/>
  <c r="O293" i="49" s="1"/>
  <c r="N138" i="49"/>
  <c r="O138" i="49" s="1"/>
  <c r="N158" i="49"/>
  <c r="O158" i="49" s="1"/>
  <c r="N139" i="49"/>
  <c r="O139" i="49" s="1"/>
  <c r="N230" i="49"/>
  <c r="O230" i="49" s="1"/>
  <c r="N84" i="49"/>
  <c r="O84" i="49" s="1"/>
  <c r="N166" i="49"/>
  <c r="O166" i="49" s="1"/>
  <c r="N133" i="49"/>
  <c r="O133" i="49" s="1"/>
  <c r="N237" i="49"/>
  <c r="O237" i="49" s="1"/>
  <c r="N136" i="49"/>
  <c r="O136" i="49" s="1"/>
  <c r="N245" i="49"/>
  <c r="O245" i="49" s="1"/>
  <c r="N272" i="49"/>
  <c r="O272" i="49" s="1"/>
  <c r="N11" i="49"/>
  <c r="O11" i="49" s="1"/>
  <c r="N290" i="49"/>
  <c r="O290" i="49" s="1"/>
  <c r="N195" i="49"/>
  <c r="O195" i="49" s="1"/>
  <c r="N192" i="49"/>
  <c r="O192" i="49" s="1"/>
  <c r="N93" i="49"/>
  <c r="O93" i="49" s="1"/>
  <c r="N175" i="49"/>
  <c r="O175" i="49" s="1"/>
  <c r="N288" i="49"/>
  <c r="O288" i="49" s="1"/>
  <c r="N271" i="49"/>
  <c r="O271" i="49" s="1"/>
  <c r="N216" i="49"/>
  <c r="O216" i="49" s="1"/>
  <c r="N90" i="49"/>
  <c r="O90" i="49" s="1"/>
  <c r="N251" i="49"/>
  <c r="O251" i="49" s="1"/>
  <c r="K38" i="40"/>
  <c r="H38" i="40" s="1"/>
  <c r="I323" i="37"/>
  <c r="F323" i="37"/>
  <c r="G16" i="34"/>
  <c r="H16" i="34" s="1"/>
  <c r="M175" i="25" l="1"/>
  <c r="J175" i="52"/>
  <c r="K175" i="52" s="1"/>
  <c r="M290" i="25"/>
  <c r="J290" i="52"/>
  <c r="K290" i="52" s="1"/>
  <c r="M136" i="25"/>
  <c r="J136" i="52"/>
  <c r="K136" i="52" s="1"/>
  <c r="M133" i="25"/>
  <c r="J133" i="52"/>
  <c r="K133" i="52" s="1"/>
  <c r="M139" i="25"/>
  <c r="J139" i="52"/>
  <c r="K139" i="52" s="1"/>
  <c r="M138" i="25"/>
  <c r="J138" i="52"/>
  <c r="K138" i="52" s="1"/>
  <c r="M270" i="25"/>
  <c r="J270" i="52"/>
  <c r="K270" i="52" s="1"/>
  <c r="M147" i="25"/>
  <c r="J147" i="52"/>
  <c r="K147" i="52" s="1"/>
  <c r="M302" i="25"/>
  <c r="J302" i="52"/>
  <c r="K302" i="52" s="1"/>
  <c r="M160" i="25"/>
  <c r="J160" i="52"/>
  <c r="K160" i="52" s="1"/>
  <c r="M96" i="25"/>
  <c r="J96" i="52"/>
  <c r="K96" i="52" s="1"/>
  <c r="M178" i="25"/>
  <c r="J178" i="52"/>
  <c r="K178" i="52" s="1"/>
  <c r="M121" i="25"/>
  <c r="J121" i="52"/>
  <c r="K121" i="52" s="1"/>
  <c r="M279" i="25"/>
  <c r="J279" i="52"/>
  <c r="K279" i="52" s="1"/>
  <c r="M234" i="25"/>
  <c r="J234" i="52"/>
  <c r="K234" i="52" s="1"/>
  <c r="M227" i="25"/>
  <c r="J227" i="52"/>
  <c r="K227" i="52" s="1"/>
  <c r="M243" i="25"/>
  <c r="J243" i="52"/>
  <c r="K243" i="52" s="1"/>
  <c r="M260" i="25"/>
  <c r="J260" i="52"/>
  <c r="K260" i="52" s="1"/>
  <c r="M277" i="25"/>
  <c r="J277" i="52"/>
  <c r="K277" i="52" s="1"/>
  <c r="M276" i="25"/>
  <c r="J276" i="52"/>
  <c r="K276" i="52" s="1"/>
  <c r="M205" i="25"/>
  <c r="J205" i="52"/>
  <c r="K205" i="52" s="1"/>
  <c r="M317" i="25"/>
  <c r="J317" i="52"/>
  <c r="K317" i="52" s="1"/>
  <c r="M46" i="25"/>
  <c r="J46" i="52"/>
  <c r="K46" i="52" s="1"/>
  <c r="M41" i="25"/>
  <c r="J41" i="52"/>
  <c r="K41" i="52" s="1"/>
  <c r="M247" i="25"/>
  <c r="J247" i="52"/>
  <c r="K247" i="52" s="1"/>
  <c r="M25" i="25"/>
  <c r="J25" i="52"/>
  <c r="K25" i="52" s="1"/>
  <c r="M52" i="25"/>
  <c r="J52" i="52"/>
  <c r="K52" i="52" s="1"/>
  <c r="M206" i="25"/>
  <c r="J206" i="52"/>
  <c r="K206" i="52" s="1"/>
  <c r="M307" i="25"/>
  <c r="J307" i="52"/>
  <c r="K307" i="52" s="1"/>
  <c r="M126" i="25"/>
  <c r="J126" i="52"/>
  <c r="K126" i="52" s="1"/>
  <c r="M60" i="25"/>
  <c r="J60" i="52"/>
  <c r="K60" i="52" s="1"/>
  <c r="M72" i="25"/>
  <c r="J72" i="52"/>
  <c r="K72" i="52" s="1"/>
  <c r="M242" i="25"/>
  <c r="J242" i="52"/>
  <c r="K242" i="52" s="1"/>
  <c r="M224" i="25"/>
  <c r="J224" i="52"/>
  <c r="K224" i="52" s="1"/>
  <c r="M170" i="25"/>
  <c r="J170" i="52"/>
  <c r="K170" i="52" s="1"/>
  <c r="M44" i="25"/>
  <c r="J44" i="52"/>
  <c r="K44" i="52" s="1"/>
  <c r="M235" i="25"/>
  <c r="J235" i="52"/>
  <c r="K235" i="52" s="1"/>
  <c r="M145" i="25"/>
  <c r="J145" i="52"/>
  <c r="K145" i="52" s="1"/>
  <c r="M63" i="25"/>
  <c r="J63" i="52"/>
  <c r="K63" i="52" s="1"/>
  <c r="M68" i="25"/>
  <c r="J68" i="52"/>
  <c r="K68" i="52" s="1"/>
  <c r="M78" i="25"/>
  <c r="J78" i="52"/>
  <c r="K78" i="52" s="1"/>
  <c r="M251" i="25"/>
  <c r="J251" i="52"/>
  <c r="K251" i="52" s="1"/>
  <c r="M216" i="25"/>
  <c r="J216" i="52"/>
  <c r="K216" i="52" s="1"/>
  <c r="M288" i="25"/>
  <c r="J288" i="52"/>
  <c r="K288" i="52" s="1"/>
  <c r="M93" i="25"/>
  <c r="J93" i="52"/>
  <c r="K93" i="52" s="1"/>
  <c r="M195" i="25"/>
  <c r="J195" i="52"/>
  <c r="K195" i="52" s="1"/>
  <c r="M11" i="25"/>
  <c r="J11" i="52"/>
  <c r="K11" i="52" s="1"/>
  <c r="M245" i="25"/>
  <c r="J245" i="52"/>
  <c r="K245" i="52" s="1"/>
  <c r="M237" i="25"/>
  <c r="J237" i="52"/>
  <c r="K237" i="52" s="1"/>
  <c r="M166" i="25"/>
  <c r="J166" i="52"/>
  <c r="K166" i="52" s="1"/>
  <c r="M230" i="25"/>
  <c r="J230" i="52"/>
  <c r="K230" i="52" s="1"/>
  <c r="M158" i="25"/>
  <c r="J158" i="52"/>
  <c r="K158" i="52" s="1"/>
  <c r="M293" i="25"/>
  <c r="J293" i="52"/>
  <c r="K293" i="52" s="1"/>
  <c r="M102" i="25"/>
  <c r="J102" i="52"/>
  <c r="K102" i="52" s="1"/>
  <c r="M43" i="25"/>
  <c r="J43" i="52"/>
  <c r="K43" i="52" s="1"/>
  <c r="M144" i="25"/>
  <c r="J144" i="52"/>
  <c r="K144" i="52" s="1"/>
  <c r="M223" i="25"/>
  <c r="J223" i="52"/>
  <c r="K223" i="52" s="1"/>
  <c r="M283" i="25"/>
  <c r="J283" i="52"/>
  <c r="K283" i="52" s="1"/>
  <c r="M284" i="25"/>
  <c r="J284" i="52"/>
  <c r="K284" i="52" s="1"/>
  <c r="M152" i="25"/>
  <c r="J152" i="52"/>
  <c r="K152" i="52" s="1"/>
  <c r="M187" i="25"/>
  <c r="J187" i="52"/>
  <c r="K187" i="52" s="1"/>
  <c r="M238" i="25"/>
  <c r="J238" i="52"/>
  <c r="K238" i="52" s="1"/>
  <c r="M220" i="25"/>
  <c r="J220" i="52"/>
  <c r="K220" i="52" s="1"/>
  <c r="M31" i="25"/>
  <c r="J31" i="52"/>
  <c r="K31" i="52" s="1"/>
  <c r="M176" i="25"/>
  <c r="J176" i="52"/>
  <c r="K176" i="52" s="1"/>
  <c r="M47" i="25"/>
  <c r="J47" i="52"/>
  <c r="K47" i="52" s="1"/>
  <c r="M267" i="25"/>
  <c r="J267" i="52"/>
  <c r="K267" i="52" s="1"/>
  <c r="M163" i="25"/>
  <c r="J163" i="52"/>
  <c r="K163" i="52" s="1"/>
  <c r="M24" i="25"/>
  <c r="J24" i="52"/>
  <c r="K24" i="52" s="1"/>
  <c r="M314" i="25"/>
  <c r="J314" i="52"/>
  <c r="K314" i="52" s="1"/>
  <c r="M236" i="25"/>
  <c r="J236" i="52"/>
  <c r="K236" i="52" s="1"/>
  <c r="M88" i="25"/>
  <c r="J88" i="52"/>
  <c r="K88" i="52" s="1"/>
  <c r="M94" i="25"/>
  <c r="J94" i="52"/>
  <c r="K94" i="52" s="1"/>
  <c r="M87" i="25"/>
  <c r="J87" i="52"/>
  <c r="K87" i="52" s="1"/>
  <c r="M323" i="25"/>
  <c r="J323" i="52"/>
  <c r="K323" i="52" s="1"/>
  <c r="M258" i="25"/>
  <c r="J258" i="52"/>
  <c r="K258" i="52" s="1"/>
  <c r="M50" i="25"/>
  <c r="J50" i="52"/>
  <c r="K50" i="52" s="1"/>
  <c r="M154" i="25"/>
  <c r="J154" i="52"/>
  <c r="K154" i="52" s="1"/>
  <c r="M199" i="25"/>
  <c r="J199" i="52"/>
  <c r="K199" i="52" s="1"/>
  <c r="M274" i="25"/>
  <c r="J274" i="52"/>
  <c r="K274" i="52" s="1"/>
  <c r="M70" i="25"/>
  <c r="J70" i="52"/>
  <c r="K70" i="52" s="1"/>
  <c r="M140" i="25"/>
  <c r="J140" i="52"/>
  <c r="K140" i="52" s="1"/>
  <c r="M221" i="25"/>
  <c r="J221" i="52"/>
  <c r="K221" i="52" s="1"/>
  <c r="M312" i="25"/>
  <c r="J312" i="52"/>
  <c r="K312" i="52" s="1"/>
  <c r="M56" i="25"/>
  <c r="J56" i="52"/>
  <c r="K56" i="52" s="1"/>
  <c r="M217" i="25"/>
  <c r="J217" i="52"/>
  <c r="K217" i="52" s="1"/>
  <c r="M226" i="25"/>
  <c r="J226" i="52"/>
  <c r="K226" i="52" s="1"/>
  <c r="M27" i="25"/>
  <c r="J27" i="52"/>
  <c r="K27" i="52" s="1"/>
  <c r="M109" i="25"/>
  <c r="J109" i="52"/>
  <c r="K109" i="52" s="1"/>
  <c r="M209" i="25"/>
  <c r="J209" i="52"/>
  <c r="K209" i="52" s="1"/>
  <c r="M203" i="25"/>
  <c r="J203" i="52"/>
  <c r="K203" i="52" s="1"/>
  <c r="M244" i="25"/>
  <c r="J244" i="52"/>
  <c r="K244" i="52" s="1"/>
  <c r="M229" i="25"/>
  <c r="J229" i="52"/>
  <c r="K229" i="52" s="1"/>
  <c r="M306" i="25"/>
  <c r="J306" i="52"/>
  <c r="K306" i="52" s="1"/>
  <c r="M29" i="25"/>
  <c r="J29" i="52"/>
  <c r="K29" i="52" s="1"/>
  <c r="M28" i="25"/>
  <c r="J28" i="52"/>
  <c r="K28" i="52" s="1"/>
  <c r="M180" i="25"/>
  <c r="J180" i="52"/>
  <c r="K180" i="52" s="1"/>
  <c r="M37" i="25"/>
  <c r="J37" i="52"/>
  <c r="K37" i="52" s="1"/>
  <c r="M23" i="25"/>
  <c r="J23" i="52"/>
  <c r="K23" i="52" s="1"/>
  <c r="M111" i="25"/>
  <c r="J111" i="52"/>
  <c r="K111" i="52" s="1"/>
  <c r="M117" i="25"/>
  <c r="J117" i="52"/>
  <c r="K117" i="52" s="1"/>
  <c r="M268" i="25"/>
  <c r="J268" i="52"/>
  <c r="K268" i="52" s="1"/>
  <c r="M286" i="25"/>
  <c r="J286" i="52"/>
  <c r="K286" i="52" s="1"/>
  <c r="M304" i="25"/>
  <c r="J304" i="52"/>
  <c r="K304" i="52" s="1"/>
  <c r="M162" i="25"/>
  <c r="J162" i="52"/>
  <c r="K162" i="52" s="1"/>
  <c r="M67" i="25"/>
  <c r="J67" i="52"/>
  <c r="K67" i="52" s="1"/>
  <c r="M13" i="25"/>
  <c r="J13" i="52"/>
  <c r="K13" i="52" s="1"/>
  <c r="M131" i="25"/>
  <c r="J131" i="52"/>
  <c r="K131" i="52" s="1"/>
  <c r="M168" i="25"/>
  <c r="J168" i="52"/>
  <c r="K168" i="52" s="1"/>
  <c r="M190" i="25"/>
  <c r="J190" i="52"/>
  <c r="K190" i="52" s="1"/>
  <c r="M305" i="25"/>
  <c r="J305" i="52"/>
  <c r="K305" i="52" s="1"/>
  <c r="M200" i="25"/>
  <c r="J200" i="52"/>
  <c r="M115" i="25"/>
  <c r="J115" i="52"/>
  <c r="K115" i="52" s="1"/>
  <c r="M119" i="25"/>
  <c r="J119" i="52"/>
  <c r="K119" i="52" s="1"/>
  <c r="M320" i="25"/>
  <c r="J320" i="52"/>
  <c r="K320" i="52" s="1"/>
  <c r="M212" i="25"/>
  <c r="J212" i="52"/>
  <c r="K212" i="52" s="1"/>
  <c r="M218" i="25"/>
  <c r="J218" i="52"/>
  <c r="K218" i="52" s="1"/>
  <c r="M108" i="25"/>
  <c r="J108" i="52"/>
  <c r="K108" i="52" s="1"/>
  <c r="M20" i="25"/>
  <c r="J20" i="52"/>
  <c r="K20" i="52" s="1"/>
  <c r="M92" i="25"/>
  <c r="J92" i="52"/>
  <c r="K92" i="52" s="1"/>
  <c r="M48" i="25"/>
  <c r="J48" i="52"/>
  <c r="K48" i="52" s="1"/>
  <c r="M36" i="25"/>
  <c r="J36" i="52"/>
  <c r="K36" i="52" s="1"/>
  <c r="M262" i="25"/>
  <c r="J262" i="52"/>
  <c r="K262" i="52" s="1"/>
  <c r="M174" i="25"/>
  <c r="J174" i="52"/>
  <c r="K174" i="52" s="1"/>
  <c r="M30" i="25"/>
  <c r="J30" i="52"/>
  <c r="K30" i="52" s="1"/>
  <c r="M295" i="25"/>
  <c r="J295" i="52"/>
  <c r="K295" i="52" s="1"/>
  <c r="M181" i="25"/>
  <c r="J181" i="52"/>
  <c r="K181" i="52" s="1"/>
  <c r="M159" i="25"/>
  <c r="J159" i="52"/>
  <c r="K159" i="52" s="1"/>
  <c r="M125" i="25"/>
  <c r="J125" i="52"/>
  <c r="K125" i="52" s="1"/>
  <c r="M211" i="25"/>
  <c r="J211" i="52"/>
  <c r="K211" i="52" s="1"/>
  <c r="M146" i="25"/>
  <c r="J146" i="52"/>
  <c r="K146" i="52" s="1"/>
  <c r="M95" i="25"/>
  <c r="J95" i="52"/>
  <c r="K95" i="52" s="1"/>
  <c r="M122" i="25"/>
  <c r="J122" i="52"/>
  <c r="K122" i="52" s="1"/>
  <c r="M256" i="25"/>
  <c r="J256" i="52"/>
  <c r="K256" i="52" s="1"/>
  <c r="M21" i="25"/>
  <c r="J21" i="52"/>
  <c r="K21" i="52" s="1"/>
  <c r="M143" i="25"/>
  <c r="J143" i="52"/>
  <c r="K143" i="52" s="1"/>
  <c r="M294" i="25"/>
  <c r="J294" i="52"/>
  <c r="K294" i="52" s="1"/>
  <c r="M86" i="25"/>
  <c r="J86" i="52"/>
  <c r="K86" i="52" s="1"/>
  <c r="M85" i="25"/>
  <c r="J85" i="52"/>
  <c r="K85" i="52" s="1"/>
  <c r="M303" i="25"/>
  <c r="J303" i="52"/>
  <c r="K303" i="52" s="1"/>
  <c r="M265" i="25"/>
  <c r="J265" i="52"/>
  <c r="K265" i="52" s="1"/>
  <c r="M308" i="25"/>
  <c r="J308" i="52"/>
  <c r="K308" i="52" s="1"/>
  <c r="M157" i="25"/>
  <c r="J157" i="52"/>
  <c r="K157" i="52" s="1"/>
  <c r="M248" i="25"/>
  <c r="J248" i="52"/>
  <c r="K248" i="52" s="1"/>
  <c r="M34" i="25"/>
  <c r="J34" i="52"/>
  <c r="K34" i="52" s="1"/>
  <c r="M240" i="25"/>
  <c r="J240" i="52"/>
  <c r="K240" i="52" s="1"/>
  <c r="M91" i="25"/>
  <c r="J91" i="52"/>
  <c r="K91" i="52" s="1"/>
  <c r="M241" i="25"/>
  <c r="J241" i="52"/>
  <c r="K241" i="52" s="1"/>
  <c r="M38" i="25"/>
  <c r="J38" i="52"/>
  <c r="K38" i="52" s="1"/>
  <c r="M98" i="25"/>
  <c r="J98" i="52"/>
  <c r="K98" i="52" s="1"/>
  <c r="M201" i="25"/>
  <c r="J201" i="52"/>
  <c r="K201" i="52" s="1"/>
  <c r="M134" i="25"/>
  <c r="J134" i="52"/>
  <c r="K134" i="52" s="1"/>
  <c r="M103" i="25"/>
  <c r="J103" i="52"/>
  <c r="K103" i="52" s="1"/>
  <c r="M104" i="25"/>
  <c r="J104" i="52"/>
  <c r="K104" i="52" s="1"/>
  <c r="M194" i="25"/>
  <c r="J194" i="52"/>
  <c r="K194" i="52" s="1"/>
  <c r="M246" i="25"/>
  <c r="J246" i="52"/>
  <c r="K246" i="52" s="1"/>
  <c r="M9" i="25"/>
  <c r="J9" i="52"/>
  <c r="K9" i="52" s="1"/>
  <c r="M55" i="25"/>
  <c r="J55" i="52"/>
  <c r="K55" i="52" s="1"/>
  <c r="M128" i="25"/>
  <c r="J128" i="52"/>
  <c r="K128" i="52" s="1"/>
  <c r="M123" i="25"/>
  <c r="J123" i="52"/>
  <c r="K123" i="52" s="1"/>
  <c r="M127" i="25"/>
  <c r="J127" i="52"/>
  <c r="K127" i="52" s="1"/>
  <c r="M82" i="25"/>
  <c r="J82" i="52"/>
  <c r="K82" i="52" s="1"/>
  <c r="M148" i="25"/>
  <c r="J148" i="52"/>
  <c r="K148" i="52" s="1"/>
  <c r="M266" i="25"/>
  <c r="J266" i="52"/>
  <c r="K266" i="52" s="1"/>
  <c r="M45" i="25"/>
  <c r="J45" i="52"/>
  <c r="K45" i="52" s="1"/>
  <c r="M10" i="25"/>
  <c r="J10" i="52"/>
  <c r="K10" i="52" s="1"/>
  <c r="M196" i="25"/>
  <c r="J196" i="52"/>
  <c r="K196" i="52" s="1"/>
  <c r="M261" i="25"/>
  <c r="J261" i="52"/>
  <c r="K261" i="52" s="1"/>
  <c r="M301" i="25"/>
  <c r="J301" i="52"/>
  <c r="K301" i="52" s="1"/>
  <c r="M65" i="25"/>
  <c r="J65" i="52"/>
  <c r="K65" i="52" s="1"/>
  <c r="M313" i="25"/>
  <c r="J313" i="52"/>
  <c r="K313" i="52" s="1"/>
  <c r="M161" i="25"/>
  <c r="J161" i="52"/>
  <c r="K161" i="52" s="1"/>
  <c r="M255" i="25"/>
  <c r="J255" i="52"/>
  <c r="K255" i="52" s="1"/>
  <c r="M282" i="25"/>
  <c r="J282" i="52"/>
  <c r="K282" i="52" s="1"/>
  <c r="M26" i="25"/>
  <c r="J26" i="52"/>
  <c r="K26" i="52" s="1"/>
  <c r="M62" i="25"/>
  <c r="J62" i="52"/>
  <c r="K62" i="52" s="1"/>
  <c r="M280" i="25"/>
  <c r="J280" i="52"/>
  <c r="K280" i="52" s="1"/>
  <c r="M33" i="25"/>
  <c r="J33" i="52"/>
  <c r="K33" i="52" s="1"/>
  <c r="M299" i="25"/>
  <c r="J299" i="52"/>
  <c r="K299" i="52" s="1"/>
  <c r="M300" i="25"/>
  <c r="J300" i="52"/>
  <c r="K300" i="52" s="1"/>
  <c r="M321" i="25"/>
  <c r="J321" i="52"/>
  <c r="K321" i="52" s="1"/>
  <c r="M298" i="25"/>
  <c r="J298" i="52"/>
  <c r="K298" i="52" s="1"/>
  <c r="M74" i="25"/>
  <c r="J74" i="52"/>
  <c r="K74" i="52" s="1"/>
  <c r="M129" i="25"/>
  <c r="J129" i="52"/>
  <c r="K129" i="52" s="1"/>
  <c r="M219" i="25"/>
  <c r="J219" i="52"/>
  <c r="K219" i="52" s="1"/>
  <c r="M59" i="25"/>
  <c r="J59" i="52"/>
  <c r="K59" i="52" s="1"/>
  <c r="M250" i="25"/>
  <c r="J250" i="52"/>
  <c r="K250" i="52" s="1"/>
  <c r="M100" i="25"/>
  <c r="J100" i="52"/>
  <c r="K100" i="52" s="1"/>
  <c r="M197" i="25"/>
  <c r="J197" i="52"/>
  <c r="K197" i="52" s="1"/>
  <c r="M17" i="25"/>
  <c r="J17" i="52"/>
  <c r="K17" i="52" s="1"/>
  <c r="M7" i="25"/>
  <c r="J7" i="52"/>
  <c r="K7" i="52" s="1"/>
  <c r="M253" i="25"/>
  <c r="J253" i="52"/>
  <c r="K253" i="52" s="1"/>
  <c r="M164" i="25"/>
  <c r="J164" i="52"/>
  <c r="K164" i="52" s="1"/>
  <c r="M281" i="25"/>
  <c r="J281" i="52"/>
  <c r="K281" i="52" s="1"/>
  <c r="M184" i="25"/>
  <c r="J184" i="52"/>
  <c r="K184" i="52" s="1"/>
  <c r="M193" i="25"/>
  <c r="J193" i="52"/>
  <c r="K193" i="52" s="1"/>
  <c r="M215" i="25"/>
  <c r="J215" i="52"/>
  <c r="K215" i="52" s="1"/>
  <c r="M113" i="25"/>
  <c r="J113" i="52"/>
  <c r="K113" i="52" s="1"/>
  <c r="M15" i="25"/>
  <c r="J15" i="52"/>
  <c r="K15" i="52" s="1"/>
  <c r="M264" i="25"/>
  <c r="J264" i="52"/>
  <c r="K264" i="52" s="1"/>
  <c r="M90" i="25"/>
  <c r="J90" i="52"/>
  <c r="K90" i="52" s="1"/>
  <c r="M271" i="25"/>
  <c r="J271" i="52"/>
  <c r="K271" i="52" s="1"/>
  <c r="M192" i="25"/>
  <c r="J192" i="52"/>
  <c r="K192" i="52" s="1"/>
  <c r="M272" i="25"/>
  <c r="J272" i="52"/>
  <c r="K272" i="52" s="1"/>
  <c r="M84" i="25"/>
  <c r="J84" i="52"/>
  <c r="K84" i="52" s="1"/>
  <c r="M207" i="25"/>
  <c r="J207" i="52"/>
  <c r="K207" i="52" s="1"/>
  <c r="M53" i="25"/>
  <c r="J53" i="52"/>
  <c r="K53" i="52" s="1"/>
  <c r="M239" i="25"/>
  <c r="J239" i="52"/>
  <c r="K239" i="52" s="1"/>
  <c r="M273" i="25"/>
  <c r="J273" i="52"/>
  <c r="K273" i="52" s="1"/>
  <c r="M257" i="25"/>
  <c r="J257" i="52"/>
  <c r="K257" i="52" s="1"/>
  <c r="M107" i="25"/>
  <c r="J107" i="52"/>
  <c r="K107" i="52" s="1"/>
  <c r="M177" i="25"/>
  <c r="J177" i="52"/>
  <c r="K177" i="52" s="1"/>
  <c r="M202" i="25"/>
  <c r="J202" i="52"/>
  <c r="K202" i="52" s="1"/>
  <c r="M254" i="25"/>
  <c r="J254" i="52"/>
  <c r="K254" i="52" s="1"/>
  <c r="M318" i="25"/>
  <c r="J318" i="52"/>
  <c r="K318" i="52" s="1"/>
  <c r="M61" i="25"/>
  <c r="J61" i="52"/>
  <c r="K61" i="52" s="1"/>
  <c r="M106" i="25"/>
  <c r="J106" i="52"/>
  <c r="K106" i="52" s="1"/>
  <c r="M112" i="25"/>
  <c r="J112" i="52"/>
  <c r="K112" i="52" s="1"/>
  <c r="M213" i="25"/>
  <c r="J213" i="52"/>
  <c r="K213" i="52" s="1"/>
  <c r="M292" i="25"/>
  <c r="J292" i="52"/>
  <c r="K292" i="52" s="1"/>
  <c r="M89" i="25"/>
  <c r="J89" i="52"/>
  <c r="K89" i="52" s="1"/>
  <c r="M42" i="25"/>
  <c r="J42" i="52"/>
  <c r="K42" i="52" s="1"/>
  <c r="M275" i="25"/>
  <c r="J275" i="52"/>
  <c r="K275" i="52" s="1"/>
  <c r="M83" i="25"/>
  <c r="J83" i="52"/>
  <c r="K83" i="52" s="1"/>
  <c r="M135" i="25"/>
  <c r="J135" i="52"/>
  <c r="K135" i="52" s="1"/>
  <c r="M285" i="25"/>
  <c r="J285" i="52"/>
  <c r="K285" i="52" s="1"/>
  <c r="M173" i="25"/>
  <c r="J173" i="52"/>
  <c r="K173" i="52" s="1"/>
  <c r="M289" i="25"/>
  <c r="J289" i="52"/>
  <c r="K289" i="52" s="1"/>
  <c r="M259" i="25"/>
  <c r="J259" i="52"/>
  <c r="K259" i="52" s="1"/>
  <c r="M208" i="25"/>
  <c r="J208" i="52"/>
  <c r="K208" i="52" s="1"/>
  <c r="M69" i="25"/>
  <c r="J69" i="52"/>
  <c r="K69" i="52" s="1"/>
  <c r="M51" i="25"/>
  <c r="J51" i="52"/>
  <c r="K51" i="52" s="1"/>
  <c r="M150" i="25"/>
  <c r="J150" i="52"/>
  <c r="K150" i="52" s="1"/>
  <c r="M73" i="25"/>
  <c r="J73" i="52"/>
  <c r="K73" i="52" s="1"/>
  <c r="M210" i="25"/>
  <c r="J210" i="52"/>
  <c r="K210" i="52" s="1"/>
  <c r="M232" i="25"/>
  <c r="J232" i="52"/>
  <c r="K232" i="52" s="1"/>
  <c r="M153" i="25"/>
  <c r="J153" i="52"/>
  <c r="K153" i="52" s="1"/>
  <c r="M142" i="25"/>
  <c r="J142" i="52"/>
  <c r="K142" i="52" s="1"/>
  <c r="M54" i="25"/>
  <c r="J54" i="52"/>
  <c r="K54" i="52" s="1"/>
  <c r="M169" i="25"/>
  <c r="J169" i="52"/>
  <c r="K169" i="52" s="1"/>
  <c r="M179" i="25"/>
  <c r="J179" i="52"/>
  <c r="K179" i="52" s="1"/>
  <c r="M101" i="25"/>
  <c r="J101" i="52"/>
  <c r="K101" i="52" s="1"/>
  <c r="M214" i="25"/>
  <c r="J214" i="52"/>
  <c r="K214" i="52" s="1"/>
  <c r="M137" i="25"/>
  <c r="J137" i="52"/>
  <c r="K137" i="52" s="1"/>
  <c r="M291" i="25"/>
  <c r="J291" i="52"/>
  <c r="K291" i="52" s="1"/>
  <c r="M252" i="25"/>
  <c r="J252" i="52"/>
  <c r="K252" i="52" s="1"/>
  <c r="M81" i="25"/>
  <c r="J81" i="52"/>
  <c r="K81" i="52" s="1"/>
  <c r="M225" i="25"/>
  <c r="J225" i="52"/>
  <c r="K225" i="52" s="1"/>
  <c r="M12" i="25"/>
  <c r="J12" i="52"/>
  <c r="K12" i="52" s="1"/>
  <c r="M198" i="25"/>
  <c r="J198" i="52"/>
  <c r="K198" i="52" s="1"/>
  <c r="M149" i="25"/>
  <c r="J149" i="52"/>
  <c r="K149" i="52" s="1"/>
  <c r="M189" i="25"/>
  <c r="J189" i="52"/>
  <c r="K189" i="52" s="1"/>
  <c r="M249" i="25"/>
  <c r="J249" i="52"/>
  <c r="K249" i="52" s="1"/>
  <c r="M39" i="25"/>
  <c r="J39" i="52"/>
  <c r="K39" i="52" s="1"/>
  <c r="M185" i="25"/>
  <c r="J185" i="52"/>
  <c r="K185" i="52" s="1"/>
  <c r="M222" i="25"/>
  <c r="J222" i="52"/>
  <c r="K222" i="52" s="1"/>
  <c r="M49" i="25"/>
  <c r="J49" i="52"/>
  <c r="K49" i="52" s="1"/>
  <c r="M114" i="25"/>
  <c r="J114" i="52"/>
  <c r="K114" i="52" s="1"/>
  <c r="M14" i="25"/>
  <c r="J14" i="52"/>
  <c r="K14" i="52" s="1"/>
  <c r="M172" i="25"/>
  <c r="J172" i="52"/>
  <c r="K172" i="52" s="1"/>
  <c r="M151" i="25"/>
  <c r="J151" i="52"/>
  <c r="K151" i="52" s="1"/>
  <c r="M79" i="25"/>
  <c r="J79" i="52"/>
  <c r="K79" i="52" s="1"/>
  <c r="M116" i="25"/>
  <c r="J116" i="52"/>
  <c r="K116" i="52" s="1"/>
  <c r="M233" i="25"/>
  <c r="J233" i="52"/>
  <c r="K233" i="52" s="1"/>
  <c r="M130" i="25"/>
  <c r="J130" i="52"/>
  <c r="K130" i="52" s="1"/>
  <c r="M120" i="25"/>
  <c r="J120" i="52"/>
  <c r="K120" i="52" s="1"/>
  <c r="M32" i="25"/>
  <c r="J32" i="52"/>
  <c r="K32" i="52" s="1"/>
  <c r="M8" i="25"/>
  <c r="J8" i="52"/>
  <c r="K8" i="52" s="1"/>
  <c r="M204" i="25"/>
  <c r="J204" i="52"/>
  <c r="K204" i="52" s="1"/>
  <c r="M155" i="25"/>
  <c r="J155" i="52"/>
  <c r="K155" i="52" s="1"/>
  <c r="M19" i="25"/>
  <c r="J19" i="52"/>
  <c r="K19" i="52" s="1"/>
  <c r="M16" i="25"/>
  <c r="J16" i="52"/>
  <c r="K16" i="52" s="1"/>
  <c r="M77" i="25"/>
  <c r="J77" i="52"/>
  <c r="K77" i="52" s="1"/>
  <c r="M269" i="25"/>
  <c r="J269" i="52"/>
  <c r="K269" i="52" s="1"/>
  <c r="M287" i="25"/>
  <c r="J287" i="52"/>
  <c r="K287" i="52" s="1"/>
  <c r="M316" i="25"/>
  <c r="J316" i="52"/>
  <c r="K316" i="52" s="1"/>
  <c r="M165" i="25"/>
  <c r="J165" i="52"/>
  <c r="K165" i="52" s="1"/>
  <c r="M319" i="25"/>
  <c r="J319" i="52"/>
  <c r="K319" i="52" s="1"/>
  <c r="M315" i="25"/>
  <c r="J315" i="52"/>
  <c r="K315" i="52" s="1"/>
  <c r="M64" i="25"/>
  <c r="J64" i="52"/>
  <c r="K64" i="52" s="1"/>
  <c r="M322" i="25"/>
  <c r="J322" i="52"/>
  <c r="K322" i="52" s="1"/>
  <c r="M57" i="25"/>
  <c r="J57" i="52"/>
  <c r="K57" i="52" s="1"/>
  <c r="M132" i="25"/>
  <c r="J132" i="52"/>
  <c r="K132" i="52" s="1"/>
  <c r="M311" i="25"/>
  <c r="J311" i="52"/>
  <c r="K311" i="52" s="1"/>
  <c r="M228" i="25"/>
  <c r="J228" i="52"/>
  <c r="K228" i="52" s="1"/>
  <c r="M297" i="25"/>
  <c r="J297" i="52"/>
  <c r="K297" i="52" s="1"/>
  <c r="M263" i="25"/>
  <c r="J263" i="52"/>
  <c r="K263" i="52" s="1"/>
  <c r="M71" i="25"/>
  <c r="J71" i="52"/>
  <c r="K71" i="52" s="1"/>
  <c r="M80" i="25"/>
  <c r="J80" i="52"/>
  <c r="K80" i="52" s="1"/>
  <c r="M141" i="25"/>
  <c r="J141" i="52"/>
  <c r="K141" i="52" s="1"/>
  <c r="M191" i="25"/>
  <c r="J191" i="52"/>
  <c r="K191" i="52" s="1"/>
  <c r="M183" i="25"/>
  <c r="J183" i="52"/>
  <c r="K183" i="52" s="1"/>
  <c r="M118" i="25"/>
  <c r="J118" i="52"/>
  <c r="K118" i="52" s="1"/>
  <c r="M97" i="25"/>
  <c r="J97" i="52"/>
  <c r="K97" i="52" s="1"/>
  <c r="M171" i="25"/>
  <c r="J171" i="52"/>
  <c r="K171" i="52" s="1"/>
  <c r="M167" i="25"/>
  <c r="J167" i="52"/>
  <c r="K167" i="52" s="1"/>
  <c r="M156" i="25"/>
  <c r="J156" i="52"/>
  <c r="K156" i="52" s="1"/>
  <c r="M18" i="25"/>
  <c r="J18" i="52"/>
  <c r="K18" i="52" s="1"/>
  <c r="M231" i="25"/>
  <c r="J231" i="52"/>
  <c r="K231" i="52" s="1"/>
  <c r="M99" i="25"/>
  <c r="J99" i="52"/>
  <c r="K99" i="52" s="1"/>
  <c r="M278" i="25"/>
  <c r="J278" i="52"/>
  <c r="K278" i="52" s="1"/>
  <c r="M186" i="25"/>
  <c r="J186" i="52"/>
  <c r="K186" i="52" s="1"/>
  <c r="M22" i="25"/>
  <c r="J22" i="52"/>
  <c r="K22" i="52" s="1"/>
  <c r="M66" i="25"/>
  <c r="J66" i="52"/>
  <c r="K66" i="52" s="1"/>
  <c r="M110" i="25"/>
  <c r="J110" i="52"/>
  <c r="K110" i="52" s="1"/>
  <c r="M124" i="25"/>
  <c r="J124" i="52"/>
  <c r="K124" i="52" s="1"/>
  <c r="M182" i="25"/>
  <c r="J182" i="52"/>
  <c r="K182" i="52" s="1"/>
  <c r="M188" i="25"/>
  <c r="J188" i="52"/>
  <c r="K188" i="52" s="1"/>
  <c r="M76" i="25"/>
  <c r="J76" i="52"/>
  <c r="K76" i="52" s="1"/>
  <c r="M35" i="25"/>
  <c r="J35" i="52"/>
  <c r="K35" i="52" s="1"/>
  <c r="M296" i="25"/>
  <c r="J296" i="52"/>
  <c r="K296" i="52" s="1"/>
  <c r="M309" i="25"/>
  <c r="J309" i="52"/>
  <c r="K309" i="52" s="1"/>
  <c r="M40" i="25"/>
  <c r="J40" i="52"/>
  <c r="K40" i="52" s="1"/>
  <c r="M75" i="25"/>
  <c r="J75" i="52"/>
  <c r="K75" i="52" s="1"/>
  <c r="M58" i="25"/>
  <c r="J58" i="52"/>
  <c r="K58" i="52" s="1"/>
  <c r="M310" i="25"/>
  <c r="J310" i="52"/>
  <c r="K310" i="52" s="1"/>
  <c r="F244" i="9"/>
  <c r="G244" i="9" s="1"/>
  <c r="F239" i="25" s="1"/>
  <c r="D239" i="52" s="1"/>
  <c r="E239" i="52" s="1"/>
  <c r="F281" i="9"/>
  <c r="G281" i="9" s="1"/>
  <c r="D275" i="12" s="1"/>
  <c r="F230" i="9"/>
  <c r="G230" i="9" s="1"/>
  <c r="D224" i="39" s="1"/>
  <c r="F159" i="9"/>
  <c r="G159" i="9" s="1"/>
  <c r="D153" i="12" s="1"/>
  <c r="F321" i="9"/>
  <c r="G321" i="9" s="1"/>
  <c r="F316" i="25" s="1"/>
  <c r="D316" i="52" s="1"/>
  <c r="E316" i="52" s="1"/>
  <c r="F183" i="9"/>
  <c r="G183" i="9" s="1"/>
  <c r="D177" i="39" s="1"/>
  <c r="F319" i="9"/>
  <c r="G319" i="9" s="1"/>
  <c r="D313" i="39" s="1"/>
  <c r="F65" i="9"/>
  <c r="G65" i="9" s="1"/>
  <c r="D59" i="39" s="1"/>
  <c r="F268" i="9"/>
  <c r="G268" i="9" s="1"/>
  <c r="D262" i="39" s="1"/>
  <c r="F296" i="9"/>
  <c r="G296" i="9" s="1"/>
  <c r="F291" i="25" s="1"/>
  <c r="D291" i="52" s="1"/>
  <c r="E291" i="52" s="1"/>
  <c r="F22" i="9"/>
  <c r="G22" i="9" s="1"/>
  <c r="F17" i="25" s="1"/>
  <c r="D17" i="52" s="1"/>
  <c r="E17" i="52" s="1"/>
  <c r="F189" i="9"/>
  <c r="G189" i="9" s="1"/>
  <c r="D183" i="12" s="1"/>
  <c r="F131" i="9"/>
  <c r="G131" i="9" s="1"/>
  <c r="D125" i="39" s="1"/>
  <c r="F56" i="9"/>
  <c r="G56" i="9" s="1"/>
  <c r="F51" i="25" s="1"/>
  <c r="D51" i="52" s="1"/>
  <c r="E51" i="52" s="1"/>
  <c r="F192" i="9"/>
  <c r="G192" i="9" s="1"/>
  <c r="D186" i="39" s="1"/>
  <c r="F257" i="9"/>
  <c r="G257" i="9" s="1"/>
  <c r="D251" i="39" s="1"/>
  <c r="F144" i="9"/>
  <c r="G144" i="9" s="1"/>
  <c r="D138" i="39" s="1"/>
  <c r="F254" i="9"/>
  <c r="G254" i="9" s="1"/>
  <c r="F249" i="25" s="1"/>
  <c r="D249" i="52" s="1"/>
  <c r="E249" i="52" s="1"/>
  <c r="F308" i="9"/>
  <c r="G308" i="9" s="1"/>
  <c r="F303" i="25" s="1"/>
  <c r="D303" i="52" s="1"/>
  <c r="E303" i="52" s="1"/>
  <c r="F82" i="9"/>
  <c r="G82" i="9" s="1"/>
  <c r="D76" i="12" s="1"/>
  <c r="F285" i="9"/>
  <c r="G285" i="9" s="1"/>
  <c r="D279" i="39" s="1"/>
  <c r="F113" i="9"/>
  <c r="G113" i="9" s="1"/>
  <c r="F108" i="25" s="1"/>
  <c r="D108" i="52" s="1"/>
  <c r="E108" i="52" s="1"/>
  <c r="F50" i="9"/>
  <c r="G50" i="9" s="1"/>
  <c r="D44" i="39" s="1"/>
  <c r="F256" i="9"/>
  <c r="G256" i="9" s="1"/>
  <c r="D250" i="12" s="1"/>
  <c r="F310" i="9"/>
  <c r="G310" i="9" s="1"/>
  <c r="D304" i="12" s="1"/>
  <c r="F149" i="9"/>
  <c r="G149" i="9" s="1"/>
  <c r="D143" i="39" s="1"/>
  <c r="F299" i="9"/>
  <c r="G299" i="9" s="1"/>
  <c r="D293" i="39" s="1"/>
  <c r="F15" i="9"/>
  <c r="G15" i="9" s="1"/>
  <c r="F10" i="25" s="1"/>
  <c r="D10" i="52" s="1"/>
  <c r="E10" i="52" s="1"/>
  <c r="F311" i="9"/>
  <c r="G311" i="9" s="1"/>
  <c r="F306" i="25" s="1"/>
  <c r="D306" i="52" s="1"/>
  <c r="E306" i="52" s="1"/>
  <c r="F186" i="9"/>
  <c r="G186" i="9" s="1"/>
  <c r="D180" i="12" s="1"/>
  <c r="F262" i="9"/>
  <c r="G262" i="9" s="1"/>
  <c r="F257" i="25" s="1"/>
  <c r="D257" i="52" s="1"/>
  <c r="E257" i="52" s="1"/>
  <c r="F137" i="9"/>
  <c r="G137" i="9" s="1"/>
  <c r="D131" i="39" s="1"/>
  <c r="F241" i="9"/>
  <c r="G241" i="9" s="1"/>
  <c r="D235" i="39" s="1"/>
  <c r="F245" i="9"/>
  <c r="G245" i="9" s="1"/>
  <c r="D239" i="12" s="1"/>
  <c r="F232" i="9"/>
  <c r="G232" i="9" s="1"/>
  <c r="F227" i="25" s="1"/>
  <c r="D227" i="52" s="1"/>
  <c r="E227" i="52" s="1"/>
  <c r="F328" i="9"/>
  <c r="G328" i="9" s="1"/>
  <c r="D322" i="39" s="1"/>
  <c r="F177" i="9"/>
  <c r="G177" i="9" s="1"/>
  <c r="F172" i="25" s="1"/>
  <c r="D172" i="52" s="1"/>
  <c r="E172" i="52" s="1"/>
  <c r="F175" i="9"/>
  <c r="G175" i="9" s="1"/>
  <c r="D169" i="39" s="1"/>
  <c r="F292" i="9"/>
  <c r="G292" i="9" s="1"/>
  <c r="D286" i="39" s="1"/>
  <c r="F203" i="9"/>
  <c r="G203" i="9" s="1"/>
  <c r="F198" i="25" s="1"/>
  <c r="D198" i="52" s="1"/>
  <c r="E198" i="52" s="1"/>
  <c r="F151" i="9"/>
  <c r="G151" i="9" s="1"/>
  <c r="D145" i="12" s="1"/>
  <c r="F313" i="9"/>
  <c r="G313" i="9" s="1"/>
  <c r="D307" i="12" s="1"/>
  <c r="F184" i="9"/>
  <c r="G184" i="9" s="1"/>
  <c r="F179" i="25" s="1"/>
  <c r="D179" i="52" s="1"/>
  <c r="E179" i="52" s="1"/>
  <c r="F152" i="9"/>
  <c r="G152" i="9" s="1"/>
  <c r="F147" i="25" s="1"/>
  <c r="D147" i="52" s="1"/>
  <c r="E147" i="52" s="1"/>
  <c r="F90" i="9"/>
  <c r="G90" i="9" s="1"/>
  <c r="D84" i="12" s="1"/>
  <c r="F185" i="9"/>
  <c r="G185" i="9" s="1"/>
  <c r="D179" i="39" s="1"/>
  <c r="F146" i="9"/>
  <c r="G146" i="9" s="1"/>
  <c r="F141" i="25" s="1"/>
  <c r="D141" i="52" s="1"/>
  <c r="E141" i="52" s="1"/>
  <c r="F181" i="9"/>
  <c r="G181" i="9" s="1"/>
  <c r="D175" i="12" s="1"/>
  <c r="F97" i="9"/>
  <c r="G97" i="9" s="1"/>
  <c r="D91" i="39" s="1"/>
  <c r="F103" i="9"/>
  <c r="G103" i="9" s="1"/>
  <c r="D97" i="39" s="1"/>
  <c r="F323" i="9"/>
  <c r="G323" i="9" s="1"/>
  <c r="D317" i="12" s="1"/>
  <c r="F205" i="9"/>
  <c r="G205" i="9" s="1"/>
  <c r="D199" i="39" s="1"/>
  <c r="F33" i="9"/>
  <c r="G33" i="9" s="1"/>
  <c r="D27" i="39" s="1"/>
  <c r="F202" i="9"/>
  <c r="G202" i="9" s="1"/>
  <c r="F197" i="25" s="1"/>
  <c r="D197" i="52" s="1"/>
  <c r="E197" i="52" s="1"/>
  <c r="F80" i="9"/>
  <c r="G80" i="9" s="1"/>
  <c r="D74" i="39" s="1"/>
  <c r="F247" i="9"/>
  <c r="G247" i="9" s="1"/>
  <c r="D241" i="12" s="1"/>
  <c r="F81" i="9"/>
  <c r="G81" i="9" s="1"/>
  <c r="D75" i="39" s="1"/>
  <c r="F47" i="9"/>
  <c r="G47" i="9" s="1"/>
  <c r="D41" i="39" s="1"/>
  <c r="F314" i="9"/>
  <c r="G314" i="9" s="1"/>
  <c r="D308" i="39" s="1"/>
  <c r="F297" i="9"/>
  <c r="G297" i="9" s="1"/>
  <c r="D291" i="39" s="1"/>
  <c r="F116" i="9"/>
  <c r="G116" i="9" s="1"/>
  <c r="F111" i="25" s="1"/>
  <c r="D111" i="52" s="1"/>
  <c r="E111" i="52" s="1"/>
  <c r="F304" i="9"/>
  <c r="G304" i="9" s="1"/>
  <c r="F299" i="25" s="1"/>
  <c r="D299" i="52" s="1"/>
  <c r="E299" i="52" s="1"/>
  <c r="F107" i="9"/>
  <c r="G107" i="9" s="1"/>
  <c r="F102" i="25" s="1"/>
  <c r="D102" i="52" s="1"/>
  <c r="E102" i="52" s="1"/>
  <c r="F134" i="9"/>
  <c r="G134" i="9" s="1"/>
  <c r="D128" i="12" s="1"/>
  <c r="F141" i="9"/>
  <c r="G141" i="9" s="1"/>
  <c r="D135" i="12" s="1"/>
  <c r="F99" i="9"/>
  <c r="G99" i="9" s="1"/>
  <c r="D93" i="39" s="1"/>
  <c r="F43" i="9"/>
  <c r="G43" i="9" s="1"/>
  <c r="F201" i="9"/>
  <c r="G201" i="9" s="1"/>
  <c r="D195" i="39" s="1"/>
  <c r="F120" i="9"/>
  <c r="G120" i="9" s="1"/>
  <c r="F190" i="9"/>
  <c r="G190" i="9" s="1"/>
  <c r="D184" i="39" s="1"/>
  <c r="F231" i="9"/>
  <c r="G231" i="9" s="1"/>
  <c r="F226" i="25" s="1"/>
  <c r="D226" i="52" s="1"/>
  <c r="E226" i="52" s="1"/>
  <c r="F242" i="9"/>
  <c r="G242" i="9" s="1"/>
  <c r="D236" i="39" s="1"/>
  <c r="F96" i="9"/>
  <c r="G96" i="9" s="1"/>
  <c r="F182" i="9"/>
  <c r="G182" i="9" s="1"/>
  <c r="D176" i="12" s="1"/>
  <c r="F130" i="9"/>
  <c r="G130" i="9" s="1"/>
  <c r="F125" i="25" s="1"/>
  <c r="D125" i="52" s="1"/>
  <c r="E125" i="52" s="1"/>
  <c r="F145" i="9"/>
  <c r="G145" i="9" s="1"/>
  <c r="F140" i="25" s="1"/>
  <c r="D140" i="52" s="1"/>
  <c r="E140" i="52" s="1"/>
  <c r="F164" i="9"/>
  <c r="G164" i="9" s="1"/>
  <c r="D158" i="39" s="1"/>
  <c r="F44" i="9"/>
  <c r="G44" i="9" s="1"/>
  <c r="F39" i="25" s="1"/>
  <c r="D39" i="52" s="1"/>
  <c r="E39" i="52" s="1"/>
  <c r="F289" i="9"/>
  <c r="G289" i="9" s="1"/>
  <c r="D283" i="12" s="1"/>
  <c r="F136" i="9"/>
  <c r="G136" i="9" s="1"/>
  <c r="F131" i="25" s="1"/>
  <c r="D131" i="52" s="1"/>
  <c r="E131" i="52" s="1"/>
  <c r="F11" i="9"/>
  <c r="F234" i="9"/>
  <c r="G234" i="9" s="1"/>
  <c r="D228" i="12" s="1"/>
  <c r="F124" i="9"/>
  <c r="G124" i="9" s="1"/>
  <c r="D118" i="39" s="1"/>
  <c r="F101" i="9"/>
  <c r="G101" i="9" s="1"/>
  <c r="D95" i="39" s="1"/>
  <c r="F121" i="9"/>
  <c r="G121" i="9" s="1"/>
  <c r="D115" i="39" s="1"/>
  <c r="F132" i="9"/>
  <c r="G132" i="9" s="1"/>
  <c r="F127" i="25" s="1"/>
  <c r="D127" i="52" s="1"/>
  <c r="E127" i="52" s="1"/>
  <c r="F21" i="9"/>
  <c r="G21" i="9" s="1"/>
  <c r="F16" i="25" s="1"/>
  <c r="D16" i="52" s="1"/>
  <c r="E16" i="52" s="1"/>
  <c r="F238" i="9"/>
  <c r="G238" i="9" s="1"/>
  <c r="D232" i="39" s="1"/>
  <c r="F13" i="9"/>
  <c r="G13" i="9" s="1"/>
  <c r="D7" i="39" s="1"/>
  <c r="F36" i="9"/>
  <c r="G36" i="9" s="1"/>
  <c r="D30" i="39" s="1"/>
  <c r="F246" i="9"/>
  <c r="G246" i="9" s="1"/>
  <c r="D240" i="39" s="1"/>
  <c r="F294" i="9"/>
  <c r="G294" i="9" s="1"/>
  <c r="D288" i="39" s="1"/>
  <c r="F123" i="9"/>
  <c r="G123" i="9" s="1"/>
  <c r="D117" i="12" s="1"/>
  <c r="F53" i="9"/>
  <c r="G53" i="9" s="1"/>
  <c r="F48" i="25" s="1"/>
  <c r="D48" i="52" s="1"/>
  <c r="E48" i="52" s="1"/>
  <c r="F193" i="9"/>
  <c r="G193" i="9" s="1"/>
  <c r="D187" i="12" s="1"/>
  <c r="F305" i="9"/>
  <c r="G305" i="9" s="1"/>
  <c r="F300" i="25" s="1"/>
  <c r="D300" i="52" s="1"/>
  <c r="E300" i="52" s="1"/>
  <c r="F171" i="9"/>
  <c r="G171" i="9" s="1"/>
  <c r="D165" i="39" s="1"/>
  <c r="F100" i="9"/>
  <c r="G100" i="9" s="1"/>
  <c r="F95" i="25" s="1"/>
  <c r="D95" i="52" s="1"/>
  <c r="E95" i="52" s="1"/>
  <c r="F187" i="9"/>
  <c r="G187" i="9" s="1"/>
  <c r="D181" i="39" s="1"/>
  <c r="F14" i="9"/>
  <c r="G14" i="9" s="1"/>
  <c r="D8" i="12" s="1"/>
  <c r="F108" i="9"/>
  <c r="G108" i="9" s="1"/>
  <c r="D102" i="39" s="1"/>
  <c r="F229" i="9"/>
  <c r="G229" i="9" s="1"/>
  <c r="D223" i="12" s="1"/>
  <c r="F260" i="9"/>
  <c r="G260" i="9" s="1"/>
  <c r="D254" i="39" s="1"/>
  <c r="F322" i="9"/>
  <c r="G322" i="9" s="1"/>
  <c r="D316" i="12" s="1"/>
  <c r="F139" i="9"/>
  <c r="G139" i="9" s="1"/>
  <c r="D133" i="12" s="1"/>
  <c r="F91" i="9"/>
  <c r="G91" i="9" s="1"/>
  <c r="D85" i="39" s="1"/>
  <c r="F196" i="9"/>
  <c r="G196" i="9" s="1"/>
  <c r="F58" i="9"/>
  <c r="G58" i="9" s="1"/>
  <c r="D52" i="39" s="1"/>
  <c r="F168" i="9"/>
  <c r="G168" i="9" s="1"/>
  <c r="D162" i="39" s="1"/>
  <c r="F228" i="9"/>
  <c r="G228" i="9" s="1"/>
  <c r="D222" i="12" s="1"/>
  <c r="F31" i="9"/>
  <c r="G31" i="9" s="1"/>
  <c r="D25" i="39" s="1"/>
  <c r="F226" i="9"/>
  <c r="G226" i="9" s="1"/>
  <c r="F221" i="25" s="1"/>
  <c r="D221" i="52" s="1"/>
  <c r="E221" i="52" s="1"/>
  <c r="F160" i="9"/>
  <c r="G160" i="9" s="1"/>
  <c r="F30" i="9"/>
  <c r="G30" i="9" s="1"/>
  <c r="D24" i="12" s="1"/>
  <c r="F286" i="9"/>
  <c r="G286" i="9" s="1"/>
  <c r="D280" i="39" s="1"/>
  <c r="F66" i="9"/>
  <c r="G66" i="9" s="1"/>
  <c r="F216" i="9"/>
  <c r="G216" i="9" s="1"/>
  <c r="F12" i="9"/>
  <c r="G12" i="9" s="1"/>
  <c r="D6" i="12" s="1"/>
  <c r="F253" i="9"/>
  <c r="G253" i="9" s="1"/>
  <c r="F282" i="9"/>
  <c r="G282" i="9" s="1"/>
  <c r="F277" i="25" s="1"/>
  <c r="D277" i="52" s="1"/>
  <c r="E277" i="52" s="1"/>
  <c r="F274" i="9"/>
  <c r="G274" i="9" s="1"/>
  <c r="D268" i="12" s="1"/>
  <c r="F318" i="9"/>
  <c r="G318" i="9" s="1"/>
  <c r="F313" i="25" s="1"/>
  <c r="D313" i="52" s="1"/>
  <c r="E313" i="52" s="1"/>
  <c r="F72" i="9"/>
  <c r="G72" i="9" s="1"/>
  <c r="F19" i="9"/>
  <c r="G19" i="9" s="1"/>
  <c r="D13" i="12" s="1"/>
  <c r="F243" i="9"/>
  <c r="G243" i="9" s="1"/>
  <c r="D237" i="12" s="1"/>
  <c r="F54" i="9"/>
  <c r="G54" i="9" s="1"/>
  <c r="F49" i="25" s="1"/>
  <c r="D49" i="52" s="1"/>
  <c r="E49" i="52" s="1"/>
  <c r="F88" i="9"/>
  <c r="G88" i="9" s="1"/>
  <c r="F70" i="9"/>
  <c r="G70" i="9" s="1"/>
  <c r="F65" i="25" s="1"/>
  <c r="D65" i="52" s="1"/>
  <c r="E65" i="52" s="1"/>
  <c r="F49" i="9"/>
  <c r="G49" i="9" s="1"/>
  <c r="F44" i="25" s="1"/>
  <c r="D44" i="52" s="1"/>
  <c r="E44" i="52" s="1"/>
  <c r="F298" i="9"/>
  <c r="G298" i="9" s="1"/>
  <c r="D292" i="39" s="1"/>
  <c r="F167" i="9"/>
  <c r="G167" i="9" s="1"/>
  <c r="F24" i="9"/>
  <c r="G24" i="9" s="1"/>
  <c r="F19" i="25" s="1"/>
  <c r="D19" i="52" s="1"/>
  <c r="E19" i="52" s="1"/>
  <c r="F148" i="9"/>
  <c r="G148" i="9" s="1"/>
  <c r="F143" i="25" s="1"/>
  <c r="D143" i="52" s="1"/>
  <c r="E143" i="52" s="1"/>
  <c r="F219" i="9"/>
  <c r="G219" i="9" s="1"/>
  <c r="F214" i="25" s="1"/>
  <c r="D214" i="52" s="1"/>
  <c r="E214" i="52" s="1"/>
  <c r="F223" i="9"/>
  <c r="G223" i="9" s="1"/>
  <c r="F218" i="25" s="1"/>
  <c r="D218" i="52" s="1"/>
  <c r="E218" i="52" s="1"/>
  <c r="F326" i="9"/>
  <c r="G326" i="9" s="1"/>
  <c r="F321" i="25" s="1"/>
  <c r="D321" i="52" s="1"/>
  <c r="E321" i="52" s="1"/>
  <c r="F220" i="9"/>
  <c r="G220" i="9" s="1"/>
  <c r="F102" i="9"/>
  <c r="G102" i="9" s="1"/>
  <c r="D96" i="12" s="1"/>
  <c r="F255" i="9"/>
  <c r="G255" i="9" s="1"/>
  <c r="D249" i="12" s="1"/>
  <c r="F283" i="9"/>
  <c r="G283" i="9" s="1"/>
  <c r="F278" i="25" s="1"/>
  <c r="D278" i="52" s="1"/>
  <c r="E278" i="52" s="1"/>
  <c r="F188" i="9"/>
  <c r="G188" i="9" s="1"/>
  <c r="D182" i="12" s="1"/>
  <c r="F26" i="9"/>
  <c r="G26" i="9" s="1"/>
  <c r="D20" i="39" s="1"/>
  <c r="F39" i="9"/>
  <c r="G39" i="9" s="1"/>
  <c r="D33" i="39" s="1"/>
  <c r="F180" i="9"/>
  <c r="G180" i="9" s="1"/>
  <c r="D174" i="12" s="1"/>
  <c r="F142" i="9"/>
  <c r="G142" i="9" s="1"/>
  <c r="F157" i="9"/>
  <c r="G157" i="9" s="1"/>
  <c r="D151" i="12" s="1"/>
  <c r="F153" i="9"/>
  <c r="G153" i="9" s="1"/>
  <c r="F143" i="9"/>
  <c r="G143" i="9" s="1"/>
  <c r="D137" i="39" s="1"/>
  <c r="F327" i="9"/>
  <c r="G327" i="9" s="1"/>
  <c r="D321" i="12" s="1"/>
  <c r="F41" i="9"/>
  <c r="G41" i="9" s="1"/>
  <c r="F36" i="25" s="1"/>
  <c r="D36" i="52" s="1"/>
  <c r="E36" i="52" s="1"/>
  <c r="F52" i="9"/>
  <c r="G52" i="9" s="1"/>
  <c r="D46" i="39" s="1"/>
  <c r="F68" i="9"/>
  <c r="G68" i="9" s="1"/>
  <c r="F63" i="25" s="1"/>
  <c r="D63" i="52" s="1"/>
  <c r="E63" i="52" s="1"/>
  <c r="F235" i="9"/>
  <c r="G235" i="9" s="1"/>
  <c r="F230" i="25" s="1"/>
  <c r="D230" i="52" s="1"/>
  <c r="E230" i="52" s="1"/>
  <c r="F284" i="9"/>
  <c r="G284" i="9" s="1"/>
  <c r="D278" i="39" s="1"/>
  <c r="F287" i="9"/>
  <c r="G287" i="9" s="1"/>
  <c r="D281" i="39" s="1"/>
  <c r="F217" i="9"/>
  <c r="G217" i="9" s="1"/>
  <c r="D211" i="12" s="1"/>
  <c r="F295" i="9"/>
  <c r="G295" i="9" s="1"/>
  <c r="D289" i="12" s="1"/>
  <c r="F109" i="9"/>
  <c r="G109" i="9" s="1"/>
  <c r="D103" i="12" s="1"/>
  <c r="F34" i="9"/>
  <c r="G34" i="9" s="1"/>
  <c r="D28" i="39" s="1"/>
  <c r="F315" i="9"/>
  <c r="G315" i="9" s="1"/>
  <c r="D309" i="12" s="1"/>
  <c r="F225" i="9"/>
  <c r="G225" i="9" s="1"/>
  <c r="F220" i="25" s="1"/>
  <c r="D220" i="52" s="1"/>
  <c r="E220" i="52" s="1"/>
  <c r="F211" i="9"/>
  <c r="G211" i="9" s="1"/>
  <c r="D205" i="39" s="1"/>
  <c r="F85" i="9"/>
  <c r="G85" i="9" s="1"/>
  <c r="D79" i="39" s="1"/>
  <c r="F76" i="9"/>
  <c r="G76" i="9" s="1"/>
  <c r="F71" i="25" s="1"/>
  <c r="D71" i="52" s="1"/>
  <c r="E71" i="52" s="1"/>
  <c r="F163" i="9"/>
  <c r="G163" i="9" s="1"/>
  <c r="D157" i="39" s="1"/>
  <c r="F32" i="9"/>
  <c r="G32" i="9" s="1"/>
  <c r="D26" i="12" s="1"/>
  <c r="F278" i="9"/>
  <c r="G278" i="9" s="1"/>
  <c r="D272" i="12" s="1"/>
  <c r="F29" i="9"/>
  <c r="G29" i="9" s="1"/>
  <c r="D23" i="12" s="1"/>
  <c r="F119" i="9"/>
  <c r="G119" i="9" s="1"/>
  <c r="F114" i="25" s="1"/>
  <c r="D114" i="52" s="1"/>
  <c r="E114" i="52" s="1"/>
  <c r="F172" i="9"/>
  <c r="G172" i="9" s="1"/>
  <c r="F167" i="25" s="1"/>
  <c r="D167" i="52" s="1"/>
  <c r="E167" i="52" s="1"/>
  <c r="F261" i="9"/>
  <c r="G261" i="9" s="1"/>
  <c r="F256" i="25" s="1"/>
  <c r="D256" i="52" s="1"/>
  <c r="E256" i="52" s="1"/>
  <c r="F208" i="9"/>
  <c r="G208" i="9" s="1"/>
  <c r="F203" i="25" s="1"/>
  <c r="D203" i="52" s="1"/>
  <c r="E203" i="52" s="1"/>
  <c r="F114" i="9"/>
  <c r="G114" i="9" s="1"/>
  <c r="D108" i="39" s="1"/>
  <c r="F87" i="9"/>
  <c r="G87" i="9" s="1"/>
  <c r="D81" i="39" s="1"/>
  <c r="F214" i="9"/>
  <c r="G214" i="9" s="1"/>
  <c r="F135" i="9"/>
  <c r="G135" i="9" s="1"/>
  <c r="D129" i="39" s="1"/>
  <c r="F62" i="9"/>
  <c r="G62" i="9" s="1"/>
  <c r="D56" i="39" s="1"/>
  <c r="F200" i="9"/>
  <c r="G200" i="9" s="1"/>
  <c r="D194" i="39" s="1"/>
  <c r="F221" i="9"/>
  <c r="G221" i="9" s="1"/>
  <c r="F216" i="25" s="1"/>
  <c r="D216" i="52" s="1"/>
  <c r="E216" i="52" s="1"/>
  <c r="F317" i="9"/>
  <c r="G317" i="9" s="1"/>
  <c r="D311" i="12" s="1"/>
  <c r="F237" i="9"/>
  <c r="G237" i="9" s="1"/>
  <c r="F232" i="25" s="1"/>
  <c r="D232" i="52" s="1"/>
  <c r="E232" i="52" s="1"/>
  <c r="F218" i="9"/>
  <c r="G218" i="9" s="1"/>
  <c r="F213" i="25" s="1"/>
  <c r="D213" i="52" s="1"/>
  <c r="E213" i="52" s="1"/>
  <c r="F212" i="9"/>
  <c r="G212" i="9" s="1"/>
  <c r="D206" i="39" s="1"/>
  <c r="F215" i="9"/>
  <c r="G215" i="9" s="1"/>
  <c r="D209" i="39" s="1"/>
  <c r="F64" i="9"/>
  <c r="G64" i="9" s="1"/>
  <c r="D58" i="12" s="1"/>
  <c r="F117" i="9"/>
  <c r="G117" i="9" s="1"/>
  <c r="D111" i="39" s="1"/>
  <c r="F199" i="9"/>
  <c r="G199" i="9" s="1"/>
  <c r="D193" i="39" s="1"/>
  <c r="F126" i="9"/>
  <c r="G126" i="9" s="1"/>
  <c r="D120" i="39" s="1"/>
  <c r="F210" i="9"/>
  <c r="G210" i="9" s="1"/>
  <c r="D204" i="12" s="1"/>
  <c r="F60" i="9"/>
  <c r="G60" i="9" s="1"/>
  <c r="D54" i="12" s="1"/>
  <c r="F165" i="9"/>
  <c r="G165" i="9" s="1"/>
  <c r="D159" i="39" s="1"/>
  <c r="F222" i="9"/>
  <c r="G222" i="9" s="1"/>
  <c r="F217" i="25" s="1"/>
  <c r="D217" i="52" s="1"/>
  <c r="E217" i="52" s="1"/>
  <c r="F195" i="9"/>
  <c r="G195" i="9" s="1"/>
  <c r="D189" i="12" s="1"/>
  <c r="F95" i="9"/>
  <c r="G95" i="9" s="1"/>
  <c r="F90" i="25" s="1"/>
  <c r="D90" i="52" s="1"/>
  <c r="E90" i="52" s="1"/>
  <c r="F179" i="9"/>
  <c r="G179" i="9" s="1"/>
  <c r="D173" i="12" s="1"/>
  <c r="F307" i="9"/>
  <c r="G307" i="9" s="1"/>
  <c r="D301" i="39" s="1"/>
  <c r="F169" i="9"/>
  <c r="G169" i="9" s="1"/>
  <c r="D163" i="39" s="1"/>
  <c r="F198" i="9"/>
  <c r="G198" i="9" s="1"/>
  <c r="F193" i="25" s="1"/>
  <c r="D193" i="52" s="1"/>
  <c r="E193" i="52" s="1"/>
  <c r="F61" i="9"/>
  <c r="G61" i="9" s="1"/>
  <c r="D55" i="39" s="1"/>
  <c r="F125" i="9"/>
  <c r="G125" i="9" s="1"/>
  <c r="D119" i="12" s="1"/>
  <c r="F251" i="9"/>
  <c r="G251" i="9" s="1"/>
  <c r="F246" i="25" s="1"/>
  <c r="D246" i="52" s="1"/>
  <c r="E246" i="52" s="1"/>
  <c r="F78" i="9"/>
  <c r="G78" i="9" s="1"/>
  <c r="D72" i="39" s="1"/>
  <c r="F38" i="9"/>
  <c r="G38" i="9" s="1"/>
  <c r="D32" i="12" s="1"/>
  <c r="F270" i="9"/>
  <c r="G270" i="9" s="1"/>
  <c r="F265" i="25" s="1"/>
  <c r="D265" i="52" s="1"/>
  <c r="E265" i="52" s="1"/>
  <c r="F209" i="9"/>
  <c r="G209" i="9" s="1"/>
  <c r="F320" i="9"/>
  <c r="G320" i="9" s="1"/>
  <c r="D314" i="12" s="1"/>
  <c r="F197" i="9"/>
  <c r="G197" i="9" s="1"/>
  <c r="F192" i="25" s="1"/>
  <c r="D192" i="52" s="1"/>
  <c r="E192" i="52" s="1"/>
  <c r="F104" i="9"/>
  <c r="G104" i="9" s="1"/>
  <c r="D98" i="12" s="1"/>
  <c r="F105" i="9"/>
  <c r="G105" i="9" s="1"/>
  <c r="D99" i="39" s="1"/>
  <c r="F272" i="9"/>
  <c r="G272" i="9" s="1"/>
  <c r="F267" i="25" s="1"/>
  <c r="D267" i="52" s="1"/>
  <c r="E267" i="52" s="1"/>
  <c r="F250" i="9"/>
  <c r="G250" i="9" s="1"/>
  <c r="F245" i="25" s="1"/>
  <c r="D245" i="52" s="1"/>
  <c r="E245" i="52" s="1"/>
  <c r="F73" i="9"/>
  <c r="G73" i="9" s="1"/>
  <c r="D67" i="39" s="1"/>
  <c r="F23" i="9"/>
  <c r="G23" i="9" s="1"/>
  <c r="F18" i="25" s="1"/>
  <c r="D18" i="52" s="1"/>
  <c r="E18" i="52" s="1"/>
  <c r="F77" i="9"/>
  <c r="G77" i="9" s="1"/>
  <c r="D71" i="39" s="1"/>
  <c r="F293" i="9"/>
  <c r="G293" i="9" s="1"/>
  <c r="D287" i="12" s="1"/>
  <c r="F40" i="9"/>
  <c r="G40" i="9" s="1"/>
  <c r="F35" i="25" s="1"/>
  <c r="D35" i="52" s="1"/>
  <c r="E35" i="52" s="1"/>
  <c r="F138" i="9"/>
  <c r="G138" i="9" s="1"/>
  <c r="D132" i="39" s="1"/>
  <c r="F51" i="9"/>
  <c r="G51" i="9" s="1"/>
  <c r="F46" i="25" s="1"/>
  <c r="D46" i="52" s="1"/>
  <c r="E46" i="52" s="1"/>
  <c r="F45" i="9"/>
  <c r="G45" i="9" s="1"/>
  <c r="F40" i="25" s="1"/>
  <c r="D40" i="52" s="1"/>
  <c r="E40" i="52" s="1"/>
  <c r="F110" i="9"/>
  <c r="G110" i="9" s="1"/>
  <c r="D104" i="39" s="1"/>
  <c r="F133" i="9"/>
  <c r="G133" i="9" s="1"/>
  <c r="D127" i="39" s="1"/>
  <c r="F156" i="9"/>
  <c r="G156" i="9" s="1"/>
  <c r="D150" i="12" s="1"/>
  <c r="F316" i="9"/>
  <c r="G316" i="9" s="1"/>
  <c r="F311" i="25" s="1"/>
  <c r="D311" i="52" s="1"/>
  <c r="E311" i="52" s="1"/>
  <c r="F271" i="9"/>
  <c r="G271" i="9" s="1"/>
  <c r="D265" i="12" s="1"/>
  <c r="F75" i="9"/>
  <c r="G75" i="9" s="1"/>
  <c r="F70" i="25" s="1"/>
  <c r="D70" i="52" s="1"/>
  <c r="E70" i="52" s="1"/>
  <c r="F106" i="9"/>
  <c r="G106" i="9" s="1"/>
  <c r="F101" i="25" s="1"/>
  <c r="D101" i="52" s="1"/>
  <c r="E101" i="52" s="1"/>
  <c r="F46" i="9"/>
  <c r="G46" i="9" s="1"/>
  <c r="D40" i="12" s="1"/>
  <c r="F204" i="9"/>
  <c r="G204" i="9" s="1"/>
  <c r="D198" i="39" s="1"/>
  <c r="F178" i="9"/>
  <c r="G178" i="9" s="1"/>
  <c r="F173" i="25" s="1"/>
  <c r="D173" i="52" s="1"/>
  <c r="E173" i="52" s="1"/>
  <c r="F18" i="9"/>
  <c r="G18" i="9" s="1"/>
  <c r="D12" i="39" s="1"/>
  <c r="F25" i="9"/>
  <c r="G25" i="9" s="1"/>
  <c r="D19" i="12" s="1"/>
  <c r="F276" i="9"/>
  <c r="G276" i="9" s="1"/>
  <c r="D270" i="39" s="1"/>
  <c r="F263" i="9"/>
  <c r="G263" i="9" s="1"/>
  <c r="F258" i="25" s="1"/>
  <c r="D258" i="52" s="1"/>
  <c r="E258" i="52" s="1"/>
  <c r="F140" i="9"/>
  <c r="G140" i="9" s="1"/>
  <c r="D134" i="39" s="1"/>
  <c r="F92" i="9"/>
  <c r="G92" i="9" s="1"/>
  <c r="F98" i="9"/>
  <c r="G98" i="9" s="1"/>
  <c r="D92" i="39" s="1"/>
  <c r="F264" i="9"/>
  <c r="G264" i="9" s="1"/>
  <c r="D258" i="39" s="1"/>
  <c r="F303" i="9"/>
  <c r="G303" i="9" s="1"/>
  <c r="D297" i="39" s="1"/>
  <c r="F150" i="9"/>
  <c r="G150" i="9" s="1"/>
  <c r="F145" i="25" s="1"/>
  <c r="D145" i="52" s="1"/>
  <c r="E145" i="52" s="1"/>
  <c r="F176" i="9"/>
  <c r="G176" i="9" s="1"/>
  <c r="D170" i="12" s="1"/>
  <c r="F16" i="9"/>
  <c r="G16" i="9" s="1"/>
  <c r="D10" i="12" s="1"/>
  <c r="F59" i="9"/>
  <c r="G59" i="9" s="1"/>
  <c r="F54" i="25" s="1"/>
  <c r="D54" i="52" s="1"/>
  <c r="E54" i="52" s="1"/>
  <c r="F89" i="9"/>
  <c r="G89" i="9" s="1"/>
  <c r="D83" i="12" s="1"/>
  <c r="F248" i="9"/>
  <c r="G248" i="9" s="1"/>
  <c r="D242" i="39" s="1"/>
  <c r="F158" i="9"/>
  <c r="G158" i="9" s="1"/>
  <c r="D152" i="12" s="1"/>
  <c r="F280" i="9"/>
  <c r="G280" i="9" s="1"/>
  <c r="D274" i="39" s="1"/>
  <c r="F306" i="9"/>
  <c r="G306" i="9" s="1"/>
  <c r="F239" i="9"/>
  <c r="G239" i="9" s="1"/>
  <c r="F234" i="25" s="1"/>
  <c r="D234" i="52" s="1"/>
  <c r="E234" i="52" s="1"/>
  <c r="F28" i="9"/>
  <c r="G28" i="9" s="1"/>
  <c r="F23" i="25" s="1"/>
  <c r="D23" i="52" s="1"/>
  <c r="E23" i="52" s="1"/>
  <c r="F249" i="9"/>
  <c r="G249" i="9" s="1"/>
  <c r="D243" i="39" s="1"/>
  <c r="F277" i="9"/>
  <c r="G277" i="9" s="1"/>
  <c r="D271" i="39" s="1"/>
  <c r="F240" i="9"/>
  <c r="G240" i="9" s="1"/>
  <c r="F235" i="25" s="1"/>
  <c r="D235" i="52" s="1"/>
  <c r="E235" i="52" s="1"/>
  <c r="F275" i="9"/>
  <c r="G275" i="9" s="1"/>
  <c r="D269" i="39" s="1"/>
  <c r="F265" i="9"/>
  <c r="G265" i="9" s="1"/>
  <c r="F260" i="25" s="1"/>
  <c r="D260" i="52" s="1"/>
  <c r="E260" i="52" s="1"/>
  <c r="F42" i="9"/>
  <c r="G42" i="9" s="1"/>
  <c r="F69" i="9"/>
  <c r="G69" i="9" s="1"/>
  <c r="F64" i="25" s="1"/>
  <c r="D64" i="52" s="1"/>
  <c r="E64" i="52" s="1"/>
  <c r="F67" i="9"/>
  <c r="G67" i="9" s="1"/>
  <c r="D61" i="39" s="1"/>
  <c r="F35" i="9"/>
  <c r="G35" i="9" s="1"/>
  <c r="D29" i="39" s="1"/>
  <c r="F290" i="9"/>
  <c r="G290" i="9" s="1"/>
  <c r="F86" i="9"/>
  <c r="G86" i="9" s="1"/>
  <c r="F81" i="25" s="1"/>
  <c r="D81" i="52" s="1"/>
  <c r="E81" i="52" s="1"/>
  <c r="F84" i="9"/>
  <c r="G84" i="9" s="1"/>
  <c r="D78" i="12" s="1"/>
  <c r="F93" i="9"/>
  <c r="G93" i="9" s="1"/>
  <c r="F88" i="25" s="1"/>
  <c r="D88" i="52" s="1"/>
  <c r="E88" i="52" s="1"/>
  <c r="F162" i="9"/>
  <c r="G162" i="9" s="1"/>
  <c r="D156" i="39" s="1"/>
  <c r="F122" i="9"/>
  <c r="G122" i="9" s="1"/>
  <c r="D116" i="39" s="1"/>
  <c r="F161" i="9"/>
  <c r="G161" i="9" s="1"/>
  <c r="F156" i="25" s="1"/>
  <c r="D156" i="52" s="1"/>
  <c r="E156" i="52" s="1"/>
  <c r="F57" i="9"/>
  <c r="G57" i="9" s="1"/>
  <c r="F52" i="25" s="1"/>
  <c r="D52" i="52" s="1"/>
  <c r="E52" i="52" s="1"/>
  <c r="F191" i="9"/>
  <c r="G191" i="9" s="1"/>
  <c r="F129" i="9"/>
  <c r="G129" i="9" s="1"/>
  <c r="D123" i="39" s="1"/>
  <c r="F291" i="9"/>
  <c r="G291" i="9" s="1"/>
  <c r="F20" i="9"/>
  <c r="G20" i="9" s="1"/>
  <c r="F15" i="25" s="1"/>
  <c r="D15" i="52" s="1"/>
  <c r="E15" i="52" s="1"/>
  <c r="F79" i="9"/>
  <c r="G79" i="9" s="1"/>
  <c r="F213" i="9"/>
  <c r="G213" i="9" s="1"/>
  <c r="D207" i="12" s="1"/>
  <c r="F74" i="9"/>
  <c r="G74" i="9" s="1"/>
  <c r="D68" i="39" s="1"/>
  <c r="F118" i="9"/>
  <c r="G118" i="9" s="1"/>
  <c r="F113" i="25" s="1"/>
  <c r="D113" i="52" s="1"/>
  <c r="E113" i="52" s="1"/>
  <c r="F154" i="9"/>
  <c r="G154" i="9" s="1"/>
  <c r="F301" i="9"/>
  <c r="G301" i="9" s="1"/>
  <c r="D295" i="12" s="1"/>
  <c r="F279" i="9"/>
  <c r="G279" i="9" s="1"/>
  <c r="D273" i="39" s="1"/>
  <c r="F312" i="9"/>
  <c r="G312" i="9" s="1"/>
  <c r="D306" i="12" s="1"/>
  <c r="F273" i="9"/>
  <c r="G273" i="9" s="1"/>
  <c r="D267" i="39" s="1"/>
  <c r="F170" i="9"/>
  <c r="G170" i="9" s="1"/>
  <c r="F165" i="25" s="1"/>
  <c r="D165" i="52" s="1"/>
  <c r="E165" i="52" s="1"/>
  <c r="F83" i="9"/>
  <c r="G83" i="9" s="1"/>
  <c r="F266" i="9"/>
  <c r="G266" i="9" s="1"/>
  <c r="D260" i="12" s="1"/>
  <c r="F115" i="9"/>
  <c r="G115" i="9" s="1"/>
  <c r="D109" i="12" s="1"/>
  <c r="F324" i="9"/>
  <c r="G324" i="9" s="1"/>
  <c r="F319" i="25" s="1"/>
  <c r="D319" i="52" s="1"/>
  <c r="E319" i="52" s="1"/>
  <c r="F111" i="9"/>
  <c r="G111" i="9" s="1"/>
  <c r="D105" i="12" s="1"/>
  <c r="F166" i="9"/>
  <c r="G166" i="9" s="1"/>
  <c r="F161" i="25" s="1"/>
  <c r="D161" i="52" s="1"/>
  <c r="E161" i="52" s="1"/>
  <c r="F128" i="9"/>
  <c r="G128" i="9" s="1"/>
  <c r="D122" i="39" s="1"/>
  <c r="F224" i="9"/>
  <c r="G224" i="9" s="1"/>
  <c r="D218" i="12" s="1"/>
  <c r="F94" i="9"/>
  <c r="G94" i="9" s="1"/>
  <c r="F89" i="25" s="1"/>
  <c r="D89" i="52" s="1"/>
  <c r="E89" i="52" s="1"/>
  <c r="F267" i="9"/>
  <c r="G267" i="9" s="1"/>
  <c r="D261" i="39" s="1"/>
  <c r="F302" i="9"/>
  <c r="G302" i="9" s="1"/>
  <c r="F259" i="9"/>
  <c r="G259" i="9" s="1"/>
  <c r="D253" i="39" s="1"/>
  <c r="F112" i="9"/>
  <c r="G112" i="9" s="1"/>
  <c r="D106" i="39" s="1"/>
  <c r="F258" i="9"/>
  <c r="G258" i="9" s="1"/>
  <c r="F253" i="25" s="1"/>
  <c r="D253" i="52" s="1"/>
  <c r="E253" i="52" s="1"/>
  <c r="F269" i="9"/>
  <c r="G269" i="9" s="1"/>
  <c r="F264" i="25" s="1"/>
  <c r="D264" i="52" s="1"/>
  <c r="E264" i="52" s="1"/>
  <c r="F206" i="9"/>
  <c r="G206" i="9" s="1"/>
  <c r="D200" i="12" s="1"/>
  <c r="F63" i="9"/>
  <c r="G63" i="9" s="1"/>
  <c r="D57" i="12" s="1"/>
  <c r="F147" i="9"/>
  <c r="G147" i="9" s="1"/>
  <c r="F142" i="25" s="1"/>
  <c r="D142" i="52" s="1"/>
  <c r="E142" i="52" s="1"/>
  <c r="F48" i="9"/>
  <c r="G48" i="9" s="1"/>
  <c r="D42" i="12" s="1"/>
  <c r="F37" i="9"/>
  <c r="G37" i="9" s="1"/>
  <c r="F32" i="25" s="1"/>
  <c r="D32" i="52" s="1"/>
  <c r="E32" i="52" s="1"/>
  <c r="F71" i="9"/>
  <c r="G71" i="9" s="1"/>
  <c r="F66" i="25" s="1"/>
  <c r="D66" i="52" s="1"/>
  <c r="E66" i="52" s="1"/>
  <c r="F27" i="9"/>
  <c r="G27" i="9" s="1"/>
  <c r="D21" i="39" s="1"/>
  <c r="F309" i="9"/>
  <c r="G309" i="9" s="1"/>
  <c r="F227" i="9"/>
  <c r="G227" i="9" s="1"/>
  <c r="F222" i="25" s="1"/>
  <c r="D222" i="52" s="1"/>
  <c r="E222" i="52" s="1"/>
  <c r="F155" i="9"/>
  <c r="G155" i="9" s="1"/>
  <c r="D149" i="39" s="1"/>
  <c r="F55" i="9"/>
  <c r="G55" i="9" s="1"/>
  <c r="F50" i="25" s="1"/>
  <c r="D50" i="52" s="1"/>
  <c r="E50" i="52" s="1"/>
  <c r="F194" i="9"/>
  <c r="G194" i="9" s="1"/>
  <c r="F189" i="25" s="1"/>
  <c r="D189" i="52" s="1"/>
  <c r="E189" i="52" s="1"/>
  <c r="F233" i="9"/>
  <c r="G233" i="9" s="1"/>
  <c r="D227" i="12" s="1"/>
  <c r="F173" i="9"/>
  <c r="G173" i="9" s="1"/>
  <c r="D167" i="12" s="1"/>
  <c r="F207" i="9"/>
  <c r="G207" i="9" s="1"/>
  <c r="D201" i="39" s="1"/>
  <c r="F252" i="9"/>
  <c r="G252" i="9" s="1"/>
  <c r="D246" i="39" s="1"/>
  <c r="F17" i="9"/>
  <c r="G17" i="9" s="1"/>
  <c r="F12" i="25" s="1"/>
  <c r="D12" i="52" s="1"/>
  <c r="E12" i="52" s="1"/>
  <c r="F288" i="9"/>
  <c r="G288" i="9" s="1"/>
  <c r="D282" i="12" s="1"/>
  <c r="F127" i="9"/>
  <c r="G127" i="9" s="1"/>
  <c r="D121" i="12" s="1"/>
  <c r="F236" i="9"/>
  <c r="G236" i="9" s="1"/>
  <c r="F231" i="25" s="1"/>
  <c r="D231" i="52" s="1"/>
  <c r="E231" i="52" s="1"/>
  <c r="F174" i="9"/>
  <c r="G174" i="9" s="1"/>
  <c r="D168" i="12" s="1"/>
  <c r="F300" i="9"/>
  <c r="G300" i="9" s="1"/>
  <c r="F295" i="25" s="1"/>
  <c r="D295" i="52" s="1"/>
  <c r="E295" i="52" s="1"/>
  <c r="O6" i="49"/>
  <c r="E48" i="48"/>
  <c r="F48" i="48" s="1"/>
  <c r="F50" i="48" s="1"/>
  <c r="D319" i="12"/>
  <c r="F320" i="25"/>
  <c r="D320" i="52" s="1"/>
  <c r="E320" i="52" s="1"/>
  <c r="D186" i="12"/>
  <c r="C37" i="40"/>
  <c r="C38" i="40"/>
  <c r="G334" i="34"/>
  <c r="D315" i="39" l="1"/>
  <c r="M6" i="25"/>
  <c r="M324" i="25" s="1"/>
  <c r="J6" i="52"/>
  <c r="K6" i="52" s="1"/>
  <c r="K200" i="52"/>
  <c r="F60" i="48"/>
  <c r="F61" i="48" s="1"/>
  <c r="D238" i="12"/>
  <c r="D238" i="39"/>
  <c r="D315" i="12"/>
  <c r="F263" i="25"/>
  <c r="D263" i="52" s="1"/>
  <c r="E263" i="52" s="1"/>
  <c r="D224" i="12"/>
  <c r="D226" i="39"/>
  <c r="F225" i="25"/>
  <c r="D225" i="52" s="1"/>
  <c r="E225" i="52" s="1"/>
  <c r="F45" i="25"/>
  <c r="D45" i="52" s="1"/>
  <c r="E45" i="52" s="1"/>
  <c r="D16" i="39"/>
  <c r="D313" i="12"/>
  <c r="F287" i="25"/>
  <c r="D287" i="52" s="1"/>
  <c r="E287" i="52" s="1"/>
  <c r="F314" i="25"/>
  <c r="D314" i="52" s="1"/>
  <c r="E314" i="52" s="1"/>
  <c r="D140" i="12"/>
  <c r="D178" i="39"/>
  <c r="D256" i="39"/>
  <c r="D293" i="12"/>
  <c r="F184" i="25"/>
  <c r="D184" i="52" s="1"/>
  <c r="E184" i="52" s="1"/>
  <c r="F60" i="25"/>
  <c r="D60" i="52" s="1"/>
  <c r="E60" i="52" s="1"/>
  <c r="D153" i="39"/>
  <c r="F154" i="25"/>
  <c r="D154" i="52" s="1"/>
  <c r="E154" i="52" s="1"/>
  <c r="D59" i="12"/>
  <c r="D177" i="12"/>
  <c r="F276" i="25"/>
  <c r="D276" i="52" s="1"/>
  <c r="E276" i="52" s="1"/>
  <c r="D275" i="39"/>
  <c r="F181" i="25"/>
  <c r="D181" i="52" s="1"/>
  <c r="E181" i="52" s="1"/>
  <c r="D50" i="12"/>
  <c r="D290" i="39"/>
  <c r="F178" i="25"/>
  <c r="D178" i="52" s="1"/>
  <c r="E178" i="52" s="1"/>
  <c r="D248" i="39"/>
  <c r="D50" i="39"/>
  <c r="F308" i="25"/>
  <c r="D308" i="52" s="1"/>
  <c r="E308" i="52" s="1"/>
  <c r="D262" i="12"/>
  <c r="F85" i="25"/>
  <c r="D85" i="52" s="1"/>
  <c r="E85" i="52" s="1"/>
  <c r="D248" i="12"/>
  <c r="F22" i="48"/>
  <c r="F24" i="48" s="1"/>
  <c r="F305" i="25"/>
  <c r="D305" i="52" s="1"/>
  <c r="E305" i="52" s="1"/>
  <c r="F252" i="25"/>
  <c r="D252" i="52" s="1"/>
  <c r="E252" i="52" s="1"/>
  <c r="D305" i="12"/>
  <c r="D279" i="12"/>
  <c r="D304" i="39"/>
  <c r="D145" i="39"/>
  <c r="D91" i="12"/>
  <c r="D183" i="39"/>
  <c r="D175" i="39"/>
  <c r="D302" i="39"/>
  <c r="D226" i="12"/>
  <c r="D44" i="12"/>
  <c r="D178" i="12"/>
  <c r="D256" i="12"/>
  <c r="D16" i="12"/>
  <c r="D286" i="12"/>
  <c r="D140" i="39"/>
  <c r="D317" i="39"/>
  <c r="F294" i="25"/>
  <c r="D294" i="52" s="1"/>
  <c r="E294" i="52" s="1"/>
  <c r="F187" i="25"/>
  <c r="D187" i="52" s="1"/>
  <c r="E187" i="52" s="1"/>
  <c r="D302" i="12"/>
  <c r="D138" i="12"/>
  <c r="D171" i="12"/>
  <c r="F92" i="25"/>
  <c r="D92" i="52" s="1"/>
  <c r="E92" i="52" s="1"/>
  <c r="F139" i="25"/>
  <c r="D139" i="52" s="1"/>
  <c r="E139" i="52" s="1"/>
  <c r="D84" i="39"/>
  <c r="F251" i="25"/>
  <c r="D251" i="52" s="1"/>
  <c r="E251" i="52" s="1"/>
  <c r="D251" i="12"/>
  <c r="F280" i="25"/>
  <c r="D280" i="52" s="1"/>
  <c r="E280" i="52" s="1"/>
  <c r="D171" i="39"/>
  <c r="D235" i="12"/>
  <c r="D290" i="12"/>
  <c r="F146" i="25"/>
  <c r="D146" i="52" s="1"/>
  <c r="E146" i="52" s="1"/>
  <c r="D305" i="39"/>
  <c r="F236" i="25"/>
  <c r="D236" i="52" s="1"/>
  <c r="E236" i="52" s="1"/>
  <c r="D125" i="12"/>
  <c r="F126" i="25"/>
  <c r="D126" i="52" s="1"/>
  <c r="E126" i="52" s="1"/>
  <c r="F176" i="25"/>
  <c r="D176" i="52" s="1"/>
  <c r="E176" i="52" s="1"/>
  <c r="D143" i="12"/>
  <c r="D107" i="12"/>
  <c r="D9" i="39"/>
  <c r="D239" i="39"/>
  <c r="D250" i="39"/>
  <c r="D131" i="12"/>
  <c r="D197" i="12"/>
  <c r="F77" i="25"/>
  <c r="D77" i="52" s="1"/>
  <c r="E77" i="52" s="1"/>
  <c r="D9" i="12"/>
  <c r="D76" i="39"/>
  <c r="D107" i="39"/>
  <c r="F240" i="25"/>
  <c r="D240" i="52" s="1"/>
  <c r="E240" i="52" s="1"/>
  <c r="F323" i="25"/>
  <c r="D323" i="52" s="1"/>
  <c r="E323" i="52" s="1"/>
  <c r="F132" i="25"/>
  <c r="D132" i="52" s="1"/>
  <c r="E132" i="52" s="1"/>
  <c r="D180" i="39"/>
  <c r="D322" i="12"/>
  <c r="F144" i="25"/>
  <c r="D144" i="52" s="1"/>
  <c r="E144" i="52" s="1"/>
  <c r="D146" i="12"/>
  <c r="D199" i="12"/>
  <c r="D307" i="39"/>
  <c r="D146" i="39"/>
  <c r="F170" i="25"/>
  <c r="D170" i="52" s="1"/>
  <c r="E170" i="52" s="1"/>
  <c r="D179" i="12"/>
  <c r="D197" i="39"/>
  <c r="D169" i="12"/>
  <c r="F180" i="25"/>
  <c r="D180" i="52" s="1"/>
  <c r="E180" i="52" s="1"/>
  <c r="F200" i="25"/>
  <c r="D200" i="52" s="1"/>
  <c r="D241" i="39"/>
  <c r="F177" i="25"/>
  <c r="D177" i="52" s="1"/>
  <c r="E177" i="52" s="1"/>
  <c r="F318" i="25"/>
  <c r="D318" i="52" s="1"/>
  <c r="E318" i="52" s="1"/>
  <c r="D97" i="12"/>
  <c r="F98" i="25"/>
  <c r="D98" i="52" s="1"/>
  <c r="E98" i="52" s="1"/>
  <c r="D184" i="12"/>
  <c r="F152" i="25"/>
  <c r="D152" i="52" s="1"/>
  <c r="E152" i="52" s="1"/>
  <c r="D89" i="12"/>
  <c r="D223" i="39"/>
  <c r="D134" i="12"/>
  <c r="F21" i="25"/>
  <c r="D21" i="52" s="1"/>
  <c r="E21" i="52" s="1"/>
  <c r="D126" i="12"/>
  <c r="F104" i="25"/>
  <c r="D104" i="52" s="1"/>
  <c r="E104" i="52" s="1"/>
  <c r="F30" i="25"/>
  <c r="D30" i="52" s="1"/>
  <c r="E30" i="52" s="1"/>
  <c r="D38" i="12"/>
  <c r="D212" i="39"/>
  <c r="F27" i="25"/>
  <c r="D27" i="52" s="1"/>
  <c r="E27" i="52" s="1"/>
  <c r="F75" i="25"/>
  <c r="D75" i="52" s="1"/>
  <c r="E75" i="52" s="1"/>
  <c r="F315" i="25"/>
  <c r="D315" i="52" s="1"/>
  <c r="E315" i="52" s="1"/>
  <c r="D35" i="12"/>
  <c r="F307" i="25"/>
  <c r="D307" i="52" s="1"/>
  <c r="E307" i="52" s="1"/>
  <c r="D47" i="12"/>
  <c r="F223" i="25"/>
  <c r="D223" i="52" s="1"/>
  <c r="E223" i="52" s="1"/>
  <c r="D312" i="12"/>
  <c r="F73" i="25"/>
  <c r="D73" i="52" s="1"/>
  <c r="E73" i="52" s="1"/>
  <c r="D274" i="12"/>
  <c r="D166" i="39"/>
  <c r="F244" i="25"/>
  <c r="D244" i="52" s="1"/>
  <c r="E244" i="52" s="1"/>
  <c r="D12" i="12"/>
  <c r="D48" i="12"/>
  <c r="D35" i="39"/>
  <c r="D213" i="39"/>
  <c r="D81" i="12"/>
  <c r="F151" i="25"/>
  <c r="D151" i="52" s="1"/>
  <c r="E151" i="52" s="1"/>
  <c r="D100" i="12"/>
  <c r="D6" i="39"/>
  <c r="D51" i="12"/>
  <c r="D201" i="12"/>
  <c r="D54" i="39"/>
  <c r="D194" i="12"/>
  <c r="F195" i="25"/>
  <c r="D195" i="52" s="1"/>
  <c r="E195" i="52" s="1"/>
  <c r="D126" i="39"/>
  <c r="D21" i="12"/>
  <c r="F279" i="25"/>
  <c r="D279" i="52" s="1"/>
  <c r="E279" i="52" s="1"/>
  <c r="D213" i="12"/>
  <c r="D103" i="39"/>
  <c r="F185" i="25"/>
  <c r="D185" i="52" s="1"/>
  <c r="E185" i="52" s="1"/>
  <c r="F135" i="25"/>
  <c r="D135" i="52" s="1"/>
  <c r="E135" i="52" s="1"/>
  <c r="F72" i="25"/>
  <c r="D72" i="52" s="1"/>
  <c r="E72" i="52" s="1"/>
  <c r="D297" i="12"/>
  <c r="D100" i="39"/>
  <c r="D150" i="39"/>
  <c r="D49" i="12"/>
  <c r="D47" i="39"/>
  <c r="F112" i="25"/>
  <c r="D112" i="52" s="1"/>
  <c r="E112" i="52" s="1"/>
  <c r="F97" i="25"/>
  <c r="D97" i="52" s="1"/>
  <c r="E97" i="52" s="1"/>
  <c r="D48" i="39"/>
  <c r="D228" i="39"/>
  <c r="F94" i="25"/>
  <c r="D94" i="52" s="1"/>
  <c r="E94" i="52" s="1"/>
  <c r="D192" i="12"/>
  <c r="D261" i="12"/>
  <c r="D20" i="12"/>
  <c r="F293" i="25"/>
  <c r="D293" i="52" s="1"/>
  <c r="E293" i="52" s="1"/>
  <c r="D96" i="39"/>
  <c r="D278" i="12"/>
  <c r="F206" i="25"/>
  <c r="D206" i="52" s="1"/>
  <c r="E206" i="52" s="1"/>
  <c r="F82" i="25"/>
  <c r="D82" i="52" s="1"/>
  <c r="E82" i="52" s="1"/>
  <c r="D30" i="12"/>
  <c r="D89" i="39"/>
  <c r="D212" i="12"/>
  <c r="D166" i="12"/>
  <c r="D29" i="12"/>
  <c r="F224" i="25"/>
  <c r="D224" i="52" s="1"/>
  <c r="E224" i="52" s="1"/>
  <c r="D222" i="39"/>
  <c r="D41" i="12"/>
  <c r="D53" i="39"/>
  <c r="F86" i="25"/>
  <c r="D86" i="52" s="1"/>
  <c r="E86" i="52" s="1"/>
  <c r="F25" i="25"/>
  <c r="D25" i="52" s="1"/>
  <c r="E25" i="52" s="1"/>
  <c r="D45" i="12"/>
  <c r="D243" i="12"/>
  <c r="F298" i="25"/>
  <c r="D298" i="52" s="1"/>
  <c r="E298" i="52" s="1"/>
  <c r="D266" i="39"/>
  <c r="D298" i="39"/>
  <c r="D38" i="39"/>
  <c r="D141" i="39"/>
  <c r="D292" i="12"/>
  <c r="D26" i="39"/>
  <c r="F31" i="25"/>
  <c r="D31" i="52" s="1"/>
  <c r="E31" i="52" s="1"/>
  <c r="D71" i="12"/>
  <c r="D112" i="12"/>
  <c r="D259" i="39"/>
  <c r="D24" i="39"/>
  <c r="D87" i="12"/>
  <c r="F7" i="25"/>
  <c r="D7" i="52" s="1"/>
  <c r="E7" i="52" s="1"/>
  <c r="D298" i="12"/>
  <c r="D85" i="12"/>
  <c r="D14" i="39"/>
  <c r="D94" i="12"/>
  <c r="F13" i="25"/>
  <c r="D13" i="52" s="1"/>
  <c r="E13" i="52" s="1"/>
  <c r="D314" i="39"/>
  <c r="D266" i="12"/>
  <c r="D94" i="39"/>
  <c r="D72" i="12"/>
  <c r="D74" i="12"/>
  <c r="D45" i="39"/>
  <c r="D176" i="39"/>
  <c r="D252" i="39"/>
  <c r="D151" i="39"/>
  <c r="F229" i="25"/>
  <c r="D229" i="52" s="1"/>
  <c r="E229" i="52" s="1"/>
  <c r="D93" i="12"/>
  <c r="D160" i="12"/>
  <c r="D192" i="39"/>
  <c r="D205" i="12"/>
  <c r="D111" i="12"/>
  <c r="D196" i="39"/>
  <c r="F275" i="25"/>
  <c r="D275" i="52" s="1"/>
  <c r="E275" i="52" s="1"/>
  <c r="D312" i="39"/>
  <c r="F55" i="25"/>
  <c r="D55" i="52" s="1"/>
  <c r="E55" i="52" s="1"/>
  <c r="D53" i="12"/>
  <c r="D27" i="12"/>
  <c r="F42" i="25"/>
  <c r="D42" i="52" s="1"/>
  <c r="E42" i="52" s="1"/>
  <c r="D75" i="12"/>
  <c r="D196" i="12"/>
  <c r="F28" i="25"/>
  <c r="D28" i="52" s="1"/>
  <c r="E28" i="52" s="1"/>
  <c r="F76" i="25"/>
  <c r="D76" i="52" s="1"/>
  <c r="E76" i="52" s="1"/>
  <c r="F242" i="25"/>
  <c r="D242" i="52" s="1"/>
  <c r="E242" i="52" s="1"/>
  <c r="F261" i="25"/>
  <c r="D261" i="52" s="1"/>
  <c r="E261" i="52" s="1"/>
  <c r="D51" i="39"/>
  <c r="F122" i="25"/>
  <c r="D122" i="52" s="1"/>
  <c r="E122" i="52" s="1"/>
  <c r="D276" i="12"/>
  <c r="F22" i="25"/>
  <c r="D22" i="52" s="1"/>
  <c r="E22" i="52" s="1"/>
  <c r="D309" i="39"/>
  <c r="F266" i="25"/>
  <c r="D266" i="52" s="1"/>
  <c r="E266" i="52" s="1"/>
  <c r="F271" i="25"/>
  <c r="D271" i="52" s="1"/>
  <c r="E271" i="52" s="1"/>
  <c r="D98" i="39"/>
  <c r="D242" i="12"/>
  <c r="D130" i="39"/>
  <c r="D216" i="39"/>
  <c r="F288" i="25"/>
  <c r="D288" i="52" s="1"/>
  <c r="E288" i="52" s="1"/>
  <c r="D209" i="12"/>
  <c r="F53" i="25"/>
  <c r="D53" i="52" s="1"/>
  <c r="E53" i="52" s="1"/>
  <c r="D95" i="12"/>
  <c r="F312" i="25"/>
  <c r="D312" i="52" s="1"/>
  <c r="E312" i="52" s="1"/>
  <c r="F96" i="25"/>
  <c r="D96" i="52" s="1"/>
  <c r="E96" i="52" s="1"/>
  <c r="F289" i="25"/>
  <c r="D289" i="52" s="1"/>
  <c r="E289" i="52" s="1"/>
  <c r="D195" i="12"/>
  <c r="F138" i="25"/>
  <c r="D138" i="52" s="1"/>
  <c r="E138" i="52" s="1"/>
  <c r="D236" i="12"/>
  <c r="F254" i="25"/>
  <c r="D254" i="52" s="1"/>
  <c r="E254" i="52" s="1"/>
  <c r="D311" i="39"/>
  <c r="F14" i="25"/>
  <c r="D14" i="52" s="1"/>
  <c r="E14" i="52" s="1"/>
  <c r="D63" i="39"/>
  <c r="F68" i="25"/>
  <c r="D68" i="52" s="1"/>
  <c r="E68" i="52" s="1"/>
  <c r="D157" i="12"/>
  <c r="D277" i="39"/>
  <c r="D70" i="39"/>
  <c r="F219" i="25"/>
  <c r="D219" i="52" s="1"/>
  <c r="E219" i="52" s="1"/>
  <c r="F296" i="25"/>
  <c r="D296" i="52" s="1"/>
  <c r="E296" i="52" s="1"/>
  <c r="F120" i="25"/>
  <c r="D120" i="52" s="1"/>
  <c r="E120" i="52" s="1"/>
  <c r="D129" i="12"/>
  <c r="F175" i="25"/>
  <c r="D175" i="52" s="1"/>
  <c r="E175" i="52" s="1"/>
  <c r="D34" i="39"/>
  <c r="D92" i="12"/>
  <c r="D227" i="39"/>
  <c r="D11" i="39"/>
  <c r="F196" i="25"/>
  <c r="D196" i="52" s="1"/>
  <c r="E196" i="52" s="1"/>
  <c r="D174" i="39"/>
  <c r="D70" i="12"/>
  <c r="F237" i="25"/>
  <c r="D237" i="52" s="1"/>
  <c r="E237" i="52" s="1"/>
  <c r="F24" i="25"/>
  <c r="D24" i="52" s="1"/>
  <c r="E24" i="52" s="1"/>
  <c r="F210" i="25"/>
  <c r="D210" i="52" s="1"/>
  <c r="E210" i="52" s="1"/>
  <c r="D64" i="39"/>
  <c r="F130" i="25"/>
  <c r="D130" i="52" s="1"/>
  <c r="E130" i="52" s="1"/>
  <c r="D216" i="12"/>
  <c r="F117" i="25"/>
  <c r="D117" i="52" s="1"/>
  <c r="E117" i="52" s="1"/>
  <c r="D52" i="12"/>
  <c r="D119" i="39"/>
  <c r="D233" i="39"/>
  <c r="D128" i="39"/>
  <c r="D316" i="39"/>
  <c r="D233" i="12"/>
  <c r="D116" i="12"/>
  <c r="F208" i="25"/>
  <c r="D208" i="52" s="1"/>
  <c r="E208" i="52" s="1"/>
  <c r="D299" i="39"/>
  <c r="D265" i="39"/>
  <c r="D34" i="12"/>
  <c r="D264" i="12"/>
  <c r="D299" i="12"/>
  <c r="D104" i="12"/>
  <c r="D234" i="12"/>
  <c r="F105" i="25"/>
  <c r="D105" i="52" s="1"/>
  <c r="E105" i="52" s="1"/>
  <c r="F317" i="25"/>
  <c r="D317" i="52" s="1"/>
  <c r="E317" i="52" s="1"/>
  <c r="D264" i="39"/>
  <c r="F99" i="25"/>
  <c r="D99" i="52" s="1"/>
  <c r="E99" i="52" s="1"/>
  <c r="D11" i="12"/>
  <c r="F93" i="25"/>
  <c r="D93" i="52" s="1"/>
  <c r="E93" i="52" s="1"/>
  <c r="D23" i="39"/>
  <c r="D18" i="39"/>
  <c r="F212" i="25"/>
  <c r="D212" i="52" s="1"/>
  <c r="E212" i="52" s="1"/>
  <c r="D139" i="12"/>
  <c r="F129" i="25"/>
  <c r="D129" i="52" s="1"/>
  <c r="E129" i="52" s="1"/>
  <c r="D288" i="12"/>
  <c r="D202" i="12"/>
  <c r="D31" i="39"/>
  <c r="D318" i="39"/>
  <c r="D295" i="39"/>
  <c r="D64" i="12"/>
  <c r="D120" i="12"/>
  <c r="D13" i="39"/>
  <c r="D63" i="12"/>
  <c r="D80" i="39"/>
  <c r="D270" i="12"/>
  <c r="D170" i="39"/>
  <c r="D276" i="39"/>
  <c r="D198" i="12"/>
  <c r="D220" i="39"/>
  <c r="F243" i="25"/>
  <c r="D243" i="52" s="1"/>
  <c r="E243" i="52" s="1"/>
  <c r="F292" i="25"/>
  <c r="D292" i="52" s="1"/>
  <c r="E292" i="52" s="1"/>
  <c r="F171" i="25"/>
  <c r="D171" i="52" s="1"/>
  <c r="E171" i="52" s="1"/>
  <c r="D62" i="12"/>
  <c r="D277" i="12"/>
  <c r="D137" i="12"/>
  <c r="D139" i="39"/>
  <c r="F310" i="25"/>
  <c r="D310" i="52" s="1"/>
  <c r="E310" i="52" s="1"/>
  <c r="D320" i="12"/>
  <c r="F201" i="25"/>
  <c r="D201" i="52" s="1"/>
  <c r="E201" i="52" s="1"/>
  <c r="D164" i="12"/>
  <c r="F121" i="25"/>
  <c r="D121" i="52" s="1"/>
  <c r="E121" i="52" s="1"/>
  <c r="F233" i="25"/>
  <c r="D233" i="52" s="1"/>
  <c r="E233" i="52" s="1"/>
  <c r="D291" i="12"/>
  <c r="D62" i="39"/>
  <c r="F9" i="25"/>
  <c r="D9" i="52" s="1"/>
  <c r="E9" i="52" s="1"/>
  <c r="F199" i="25"/>
  <c r="D199" i="52" s="1"/>
  <c r="E199" i="52" s="1"/>
  <c r="D220" i="12"/>
  <c r="D67" i="12"/>
  <c r="F302" i="25"/>
  <c r="D302" i="52" s="1"/>
  <c r="E302" i="52" s="1"/>
  <c r="D202" i="39"/>
  <c r="D18" i="12"/>
  <c r="D211" i="39"/>
  <c r="D39" i="39"/>
  <c r="D191" i="12"/>
  <c r="D301" i="12"/>
  <c r="D221" i="12"/>
  <c r="D318" i="12"/>
  <c r="D130" i="12"/>
  <c r="D232" i="12"/>
  <c r="D320" i="39"/>
  <c r="D80" i="12"/>
  <c r="D8" i="39"/>
  <c r="D273" i="12"/>
  <c r="D112" i="39"/>
  <c r="D121" i="39"/>
  <c r="D68" i="12"/>
  <c r="J4" i="11"/>
  <c r="N4" i="11"/>
  <c r="F59" i="25"/>
  <c r="D59" i="52" s="1"/>
  <c r="E59" i="52" s="1"/>
  <c r="D163" i="12"/>
  <c r="D229" i="12"/>
  <c r="F128" i="25"/>
  <c r="D128" i="52" s="1"/>
  <c r="E128" i="52" s="1"/>
  <c r="G11" i="9"/>
  <c r="F6" i="25" s="1"/>
  <c r="D6" i="52" s="1"/>
  <c r="E6" i="52" s="1"/>
  <c r="D101" i="12"/>
  <c r="F166" i="25"/>
  <c r="D166" i="52" s="1"/>
  <c r="E166" i="52" s="1"/>
  <c r="F259" i="25"/>
  <c r="D259" i="52" s="1"/>
  <c r="E259" i="52" s="1"/>
  <c r="D19" i="39"/>
  <c r="D173" i="39"/>
  <c r="D28" i="12"/>
  <c r="F57" i="25"/>
  <c r="D57" i="52" s="1"/>
  <c r="E57" i="52" s="1"/>
  <c r="F160" i="25"/>
  <c r="D160" i="52" s="1"/>
  <c r="E160" i="52" s="1"/>
  <c r="F283" i="25"/>
  <c r="D283" i="52" s="1"/>
  <c r="E283" i="52" s="1"/>
  <c r="F123" i="25"/>
  <c r="D123" i="52" s="1"/>
  <c r="E123" i="52" s="1"/>
  <c r="D17" i="39"/>
  <c r="D17" i="12"/>
  <c r="D144" i="39"/>
  <c r="F188" i="25"/>
  <c r="D188" i="52" s="1"/>
  <c r="E188" i="52" s="1"/>
  <c r="F159" i="25"/>
  <c r="D159" i="52" s="1"/>
  <c r="E159" i="52" s="1"/>
  <c r="D124" i="12"/>
  <c r="D152" i="39"/>
  <c r="D33" i="12"/>
  <c r="F47" i="25"/>
  <c r="D47" i="52" s="1"/>
  <c r="E47" i="52" s="1"/>
  <c r="D289" i="39"/>
  <c r="D79" i="12"/>
  <c r="D255" i="12"/>
  <c r="D231" i="39"/>
  <c r="F194" i="25"/>
  <c r="D194" i="52" s="1"/>
  <c r="E194" i="52" s="1"/>
  <c r="F190" i="25"/>
  <c r="D190" i="52" s="1"/>
  <c r="E190" i="52" s="1"/>
  <c r="D245" i="12"/>
  <c r="D40" i="39"/>
  <c r="F100" i="25"/>
  <c r="D100" i="52" s="1"/>
  <c r="E100" i="52" s="1"/>
  <c r="D110" i="12"/>
  <c r="D269" i="12"/>
  <c r="D188" i="12"/>
  <c r="D31" i="12"/>
  <c r="D218" i="39"/>
  <c r="F262" i="25"/>
  <c r="D262" i="52" s="1"/>
  <c r="E262" i="52" s="1"/>
  <c r="D221" i="39"/>
  <c r="D141" i="12"/>
  <c r="D200" i="39"/>
  <c r="D160" i="39"/>
  <c r="D260" i="39"/>
  <c r="D164" i="39"/>
  <c r="D306" i="39"/>
  <c r="D253" i="12"/>
  <c r="D123" i="12"/>
  <c r="D207" i="39"/>
  <c r="F228" i="25"/>
  <c r="D228" i="52" s="1"/>
  <c r="E228" i="52" s="1"/>
  <c r="D135" i="39"/>
  <c r="D219" i="12"/>
  <c r="D55" i="12"/>
  <c r="D215" i="12"/>
  <c r="D46" i="12"/>
  <c r="D281" i="12"/>
  <c r="F29" i="25"/>
  <c r="D29" i="52" s="1"/>
  <c r="E29" i="52" s="1"/>
  <c r="D219" i="39"/>
  <c r="F158" i="25"/>
  <c r="D158" i="52" s="1"/>
  <c r="E158" i="52" s="1"/>
  <c r="F273" i="25"/>
  <c r="D273" i="52" s="1"/>
  <c r="E273" i="52" s="1"/>
  <c r="D108" i="12"/>
  <c r="D215" i="39"/>
  <c r="D206" i="12"/>
  <c r="D58" i="39"/>
  <c r="F205" i="25"/>
  <c r="D205" i="52" s="1"/>
  <c r="E205" i="52" s="1"/>
  <c r="D159" i="12"/>
  <c r="F174" i="25"/>
  <c r="D174" i="52" s="1"/>
  <c r="E174" i="52" s="1"/>
  <c r="F56" i="25"/>
  <c r="D56" i="52" s="1"/>
  <c r="E56" i="52" s="1"/>
  <c r="F247" i="25"/>
  <c r="D247" i="52" s="1"/>
  <c r="E247" i="52" s="1"/>
  <c r="D246" i="12"/>
  <c r="D188" i="39"/>
  <c r="D310" i="12"/>
  <c r="F69" i="25"/>
  <c r="D69" i="52" s="1"/>
  <c r="E69" i="52" s="1"/>
  <c r="F272" i="25"/>
  <c r="D272" i="52" s="1"/>
  <c r="E272" i="52" s="1"/>
  <c r="D240" i="12"/>
  <c r="D69" i="12"/>
  <c r="D144" i="12"/>
  <c r="F20" i="25"/>
  <c r="D20" i="52" s="1"/>
  <c r="E20" i="52" s="1"/>
  <c r="D310" i="39"/>
  <c r="D132" i="12"/>
  <c r="D99" i="12"/>
  <c r="D7" i="12"/>
  <c r="D283" i="39"/>
  <c r="D225" i="12"/>
  <c r="D308" i="12"/>
  <c r="D101" i="39"/>
  <c r="D42" i="39"/>
  <c r="D106" i="12"/>
  <c r="D78" i="39"/>
  <c r="F84" i="25"/>
  <c r="D84" i="52" s="1"/>
  <c r="E84" i="52" s="1"/>
  <c r="D172" i="12"/>
  <c r="F136" i="25"/>
  <c r="D136" i="52" s="1"/>
  <c r="E136" i="52" s="1"/>
  <c r="F241" i="25"/>
  <c r="D241" i="52" s="1"/>
  <c r="E241" i="52" s="1"/>
  <c r="D69" i="39"/>
  <c r="D181" i="12"/>
  <c r="F281" i="25"/>
  <c r="D281" i="52" s="1"/>
  <c r="E281" i="52" s="1"/>
  <c r="D287" i="39"/>
  <c r="D113" i="39"/>
  <c r="D230" i="12"/>
  <c r="D168" i="39"/>
  <c r="D294" i="39"/>
  <c r="D294" i="12"/>
  <c r="D149" i="12"/>
  <c r="F150" i="25"/>
  <c r="D150" i="52" s="1"/>
  <c r="E150" i="52" s="1"/>
  <c r="D303" i="39"/>
  <c r="F304" i="25"/>
  <c r="D304" i="52" s="1"/>
  <c r="E304" i="52" s="1"/>
  <c r="F58" i="25"/>
  <c r="D58" i="52" s="1"/>
  <c r="E58" i="52" s="1"/>
  <c r="D57" i="39"/>
  <c r="D263" i="39"/>
  <c r="D263" i="12"/>
  <c r="D296" i="39"/>
  <c r="D296" i="12"/>
  <c r="D88" i="12"/>
  <c r="D88" i="39"/>
  <c r="D105" i="39"/>
  <c r="F106" i="25"/>
  <c r="D106" i="52" s="1"/>
  <c r="E106" i="52" s="1"/>
  <c r="F110" i="25"/>
  <c r="D110" i="52" s="1"/>
  <c r="E110" i="52" s="1"/>
  <c r="D109" i="39"/>
  <c r="D77" i="39"/>
  <c r="F78" i="25"/>
  <c r="D78" i="52" s="1"/>
  <c r="E78" i="52" s="1"/>
  <c r="F268" i="25"/>
  <c r="D268" i="52" s="1"/>
  <c r="E268" i="52" s="1"/>
  <c r="D267" i="12"/>
  <c r="F149" i="25"/>
  <c r="D149" i="52" s="1"/>
  <c r="E149" i="52" s="1"/>
  <c r="D148" i="39"/>
  <c r="D73" i="12"/>
  <c r="F74" i="25"/>
  <c r="D74" i="52" s="1"/>
  <c r="E74" i="52" s="1"/>
  <c r="D285" i="12"/>
  <c r="F286" i="25"/>
  <c r="D286" i="52" s="1"/>
  <c r="E286" i="52" s="1"/>
  <c r="F186" i="25"/>
  <c r="D186" i="52" s="1"/>
  <c r="E186" i="52" s="1"/>
  <c r="D185" i="39"/>
  <c r="F157" i="25"/>
  <c r="D157" i="52" s="1"/>
  <c r="E157" i="52" s="1"/>
  <c r="D156" i="12"/>
  <c r="D284" i="39"/>
  <c r="F285" i="25"/>
  <c r="D285" i="52" s="1"/>
  <c r="E285" i="52" s="1"/>
  <c r="F62" i="25"/>
  <c r="D62" i="52" s="1"/>
  <c r="E62" i="52" s="1"/>
  <c r="D61" i="12"/>
  <c r="D36" i="39"/>
  <c r="D36" i="12"/>
  <c r="D22" i="12"/>
  <c r="D22" i="39"/>
  <c r="D300" i="39"/>
  <c r="F301" i="25"/>
  <c r="D301" i="52" s="1"/>
  <c r="E301" i="52" s="1"/>
  <c r="F87" i="25"/>
  <c r="D87" i="52" s="1"/>
  <c r="E87" i="52" s="1"/>
  <c r="D86" i="12"/>
  <c r="D86" i="39"/>
  <c r="D257" i="12"/>
  <c r="D257" i="39"/>
  <c r="D244" i="39"/>
  <c r="D244" i="12"/>
  <c r="D203" i="39"/>
  <c r="D203" i="12"/>
  <c r="D32" i="39"/>
  <c r="F33" i="25"/>
  <c r="D33" i="52" s="1"/>
  <c r="E33" i="52" s="1"/>
  <c r="D208" i="39"/>
  <c r="D208" i="12"/>
  <c r="D147" i="12"/>
  <c r="D147" i="39"/>
  <c r="F148" i="25"/>
  <c r="D148" i="52" s="1"/>
  <c r="E148" i="52" s="1"/>
  <c r="F137" i="25"/>
  <c r="D137" i="52" s="1"/>
  <c r="E137" i="52" s="1"/>
  <c r="D136" i="12"/>
  <c r="F183" i="25"/>
  <c r="D183" i="52" s="1"/>
  <c r="E183" i="52" s="1"/>
  <c r="D182" i="39"/>
  <c r="D214" i="39"/>
  <c r="D214" i="12"/>
  <c r="D217" i="12"/>
  <c r="D217" i="39"/>
  <c r="D142" i="39"/>
  <c r="D142" i="12"/>
  <c r="D161" i="39"/>
  <c r="D161" i="12"/>
  <c r="F162" i="25"/>
  <c r="D162" i="52" s="1"/>
  <c r="E162" i="52" s="1"/>
  <c r="D43" i="39"/>
  <c r="D43" i="12"/>
  <c r="D82" i="39"/>
  <c r="F83" i="25"/>
  <c r="D83" i="52" s="1"/>
  <c r="E83" i="52" s="1"/>
  <c r="F238" i="25"/>
  <c r="D238" i="52" s="1"/>
  <c r="E238" i="52" s="1"/>
  <c r="D237" i="39"/>
  <c r="D66" i="39"/>
  <c r="F67" i="25"/>
  <c r="D67" i="52" s="1"/>
  <c r="E67" i="52" s="1"/>
  <c r="D66" i="12"/>
  <c r="F269" i="25"/>
  <c r="D269" i="52" s="1"/>
  <c r="E269" i="52" s="1"/>
  <c r="D268" i="39"/>
  <c r="D247" i="12"/>
  <c r="D247" i="39"/>
  <c r="D210" i="39"/>
  <c r="D210" i="12"/>
  <c r="F211" i="25"/>
  <c r="D211" i="52" s="1"/>
  <c r="E211" i="52" s="1"/>
  <c r="D154" i="12"/>
  <c r="D154" i="39"/>
  <c r="F155" i="25"/>
  <c r="D155" i="52" s="1"/>
  <c r="E155" i="52" s="1"/>
  <c r="D25" i="12"/>
  <c r="F26" i="25"/>
  <c r="D26" i="52" s="1"/>
  <c r="E26" i="52" s="1"/>
  <c r="D190" i="12"/>
  <c r="F191" i="25"/>
  <c r="D191" i="52" s="1"/>
  <c r="E191" i="52" s="1"/>
  <c r="F134" i="25"/>
  <c r="D134" i="52" s="1"/>
  <c r="E134" i="52" s="1"/>
  <c r="D133" i="39"/>
  <c r="F255" i="25"/>
  <c r="D255" i="52" s="1"/>
  <c r="E255" i="52" s="1"/>
  <c r="D254" i="12"/>
  <c r="F116" i="25"/>
  <c r="D116" i="52" s="1"/>
  <c r="E116" i="52" s="1"/>
  <c r="D115" i="12"/>
  <c r="F91" i="25"/>
  <c r="D91" i="52" s="1"/>
  <c r="E91" i="52" s="1"/>
  <c r="D90" i="12"/>
  <c r="F115" i="25"/>
  <c r="D115" i="52" s="1"/>
  <c r="E115" i="52" s="1"/>
  <c r="D114" i="39"/>
  <c r="D114" i="12"/>
  <c r="D37" i="39"/>
  <c r="D37" i="12"/>
  <c r="F38" i="25"/>
  <c r="D38" i="52" s="1"/>
  <c r="E38" i="52" s="1"/>
  <c r="F309" i="25"/>
  <c r="D309" i="52" s="1"/>
  <c r="E309" i="52" s="1"/>
  <c r="D165" i="12"/>
  <c r="F182" i="25"/>
  <c r="D182" i="52" s="1"/>
  <c r="E182" i="52" s="1"/>
  <c r="F103" i="25"/>
  <c r="D103" i="52" s="1"/>
  <c r="E103" i="52" s="1"/>
  <c r="D10" i="39"/>
  <c r="D190" i="39"/>
  <c r="D56" i="12"/>
  <c r="D229" i="39"/>
  <c r="D189" i="39"/>
  <c r="D193" i="12"/>
  <c r="F329" i="9"/>
  <c r="F282" i="25"/>
  <c r="D282" i="52" s="1"/>
  <c r="E282" i="52" s="1"/>
  <c r="F290" i="25"/>
  <c r="D290" i="52" s="1"/>
  <c r="E290" i="52" s="1"/>
  <c r="F80" i="25"/>
  <c r="D80" i="52" s="1"/>
  <c r="E80" i="52" s="1"/>
  <c r="D272" i="39"/>
  <c r="D255" i="39"/>
  <c r="F109" i="25"/>
  <c r="D109" i="52" s="1"/>
  <c r="E109" i="52" s="1"/>
  <c r="D231" i="12"/>
  <c r="F207" i="25"/>
  <c r="D207" i="52" s="1"/>
  <c r="E207" i="52" s="1"/>
  <c r="D204" i="39"/>
  <c r="F164" i="25"/>
  <c r="D164" i="52" s="1"/>
  <c r="E164" i="52" s="1"/>
  <c r="D245" i="39"/>
  <c r="F168" i="25"/>
  <c r="D168" i="52" s="1"/>
  <c r="E168" i="52" s="1"/>
  <c r="D282" i="39"/>
  <c r="D118" i="12"/>
  <c r="D15" i="39"/>
  <c r="D191" i="39"/>
  <c r="D73" i="39"/>
  <c r="F153" i="25"/>
  <c r="D153" i="52" s="1"/>
  <c r="E153" i="52" s="1"/>
  <c r="D90" i="39"/>
  <c r="F41" i="25"/>
  <c r="D41" i="52" s="1"/>
  <c r="E41" i="52" s="1"/>
  <c r="D127" i="12"/>
  <c r="F133" i="25"/>
  <c r="D133" i="52" s="1"/>
  <c r="E133" i="52" s="1"/>
  <c r="F118" i="25"/>
  <c r="D118" i="52" s="1"/>
  <c r="E118" i="52" s="1"/>
  <c r="F8" i="25"/>
  <c r="D8" i="52" s="1"/>
  <c r="E8" i="52" s="1"/>
  <c r="D187" i="39"/>
  <c r="F284" i="25"/>
  <c r="D284" i="52" s="1"/>
  <c r="E284" i="52" s="1"/>
  <c r="D158" i="12"/>
  <c r="D124" i="39"/>
  <c r="D225" i="39"/>
  <c r="D110" i="39"/>
  <c r="D258" i="12"/>
  <c r="F79" i="25"/>
  <c r="D79" i="52" s="1"/>
  <c r="E79" i="52" s="1"/>
  <c r="D155" i="39"/>
  <c r="D271" i="12"/>
  <c r="D65" i="12"/>
  <c r="D303" i="12"/>
  <c r="F43" i="25"/>
  <c r="D43" i="52" s="1"/>
  <c r="E43" i="52" s="1"/>
  <c r="F107" i="25"/>
  <c r="D107" i="52" s="1"/>
  <c r="E107" i="52" s="1"/>
  <c r="F297" i="25"/>
  <c r="D297" i="52" s="1"/>
  <c r="E297" i="52" s="1"/>
  <c r="D122" i="12"/>
  <c r="D77" i="12"/>
  <c r="F274" i="25"/>
  <c r="D274" i="52" s="1"/>
  <c r="E274" i="52" s="1"/>
  <c r="D148" i="12"/>
  <c r="D285" i="39"/>
  <c r="D284" i="12"/>
  <c r="F270" i="25"/>
  <c r="D270" i="52" s="1"/>
  <c r="E270" i="52" s="1"/>
  <c r="D300" i="12"/>
  <c r="D83" i="39"/>
  <c r="F11" i="25"/>
  <c r="D11" i="52" s="1"/>
  <c r="E11" i="52" s="1"/>
  <c r="D172" i="39"/>
  <c r="D39" i="12"/>
  <c r="F204" i="25"/>
  <c r="D204" i="52" s="1"/>
  <c r="E204" i="52" s="1"/>
  <c r="D15" i="12"/>
  <c r="F119" i="25"/>
  <c r="D119" i="52" s="1"/>
  <c r="E119" i="52" s="1"/>
  <c r="F37" i="25"/>
  <c r="D37" i="52" s="1"/>
  <c r="E37" i="52" s="1"/>
  <c r="D155" i="12"/>
  <c r="D117" i="39"/>
  <c r="D162" i="12"/>
  <c r="D280" i="12"/>
  <c r="D102" i="12"/>
  <c r="F163" i="25"/>
  <c r="D163" i="52" s="1"/>
  <c r="E163" i="52" s="1"/>
  <c r="D113" i="12"/>
  <c r="D65" i="39"/>
  <c r="D321" i="39"/>
  <c r="F250" i="25"/>
  <c r="D250" i="52" s="1"/>
  <c r="E250" i="52" s="1"/>
  <c r="D230" i="39"/>
  <c r="F34" i="25"/>
  <c r="D34" i="52" s="1"/>
  <c r="E34" i="52" s="1"/>
  <c r="F209" i="25"/>
  <c r="D209" i="52" s="1"/>
  <c r="E209" i="52" s="1"/>
  <c r="F322" i="25"/>
  <c r="D322" i="52" s="1"/>
  <c r="E322" i="52" s="1"/>
  <c r="D249" i="39"/>
  <c r="F248" i="25"/>
  <c r="D248" i="52" s="1"/>
  <c r="E248" i="52" s="1"/>
  <c r="F215" i="25"/>
  <c r="D215" i="52" s="1"/>
  <c r="E215" i="52" s="1"/>
  <c r="D185" i="12"/>
  <c r="D82" i="12"/>
  <c r="D167" i="39"/>
  <c r="D136" i="39"/>
  <c r="D49" i="39"/>
  <c r="D252" i="12"/>
  <c r="D14" i="12"/>
  <c r="D234" i="39"/>
  <c r="F124" i="25"/>
  <c r="D124" i="52" s="1"/>
  <c r="E124" i="52" s="1"/>
  <c r="D259" i="12"/>
  <c r="F202" i="25"/>
  <c r="D202" i="52" s="1"/>
  <c r="E202" i="52" s="1"/>
  <c r="D87" i="39"/>
  <c r="F169" i="25"/>
  <c r="D169" i="52" s="1"/>
  <c r="E169" i="52" s="1"/>
  <c r="O324" i="49"/>
  <c r="J324" i="52" s="1"/>
  <c r="K324" i="52" s="1"/>
  <c r="D60" i="12"/>
  <c r="F61" i="25"/>
  <c r="D61" i="52" s="1"/>
  <c r="E61" i="52" s="1"/>
  <c r="D60" i="39"/>
  <c r="D5" i="12"/>
  <c r="G15" i="34"/>
  <c r="H334" i="34"/>
  <c r="E324" i="52" l="1"/>
  <c r="E200" i="52"/>
  <c r="D60" i="48"/>
  <c r="D61" i="48" s="1"/>
  <c r="N65" i="11"/>
  <c r="N6" i="11"/>
  <c r="N232" i="11"/>
  <c r="N136" i="11"/>
  <c r="N304" i="11"/>
  <c r="N314" i="11"/>
  <c r="N278" i="11"/>
  <c r="N283" i="11"/>
  <c r="N119" i="11"/>
  <c r="N169" i="11"/>
  <c r="N179" i="11"/>
  <c r="N214" i="11"/>
  <c r="N267" i="11"/>
  <c r="N218" i="11"/>
  <c r="N280" i="11"/>
  <c r="N216" i="11"/>
  <c r="N195" i="11"/>
  <c r="N13" i="11"/>
  <c r="N150" i="11"/>
  <c r="N8" i="11"/>
  <c r="N251" i="11"/>
  <c r="N80" i="11"/>
  <c r="N24" i="11"/>
  <c r="N151" i="11"/>
  <c r="N9" i="11"/>
  <c r="N243" i="11"/>
  <c r="N190" i="11"/>
  <c r="N67" i="11"/>
  <c r="N291" i="11"/>
  <c r="N227" i="11"/>
  <c r="N266" i="11"/>
  <c r="N264" i="11"/>
  <c r="N183" i="11"/>
  <c r="N137" i="11"/>
  <c r="N177" i="11"/>
  <c r="N60" i="11"/>
  <c r="N114" i="11"/>
  <c r="N23" i="11"/>
  <c r="N233" i="11"/>
  <c r="N90" i="11"/>
  <c r="N225" i="11"/>
  <c r="N133" i="11"/>
  <c r="N106" i="11"/>
  <c r="N15" i="11"/>
  <c r="N201" i="11"/>
  <c r="N22" i="11"/>
  <c r="N82" i="11"/>
  <c r="N252" i="11"/>
  <c r="N20" i="11"/>
  <c r="N228" i="11"/>
  <c r="N255" i="11"/>
  <c r="N276" i="11"/>
  <c r="N110" i="11"/>
  <c r="N44" i="11"/>
  <c r="N58" i="11"/>
  <c r="N152" i="11"/>
  <c r="N145" i="11"/>
  <c r="N208" i="11"/>
  <c r="N249" i="11"/>
  <c r="N294" i="11"/>
  <c r="N109" i="11"/>
  <c r="N196" i="11"/>
  <c r="N205" i="11"/>
  <c r="N164" i="11"/>
  <c r="N242" i="11"/>
  <c r="N261" i="11"/>
  <c r="N317" i="11"/>
  <c r="N127" i="11"/>
  <c r="N281" i="11"/>
  <c r="N277" i="11"/>
  <c r="N262" i="11"/>
  <c r="N312" i="11"/>
  <c r="N134" i="11"/>
  <c r="N33" i="11"/>
  <c r="N198" i="11"/>
  <c r="N166" i="11"/>
  <c r="N315" i="11"/>
  <c r="N224" i="11"/>
  <c r="N286" i="11"/>
  <c r="N81" i="11"/>
  <c r="N155" i="11"/>
  <c r="N54" i="11"/>
  <c r="N107" i="11"/>
  <c r="N182" i="11"/>
  <c r="N29" i="11"/>
  <c r="N69" i="11"/>
  <c r="N248" i="11"/>
  <c r="N53" i="11"/>
  <c r="N93" i="11"/>
  <c r="N83" i="11"/>
  <c r="N158" i="11"/>
  <c r="N256" i="11"/>
  <c r="N206" i="11"/>
  <c r="N259" i="11"/>
  <c r="N318" i="11"/>
  <c r="N222" i="11"/>
  <c r="N219" i="11"/>
  <c r="N185" i="11"/>
  <c r="N254" i="11"/>
  <c r="N295" i="11"/>
  <c r="N307" i="11"/>
  <c r="N161" i="11"/>
  <c r="N105" i="11"/>
  <c r="N10" i="11"/>
  <c r="N86" i="11"/>
  <c r="N180" i="11"/>
  <c r="N40" i="11"/>
  <c r="N38" i="11"/>
  <c r="N167" i="11"/>
  <c r="N75" i="11"/>
  <c r="N85" i="11"/>
  <c r="N306" i="11"/>
  <c r="N143" i="11"/>
  <c r="N244" i="11"/>
  <c r="N320" i="11"/>
  <c r="N128" i="11"/>
  <c r="N247" i="11"/>
  <c r="N144" i="11"/>
  <c r="N34" i="11"/>
  <c r="N253" i="11"/>
  <c r="N63" i="11"/>
  <c r="N111" i="11"/>
  <c r="N92" i="11"/>
  <c r="N79" i="11"/>
  <c r="N154" i="11"/>
  <c r="N98" i="11"/>
  <c r="N11" i="11"/>
  <c r="N297" i="11"/>
  <c r="N263" i="11"/>
  <c r="N181" i="11"/>
  <c r="N125" i="11"/>
  <c r="N194" i="11"/>
  <c r="N290" i="11"/>
  <c r="N28" i="11"/>
  <c r="N273" i="11"/>
  <c r="N78" i="11"/>
  <c r="N26" i="11"/>
  <c r="N197" i="11"/>
  <c r="N210" i="11"/>
  <c r="N237" i="11"/>
  <c r="N204" i="11"/>
  <c r="N284" i="11"/>
  <c r="N96" i="11"/>
  <c r="N47" i="11"/>
  <c r="N186" i="11"/>
  <c r="N140" i="11"/>
  <c r="N74" i="11"/>
  <c r="N41" i="11"/>
  <c r="N64" i="11"/>
  <c r="N172" i="11"/>
  <c r="N212" i="11"/>
  <c r="N35" i="11"/>
  <c r="N282" i="11"/>
  <c r="N89" i="11"/>
  <c r="N303" i="11"/>
  <c r="N71" i="11"/>
  <c r="N226" i="11"/>
  <c r="N288" i="11"/>
  <c r="N240" i="11"/>
  <c r="N296" i="11"/>
  <c r="N211" i="11"/>
  <c r="N191" i="11"/>
  <c r="N139" i="11"/>
  <c r="N43" i="11"/>
  <c r="N257" i="11"/>
  <c r="N293" i="11"/>
  <c r="N313" i="11"/>
  <c r="N94" i="11"/>
  <c r="N163" i="11"/>
  <c r="N202" i="11"/>
  <c r="N62" i="11"/>
  <c r="N153" i="11"/>
  <c r="N215" i="11"/>
  <c r="N59" i="11"/>
  <c r="N319" i="11"/>
  <c r="N102" i="11"/>
  <c r="N311" i="11"/>
  <c r="N39" i="11"/>
  <c r="N117" i="11"/>
  <c r="N236" i="11"/>
  <c r="N45" i="11"/>
  <c r="N56" i="11"/>
  <c r="N147" i="11"/>
  <c r="N162" i="11"/>
  <c r="N299" i="11"/>
  <c r="N316" i="11"/>
  <c r="N91" i="11"/>
  <c r="N160" i="11"/>
  <c r="N120" i="11"/>
  <c r="N49" i="11"/>
  <c r="N30" i="11"/>
  <c r="N309" i="11"/>
  <c r="N12" i="11"/>
  <c r="N157" i="11"/>
  <c r="N199" i="11"/>
  <c r="N27" i="11"/>
  <c r="N220" i="11"/>
  <c r="N192" i="11"/>
  <c r="N265" i="11"/>
  <c r="N285" i="11"/>
  <c r="N300" i="11"/>
  <c r="N36" i="11"/>
  <c r="N84" i="11"/>
  <c r="N241" i="11"/>
  <c r="N32" i="11"/>
  <c r="N76" i="11"/>
  <c r="N230" i="11"/>
  <c r="N77" i="11"/>
  <c r="N132" i="11"/>
  <c r="N239" i="11"/>
  <c r="N193" i="11"/>
  <c r="N103" i="11"/>
  <c r="N122" i="11"/>
  <c r="N310" i="11"/>
  <c r="N213" i="11"/>
  <c r="N292" i="11"/>
  <c r="N173" i="11"/>
  <c r="N88" i="11"/>
  <c r="N209" i="11"/>
  <c r="N217" i="11"/>
  <c r="N46" i="11"/>
  <c r="N19" i="11"/>
  <c r="N52" i="11"/>
  <c r="N17" i="11"/>
  <c r="N258" i="11"/>
  <c r="N272" i="11"/>
  <c r="N51" i="11"/>
  <c r="N113" i="11"/>
  <c r="N126" i="11"/>
  <c r="N72" i="11"/>
  <c r="N274" i="11"/>
  <c r="N187" i="11"/>
  <c r="N176" i="11"/>
  <c r="N275" i="11"/>
  <c r="N279" i="11"/>
  <c r="N189" i="11"/>
  <c r="N138" i="11"/>
  <c r="N146" i="11"/>
  <c r="N178" i="11"/>
  <c r="N269" i="11"/>
  <c r="N188" i="11"/>
  <c r="N101" i="11"/>
  <c r="N141" i="11"/>
  <c r="N203" i="11"/>
  <c r="N171" i="11"/>
  <c r="N245" i="11"/>
  <c r="N235" i="11"/>
  <c r="N184" i="11"/>
  <c r="N156" i="11"/>
  <c r="N175" i="11"/>
  <c r="N104" i="11"/>
  <c r="N124" i="11"/>
  <c r="N68" i="11"/>
  <c r="N130" i="11"/>
  <c r="N66" i="11"/>
  <c r="N116" i="11"/>
  <c r="N16" i="11"/>
  <c r="N61" i="11"/>
  <c r="N142" i="11"/>
  <c r="N57" i="11"/>
  <c r="N31" i="11"/>
  <c r="N42" i="11"/>
  <c r="N271" i="11"/>
  <c r="N223" i="11"/>
  <c r="N250" i="11"/>
  <c r="N131" i="11"/>
  <c r="N55" i="11"/>
  <c r="N287" i="11"/>
  <c r="N123" i="11"/>
  <c r="N115" i="11"/>
  <c r="N238" i="11"/>
  <c r="N21" i="11"/>
  <c r="N95" i="11"/>
  <c r="N174" i="11"/>
  <c r="N37" i="11"/>
  <c r="N165" i="11"/>
  <c r="N221" i="11"/>
  <c r="N87" i="11"/>
  <c r="N97" i="11"/>
  <c r="N70" i="11"/>
  <c r="N302" i="11"/>
  <c r="N25" i="11"/>
  <c r="N118" i="11"/>
  <c r="N129" i="11"/>
  <c r="N135" i="11"/>
  <c r="N73" i="11"/>
  <c r="N200" i="11"/>
  <c r="N121" i="11"/>
  <c r="N246" i="11"/>
  <c r="N270" i="11"/>
  <c r="N99" i="11"/>
  <c r="N148" i="11"/>
  <c r="N231" i="11"/>
  <c r="N260" i="11"/>
  <c r="N229" i="11"/>
  <c r="N170" i="11"/>
  <c r="N207" i="11"/>
  <c r="N100" i="11"/>
  <c r="N50" i="11"/>
  <c r="N112" i="11"/>
  <c r="N268" i="11"/>
  <c r="N322" i="11"/>
  <c r="N298" i="11"/>
  <c r="N18" i="11"/>
  <c r="N289" i="11"/>
  <c r="N108" i="11"/>
  <c r="N14" i="11"/>
  <c r="N305" i="11"/>
  <c r="N48" i="11"/>
  <c r="N234" i="11"/>
  <c r="N159" i="11"/>
  <c r="N168" i="11"/>
  <c r="N308" i="11"/>
  <c r="N149" i="11"/>
  <c r="N301" i="11"/>
  <c r="N321" i="11"/>
  <c r="N7" i="11"/>
  <c r="N5" i="11"/>
  <c r="J9" i="11"/>
  <c r="J13" i="11"/>
  <c r="J17" i="11"/>
  <c r="J21" i="11"/>
  <c r="J25" i="11"/>
  <c r="J29" i="11"/>
  <c r="J33" i="11"/>
  <c r="J37" i="11"/>
  <c r="J41" i="11"/>
  <c r="J45" i="11"/>
  <c r="J49" i="11"/>
  <c r="J53" i="11"/>
  <c r="J57" i="11"/>
  <c r="J61" i="11"/>
  <c r="J65" i="11"/>
  <c r="J69" i="11"/>
  <c r="J73" i="11"/>
  <c r="J77" i="11"/>
  <c r="J81" i="11"/>
  <c r="J85" i="11"/>
  <c r="J89" i="11"/>
  <c r="J93" i="11"/>
  <c r="J97" i="11"/>
  <c r="J101" i="11"/>
  <c r="J105" i="11"/>
  <c r="J109" i="11"/>
  <c r="J113" i="11"/>
  <c r="J117" i="11"/>
  <c r="J121" i="11"/>
  <c r="J125" i="11"/>
  <c r="J129" i="11"/>
  <c r="J133" i="11"/>
  <c r="J137" i="11"/>
  <c r="J141" i="11"/>
  <c r="J145" i="11"/>
  <c r="J149" i="11"/>
  <c r="J153" i="11"/>
  <c r="J157" i="11"/>
  <c r="J161" i="11"/>
  <c r="J165" i="11"/>
  <c r="J169" i="11"/>
  <c r="J173" i="11"/>
  <c r="J177" i="11"/>
  <c r="J181" i="11"/>
  <c r="J185" i="11"/>
  <c r="J189" i="11"/>
  <c r="J193" i="11"/>
  <c r="J197" i="11"/>
  <c r="J201" i="11"/>
  <c r="J205" i="11"/>
  <c r="J209" i="11"/>
  <c r="J213" i="11"/>
  <c r="J217" i="11"/>
  <c r="J221" i="11"/>
  <c r="J225" i="11"/>
  <c r="J229" i="11"/>
  <c r="J233" i="11"/>
  <c r="J237" i="11"/>
  <c r="J241" i="11"/>
  <c r="J245" i="11"/>
  <c r="J249" i="11"/>
  <c r="J253" i="11"/>
  <c r="J257" i="11"/>
  <c r="J261" i="11"/>
  <c r="J265" i="11"/>
  <c r="J269" i="11"/>
  <c r="J273" i="11"/>
  <c r="J277" i="11"/>
  <c r="J281" i="11"/>
  <c r="J285" i="11"/>
  <c r="J289" i="11"/>
  <c r="J293" i="11"/>
  <c r="J297" i="11"/>
  <c r="J301" i="11"/>
  <c r="J6" i="11"/>
  <c r="J10" i="11"/>
  <c r="J14" i="11"/>
  <c r="J18" i="11"/>
  <c r="J22" i="11"/>
  <c r="J26" i="11"/>
  <c r="J30" i="11"/>
  <c r="J34" i="11"/>
  <c r="J38" i="11"/>
  <c r="J42" i="11"/>
  <c r="J46" i="11"/>
  <c r="J50" i="11"/>
  <c r="J54" i="11"/>
  <c r="J58" i="11"/>
  <c r="J62" i="11"/>
  <c r="J66" i="11"/>
  <c r="J70" i="11"/>
  <c r="J74" i="11"/>
  <c r="J78" i="11"/>
  <c r="J82" i="11"/>
  <c r="J86" i="11"/>
  <c r="J90" i="11"/>
  <c r="J94" i="11"/>
  <c r="J98" i="11"/>
  <c r="J102" i="11"/>
  <c r="J106" i="11"/>
  <c r="J110" i="11"/>
  <c r="J114" i="11"/>
  <c r="J118" i="11"/>
  <c r="J122" i="11"/>
  <c r="J126" i="11"/>
  <c r="J130" i="11"/>
  <c r="J134" i="11"/>
  <c r="J138" i="11"/>
  <c r="J142" i="11"/>
  <c r="J146" i="11"/>
  <c r="J150" i="11"/>
  <c r="J154" i="11"/>
  <c r="J158" i="11"/>
  <c r="J162" i="11"/>
  <c r="J166" i="11"/>
  <c r="J170" i="11"/>
  <c r="J174" i="11"/>
  <c r="J178" i="11"/>
  <c r="J182" i="11"/>
  <c r="J186" i="11"/>
  <c r="J190" i="11"/>
  <c r="J194" i="11"/>
  <c r="J198" i="11"/>
  <c r="J202" i="11"/>
  <c r="J206" i="11"/>
  <c r="J210" i="11"/>
  <c r="J214" i="11"/>
  <c r="J218" i="11"/>
  <c r="J222" i="11"/>
  <c r="J226" i="11"/>
  <c r="J230" i="11"/>
  <c r="J234" i="11"/>
  <c r="J238" i="11"/>
  <c r="J242" i="11"/>
  <c r="J246" i="11"/>
  <c r="J250" i="11"/>
  <c r="J254" i="11"/>
  <c r="J258" i="11"/>
  <c r="J262" i="11"/>
  <c r="J266" i="11"/>
  <c r="J270" i="11"/>
  <c r="J274" i="11"/>
  <c r="J278" i="11"/>
  <c r="J282" i="11"/>
  <c r="J286" i="11"/>
  <c r="J290" i="11"/>
  <c r="J294" i="11"/>
  <c r="J298" i="11"/>
  <c r="J302" i="11"/>
  <c r="J306" i="11"/>
  <c r="J310" i="11"/>
  <c r="J314" i="11"/>
  <c r="J318" i="11"/>
  <c r="J322" i="11"/>
  <c r="J7" i="11"/>
  <c r="J11" i="11"/>
  <c r="J15" i="11"/>
  <c r="J19" i="11"/>
  <c r="J23" i="11"/>
  <c r="J20" i="11"/>
  <c r="J31" i="11"/>
  <c r="J39" i="11"/>
  <c r="J47" i="11"/>
  <c r="J55" i="11"/>
  <c r="J63" i="11"/>
  <c r="J71" i="11"/>
  <c r="J79" i="11"/>
  <c r="J87" i="11"/>
  <c r="J95" i="11"/>
  <c r="J103" i="11"/>
  <c r="J111" i="11"/>
  <c r="J119" i="11"/>
  <c r="J135" i="11"/>
  <c r="J143" i="11"/>
  <c r="J151" i="11"/>
  <c r="J167" i="11"/>
  <c r="J183" i="11"/>
  <c r="J199" i="11"/>
  <c r="J223" i="11"/>
  <c r="J247" i="11"/>
  <c r="J263" i="11"/>
  <c r="J287" i="11"/>
  <c r="J303" i="11"/>
  <c r="J319" i="11"/>
  <c r="J24" i="11"/>
  <c r="J48" i="11"/>
  <c r="J64" i="11"/>
  <c r="J80" i="11"/>
  <c r="J104" i="11"/>
  <c r="J120" i="11"/>
  <c r="J136" i="11"/>
  <c r="J144" i="11"/>
  <c r="J160" i="11"/>
  <c r="J176" i="11"/>
  <c r="J192" i="11"/>
  <c r="J208" i="11"/>
  <c r="J224" i="11"/>
  <c r="J240" i="11"/>
  <c r="J256" i="11"/>
  <c r="J272" i="11"/>
  <c r="J288" i="11"/>
  <c r="J304" i="11"/>
  <c r="J315" i="11"/>
  <c r="J12" i="11"/>
  <c r="J35" i="11"/>
  <c r="J59" i="11"/>
  <c r="J75" i="11"/>
  <c r="J91" i="11"/>
  <c r="J99" i="11"/>
  <c r="J115" i="11"/>
  <c r="J131" i="11"/>
  <c r="J147" i="11"/>
  <c r="J163" i="11"/>
  <c r="J16" i="11"/>
  <c r="J28" i="11"/>
  <c r="J36" i="11"/>
  <c r="J44" i="11"/>
  <c r="J52" i="11"/>
  <c r="J60" i="11"/>
  <c r="J68" i="11"/>
  <c r="J76" i="11"/>
  <c r="J84" i="11"/>
  <c r="J92" i="11"/>
  <c r="J100" i="11"/>
  <c r="J108" i="11"/>
  <c r="J116" i="11"/>
  <c r="J124" i="11"/>
  <c r="J132" i="11"/>
  <c r="J140" i="11"/>
  <c r="J148" i="11"/>
  <c r="J156" i="11"/>
  <c r="J164" i="11"/>
  <c r="J172" i="11"/>
  <c r="J180" i="11"/>
  <c r="J188" i="11"/>
  <c r="J196" i="11"/>
  <c r="J204" i="11"/>
  <c r="J212" i="11"/>
  <c r="J220" i="11"/>
  <c r="J228" i="11"/>
  <c r="J236" i="11"/>
  <c r="J244" i="11"/>
  <c r="J252" i="11"/>
  <c r="J260" i="11"/>
  <c r="J268" i="11"/>
  <c r="J276" i="11"/>
  <c r="J284" i="11"/>
  <c r="J292" i="11"/>
  <c r="J300" i="11"/>
  <c r="J307" i="11"/>
  <c r="J312" i="11"/>
  <c r="J317" i="11"/>
  <c r="J5" i="11"/>
  <c r="J127" i="11"/>
  <c r="J159" i="11"/>
  <c r="J175" i="11"/>
  <c r="J191" i="11"/>
  <c r="J207" i="11"/>
  <c r="J215" i="11"/>
  <c r="J231" i="11"/>
  <c r="J239" i="11"/>
  <c r="J255" i="11"/>
  <c r="J271" i="11"/>
  <c r="J279" i="11"/>
  <c r="J295" i="11"/>
  <c r="J308" i="11"/>
  <c r="J313" i="11"/>
  <c r="J8" i="11"/>
  <c r="J32" i="11"/>
  <c r="J40" i="11"/>
  <c r="J56" i="11"/>
  <c r="J72" i="11"/>
  <c r="J88" i="11"/>
  <c r="J96" i="11"/>
  <c r="J112" i="11"/>
  <c r="J128" i="11"/>
  <c r="J152" i="11"/>
  <c r="J168" i="11"/>
  <c r="J184" i="11"/>
  <c r="J200" i="11"/>
  <c r="J216" i="11"/>
  <c r="J232" i="11"/>
  <c r="J248" i="11"/>
  <c r="J264" i="11"/>
  <c r="J280" i="11"/>
  <c r="J296" i="11"/>
  <c r="J309" i="11"/>
  <c r="J320" i="11"/>
  <c r="J27" i="11"/>
  <c r="J43" i="11"/>
  <c r="J51" i="11"/>
  <c r="J67" i="11"/>
  <c r="J83" i="11"/>
  <c r="J107" i="11"/>
  <c r="J123" i="11"/>
  <c r="J139" i="11"/>
  <c r="J155" i="11"/>
  <c r="J171" i="11"/>
  <c r="J219" i="11"/>
  <c r="J195" i="11"/>
  <c r="J227" i="11"/>
  <c r="J259" i="11"/>
  <c r="J291" i="11"/>
  <c r="O291" i="11" s="1"/>
  <c r="J316" i="11"/>
  <c r="J203" i="11"/>
  <c r="J235" i="11"/>
  <c r="J267" i="11"/>
  <c r="J299" i="11"/>
  <c r="J321" i="11"/>
  <c r="J179" i="11"/>
  <c r="J211" i="11"/>
  <c r="J243" i="11"/>
  <c r="J275" i="11"/>
  <c r="J305" i="11"/>
  <c r="O305" i="11" s="1"/>
  <c r="J187" i="11"/>
  <c r="J251" i="11"/>
  <c r="J283" i="11"/>
  <c r="J311" i="11"/>
  <c r="D5" i="39"/>
  <c r="E34" i="48"/>
  <c r="G329" i="9"/>
  <c r="D323" i="12" s="1"/>
  <c r="F305" i="39" l="1"/>
  <c r="F305" i="12"/>
  <c r="P291" i="11"/>
  <c r="F291" i="39"/>
  <c r="F291" i="12"/>
  <c r="O188" i="11"/>
  <c r="O32" i="11"/>
  <c r="O302" i="11"/>
  <c r="O233" i="11"/>
  <c r="O62" i="11"/>
  <c r="O164" i="11"/>
  <c r="O251" i="11"/>
  <c r="O244" i="11"/>
  <c r="O120" i="11"/>
  <c r="O226" i="11"/>
  <c r="O121" i="11"/>
  <c r="O217" i="11"/>
  <c r="O94" i="11"/>
  <c r="O295" i="11"/>
  <c r="O285" i="11"/>
  <c r="O276" i="11"/>
  <c r="O227" i="11"/>
  <c r="O174" i="11"/>
  <c r="O46" i="11"/>
  <c r="O30" i="11"/>
  <c r="O240" i="11"/>
  <c r="O11" i="11"/>
  <c r="O286" i="11"/>
  <c r="O321" i="11"/>
  <c r="O271" i="11"/>
  <c r="O38" i="11"/>
  <c r="O108" i="11"/>
  <c r="O270" i="11"/>
  <c r="O19" i="11"/>
  <c r="O88" i="11"/>
  <c r="O76" i="11"/>
  <c r="O98" i="11"/>
  <c r="O268" i="11"/>
  <c r="O63" i="11"/>
  <c r="O93" i="11"/>
  <c r="O183" i="11"/>
  <c r="O54" i="11"/>
  <c r="O182" i="11"/>
  <c r="O189" i="11"/>
  <c r="O232" i="11"/>
  <c r="O173" i="11"/>
  <c r="O259" i="11"/>
  <c r="O289" i="11"/>
  <c r="O221" i="11"/>
  <c r="O66" i="11"/>
  <c r="O92" i="11"/>
  <c r="O231" i="11"/>
  <c r="O149" i="11"/>
  <c r="O187" i="11"/>
  <c r="O49" i="11"/>
  <c r="O313" i="11"/>
  <c r="O198" i="11"/>
  <c r="O157" i="11"/>
  <c r="O308" i="11"/>
  <c r="O178" i="11"/>
  <c r="O250" i="11"/>
  <c r="O298" i="11"/>
  <c r="O21" i="11"/>
  <c r="O80" i="11"/>
  <c r="O319" i="11"/>
  <c r="O272" i="11"/>
  <c r="O230" i="11"/>
  <c r="O131" i="11"/>
  <c r="O151" i="11"/>
  <c r="O170" i="11"/>
  <c r="O133" i="11"/>
  <c r="O235" i="11"/>
  <c r="O277" i="11"/>
  <c r="O282" i="11"/>
  <c r="O55" i="11"/>
  <c r="O79" i="11"/>
  <c r="O107" i="11"/>
  <c r="O243" i="11"/>
  <c r="O116" i="11"/>
  <c r="O99" i="11"/>
  <c r="O117" i="11"/>
  <c r="O162" i="11"/>
  <c r="O123" i="11"/>
  <c r="O90" i="11"/>
  <c r="O219" i="11"/>
  <c r="O24" i="11"/>
  <c r="O169" i="11"/>
  <c r="O317" i="11"/>
  <c r="O252" i="11"/>
  <c r="O214" i="11"/>
  <c r="O218" i="11"/>
  <c r="O125" i="11"/>
  <c r="O229" i="11"/>
  <c r="O196" i="11"/>
  <c r="O82" i="11"/>
  <c r="O102" i="11"/>
  <c r="O143" i="11"/>
  <c r="O18" i="11"/>
  <c r="O71" i="11"/>
  <c r="O68" i="11"/>
  <c r="O279" i="11"/>
  <c r="O203" i="11"/>
  <c r="O256" i="11"/>
  <c r="O191" i="11"/>
  <c r="O254" i="11"/>
  <c r="O304" i="11"/>
  <c r="O97" i="11"/>
  <c r="O132" i="11"/>
  <c r="O53" i="11"/>
  <c r="O248" i="11"/>
  <c r="O239" i="11"/>
  <c r="O158" i="11"/>
  <c r="O87" i="11"/>
  <c r="O310" i="11"/>
  <c r="O31" i="11"/>
  <c r="O193" i="11"/>
  <c r="O20" i="11"/>
  <c r="O81" i="11"/>
  <c r="O202" i="11"/>
  <c r="O37" i="11"/>
  <c r="O211" i="11"/>
  <c r="O176" i="11"/>
  <c r="O145" i="11"/>
  <c r="O8" i="11"/>
  <c r="O75" i="11"/>
  <c r="O100" i="11"/>
  <c r="O263" i="11"/>
  <c r="O119" i="11"/>
  <c r="O142" i="11"/>
  <c r="O89" i="11"/>
  <c r="O180" i="11"/>
  <c r="O303" i="11"/>
  <c r="O314" i="11"/>
  <c r="O290" i="11"/>
  <c r="O60" i="11"/>
  <c r="O44" i="11"/>
  <c r="O146" i="11"/>
  <c r="O74" i="11"/>
  <c r="O179" i="11"/>
  <c r="O210" i="11"/>
  <c r="O50" i="11"/>
  <c r="O197" i="11"/>
  <c r="O322" i="11"/>
  <c r="O200" i="11"/>
  <c r="O307" i="11"/>
  <c r="O61" i="11"/>
  <c r="O25" i="11"/>
  <c r="O318" i="11"/>
  <c r="O114" i="11"/>
  <c r="O320" i="11"/>
  <c r="O236" i="11"/>
  <c r="O15" i="11"/>
  <c r="O160" i="11"/>
  <c r="O106" i="11"/>
  <c r="O13" i="11"/>
  <c r="O266" i="11"/>
  <c r="O39" i="11"/>
  <c r="O181" i="11"/>
  <c r="O253" i="11"/>
  <c r="O69" i="11"/>
  <c r="O10" i="11"/>
  <c r="O72" i="11"/>
  <c r="O152" i="11"/>
  <c r="O301" i="11"/>
  <c r="O194" i="11"/>
  <c r="O312" i="11"/>
  <c r="O296" i="11"/>
  <c r="O287" i="11"/>
  <c r="O139" i="11"/>
  <c r="O103" i="11"/>
  <c r="O306" i="11"/>
  <c r="O6" i="11"/>
  <c r="O156" i="11"/>
  <c r="O228" i="11"/>
  <c r="O154" i="11"/>
  <c r="O207" i="11"/>
  <c r="O267" i="11"/>
  <c r="O22" i="11"/>
  <c r="O138" i="11"/>
  <c r="O184" i="11"/>
  <c r="O293" i="11"/>
  <c r="O186" i="11"/>
  <c r="O26" i="11"/>
  <c r="O177" i="11"/>
  <c r="O237" i="11"/>
  <c r="O16" i="11"/>
  <c r="O278" i="11"/>
  <c r="O147" i="11"/>
  <c r="O91" i="11"/>
  <c r="O150" i="11"/>
  <c r="O223" i="11"/>
  <c r="O23" i="11"/>
  <c r="O247" i="11"/>
  <c r="O12" i="11"/>
  <c r="O56" i="11"/>
  <c r="O264" i="11"/>
  <c r="O225" i="11"/>
  <c r="O78" i="11"/>
  <c r="O77" i="11"/>
  <c r="O222" i="11"/>
  <c r="O220" i="11"/>
  <c r="O315" i="11"/>
  <c r="O212" i="11"/>
  <c r="O192" i="11"/>
  <c r="O58" i="11"/>
  <c r="O234" i="11"/>
  <c r="O127" i="11"/>
  <c r="O155" i="11"/>
  <c r="O126" i="11"/>
  <c r="O140" i="11"/>
  <c r="O67" i="11"/>
  <c r="O118" i="11"/>
  <c r="O205" i="11"/>
  <c r="O5" i="11"/>
  <c r="O195" i="11"/>
  <c r="O73" i="11"/>
  <c r="O260" i="11"/>
  <c r="O300" i="11"/>
  <c r="O159" i="11"/>
  <c r="O209" i="11"/>
  <c r="O65" i="11"/>
  <c r="O281" i="11"/>
  <c r="O284" i="11"/>
  <c r="O168" i="11"/>
  <c r="O213" i="11"/>
  <c r="O283" i="11"/>
  <c r="O101" i="11"/>
  <c r="O105" i="11"/>
  <c r="O86" i="11"/>
  <c r="O204" i="11"/>
  <c r="O242" i="11"/>
  <c r="O167" i="11"/>
  <c r="O190" i="11"/>
  <c r="O165" i="11"/>
  <c r="O274" i="11"/>
  <c r="O288" i="11"/>
  <c r="O14" i="11"/>
  <c r="O262" i="11"/>
  <c r="O34" i="11"/>
  <c r="O43" i="11"/>
  <c r="O208" i="11"/>
  <c r="O128" i="11"/>
  <c r="O95" i="11"/>
  <c r="O166" i="11"/>
  <c r="O241" i="11"/>
  <c r="O216" i="11"/>
  <c r="O42" i="11"/>
  <c r="O137" i="11"/>
  <c r="O40" i="11"/>
  <c r="O33" i="11"/>
  <c r="O172" i="11"/>
  <c r="O280" i="11"/>
  <c r="O109" i="11"/>
  <c r="O135" i="11"/>
  <c r="O199" i="11"/>
  <c r="O28" i="11"/>
  <c r="O257" i="11"/>
  <c r="O297" i="11"/>
  <c r="O124" i="11"/>
  <c r="O35" i="11"/>
  <c r="O299" i="11"/>
  <c r="O29" i="11"/>
  <c r="O245" i="11"/>
  <c r="O111" i="11"/>
  <c r="O153" i="11"/>
  <c r="O122" i="11"/>
  <c r="O51" i="11"/>
  <c r="O52" i="11"/>
  <c r="O7" i="11"/>
  <c r="O41" i="11"/>
  <c r="O85" i="11"/>
  <c r="O141" i="11"/>
  <c r="O83" i="11"/>
  <c r="O130" i="11"/>
  <c r="O246" i="11"/>
  <c r="O104" i="11"/>
  <c r="O249" i="11"/>
  <c r="O206" i="11"/>
  <c r="O175" i="11"/>
  <c r="O70" i="11"/>
  <c r="O258" i="11"/>
  <c r="O265" i="11"/>
  <c r="J323" i="11"/>
  <c r="O292" i="11"/>
  <c r="O96" i="11"/>
  <c r="O47" i="11"/>
  <c r="O9" i="11"/>
  <c r="O45" i="11"/>
  <c r="O316" i="11"/>
  <c r="O113" i="11"/>
  <c r="O57" i="11"/>
  <c r="O255" i="11"/>
  <c r="O110" i="11"/>
  <c r="O59" i="11"/>
  <c r="O163" i="11"/>
  <c r="O112" i="11"/>
  <c r="O129" i="11"/>
  <c r="O27" i="11"/>
  <c r="O311" i="11"/>
  <c r="N323" i="11"/>
  <c r="O148" i="11"/>
  <c r="O144" i="11"/>
  <c r="O309" i="11"/>
  <c r="O64" i="11"/>
  <c r="O269" i="11"/>
  <c r="O261" i="11"/>
  <c r="O84" i="11"/>
  <c r="O185" i="11"/>
  <c r="O275" i="11"/>
  <c r="O17" i="11"/>
  <c r="E33" i="48"/>
  <c r="F34" i="48" s="1"/>
  <c r="D323" i="39"/>
  <c r="O115" i="11"/>
  <c r="O36" i="11"/>
  <c r="O201" i="11"/>
  <c r="O136" i="11"/>
  <c r="O273" i="11"/>
  <c r="O238" i="11"/>
  <c r="O48" i="11"/>
  <c r="O134" i="11"/>
  <c r="O171" i="11"/>
  <c r="O215" i="11"/>
  <c r="O294" i="11"/>
  <c r="O224" i="11"/>
  <c r="O161" i="11"/>
  <c r="F324" i="25"/>
  <c r="D324" i="52" s="1"/>
  <c r="H292" i="25"/>
  <c r="P305" i="11"/>
  <c r="H306" i="25"/>
  <c r="H162" i="25" l="1"/>
  <c r="F161" i="39"/>
  <c r="F161" i="12"/>
  <c r="P294" i="11"/>
  <c r="F294" i="39"/>
  <c r="F294" i="12"/>
  <c r="P171" i="11"/>
  <c r="F171" i="39"/>
  <c r="F171" i="12"/>
  <c r="P48" i="11"/>
  <c r="F48" i="39"/>
  <c r="F48" i="12"/>
  <c r="H274" i="25"/>
  <c r="F273" i="39"/>
  <c r="F273" i="12"/>
  <c r="P201" i="11"/>
  <c r="F201" i="39"/>
  <c r="F201" i="12"/>
  <c r="P115" i="11"/>
  <c r="F115" i="39"/>
  <c r="F115" i="12"/>
  <c r="P224" i="11"/>
  <c r="F224" i="39"/>
  <c r="F224" i="12"/>
  <c r="H216" i="25"/>
  <c r="F215" i="39"/>
  <c r="F215" i="12"/>
  <c r="P134" i="11"/>
  <c r="F134" i="39"/>
  <c r="F134" i="12"/>
  <c r="H239" i="25"/>
  <c r="F238" i="39"/>
  <c r="F238" i="12"/>
  <c r="P136" i="11"/>
  <c r="F136" i="39"/>
  <c r="F136" i="12"/>
  <c r="P36" i="11"/>
  <c r="F36" i="39"/>
  <c r="F36" i="12"/>
  <c r="F17" i="39"/>
  <c r="F17" i="12"/>
  <c r="H186" i="25"/>
  <c r="F185" i="39"/>
  <c r="F185" i="12"/>
  <c r="P261" i="11"/>
  <c r="F261" i="39"/>
  <c r="F261" i="12"/>
  <c r="H65" i="25"/>
  <c r="F64" i="39"/>
  <c r="F64" i="12"/>
  <c r="H145" i="25"/>
  <c r="F144" i="39"/>
  <c r="F144" i="12"/>
  <c r="H28" i="25"/>
  <c r="F27" i="39"/>
  <c r="F27" i="12"/>
  <c r="H113" i="25"/>
  <c r="F112" i="39"/>
  <c r="F112" i="12"/>
  <c r="P59" i="11"/>
  <c r="F59" i="39"/>
  <c r="F59" i="12"/>
  <c r="H256" i="25"/>
  <c r="F255" i="39"/>
  <c r="F255" i="12"/>
  <c r="H114" i="25"/>
  <c r="F113" i="39"/>
  <c r="F113" i="12"/>
  <c r="H46" i="25"/>
  <c r="F45" i="39"/>
  <c r="F45" i="12"/>
  <c r="P47" i="11"/>
  <c r="F47" i="39"/>
  <c r="F47" i="12"/>
  <c r="P292" i="11"/>
  <c r="F292" i="39"/>
  <c r="F292" i="12"/>
  <c r="P265" i="11"/>
  <c r="F265" i="39"/>
  <c r="F265" i="12"/>
  <c r="P70" i="11"/>
  <c r="F70" i="39"/>
  <c r="F70" i="12"/>
  <c r="P206" i="11"/>
  <c r="F206" i="39"/>
  <c r="F206" i="12"/>
  <c r="H105" i="25"/>
  <c r="F104" i="39"/>
  <c r="F104" i="12"/>
  <c r="P130" i="11"/>
  <c r="F130" i="39"/>
  <c r="F130" i="12"/>
  <c r="P141" i="11"/>
  <c r="F141" i="39"/>
  <c r="F141" i="12"/>
  <c r="H42" i="25"/>
  <c r="F41" i="39"/>
  <c r="F41" i="12"/>
  <c r="P52" i="11"/>
  <c r="F52" i="39"/>
  <c r="F52" i="12"/>
  <c r="H123" i="25"/>
  <c r="F122" i="39"/>
  <c r="F122" i="12"/>
  <c r="H112" i="25"/>
  <c r="F111" i="39"/>
  <c r="F111" i="12"/>
  <c r="P29" i="11"/>
  <c r="F29" i="39"/>
  <c r="F29" i="12"/>
  <c r="P35" i="11"/>
  <c r="F35" i="39"/>
  <c r="F35" i="12"/>
  <c r="H298" i="25"/>
  <c r="F297" i="39"/>
  <c r="F297" i="12"/>
  <c r="P28" i="11"/>
  <c r="F28" i="39"/>
  <c r="F28" i="12"/>
  <c r="P135" i="11"/>
  <c r="F135" i="39"/>
  <c r="F135" i="12"/>
  <c r="P280" i="11"/>
  <c r="F280" i="39"/>
  <c r="F280" i="12"/>
  <c r="H34" i="25"/>
  <c r="F33" i="39"/>
  <c r="F33" i="12"/>
  <c r="H138" i="25"/>
  <c r="F137" i="39"/>
  <c r="F137" i="12"/>
  <c r="H217" i="25"/>
  <c r="F216" i="39"/>
  <c r="F216" i="12"/>
  <c r="P166" i="11"/>
  <c r="F166" i="39"/>
  <c r="F166" i="12"/>
  <c r="H129" i="25"/>
  <c r="F128" i="39"/>
  <c r="F128" i="12"/>
  <c r="H44" i="25"/>
  <c r="F43" i="39"/>
  <c r="F43" i="12"/>
  <c r="H263" i="25"/>
  <c r="F262" i="39"/>
  <c r="F262" i="12"/>
  <c r="H289" i="25"/>
  <c r="F288" i="39"/>
  <c r="F288" i="12"/>
  <c r="P165" i="11"/>
  <c r="F165" i="39"/>
  <c r="F165" i="12"/>
  <c r="P167" i="11"/>
  <c r="F167" i="39"/>
  <c r="F167" i="12"/>
  <c r="P204" i="11"/>
  <c r="F204" i="39"/>
  <c r="F204" i="12"/>
  <c r="H106" i="25"/>
  <c r="F105" i="39"/>
  <c r="F105" i="12"/>
  <c r="P283" i="11"/>
  <c r="F283" i="39"/>
  <c r="F283" i="12"/>
  <c r="H169" i="25"/>
  <c r="F168" i="39"/>
  <c r="F168" i="12"/>
  <c r="P281" i="11"/>
  <c r="F281" i="39"/>
  <c r="F281" i="12"/>
  <c r="P209" i="11"/>
  <c r="F209" i="39"/>
  <c r="F209" i="12"/>
  <c r="H301" i="25"/>
  <c r="F300" i="39"/>
  <c r="F300" i="12"/>
  <c r="H74" i="25"/>
  <c r="F73" i="39"/>
  <c r="F73" i="12"/>
  <c r="F5" i="39"/>
  <c r="F5" i="12"/>
  <c r="H119" i="25"/>
  <c r="F118" i="39"/>
  <c r="F118" i="12"/>
  <c r="H141" i="25"/>
  <c r="F140" i="39"/>
  <c r="F140" i="12"/>
  <c r="H156" i="25"/>
  <c r="F155" i="39"/>
  <c r="F155" i="12"/>
  <c r="P234" i="11"/>
  <c r="F234" i="39"/>
  <c r="F234" i="12"/>
  <c r="P192" i="11"/>
  <c r="F192" i="39"/>
  <c r="F192" i="12"/>
  <c r="P315" i="11"/>
  <c r="F315" i="39"/>
  <c r="F315" i="12"/>
  <c r="H223" i="25"/>
  <c r="F222" i="39"/>
  <c r="F222" i="12"/>
  <c r="P78" i="11"/>
  <c r="F78" i="39"/>
  <c r="F78" i="12"/>
  <c r="H265" i="25"/>
  <c r="F264" i="39"/>
  <c r="F264" i="12"/>
  <c r="F12" i="39"/>
  <c r="F12" i="12"/>
  <c r="H24" i="25"/>
  <c r="F23" i="39"/>
  <c r="F23" i="12"/>
  <c r="P150" i="11"/>
  <c r="F150" i="39"/>
  <c r="F150" i="12"/>
  <c r="P147" i="11"/>
  <c r="F147" i="39"/>
  <c r="F147" i="12"/>
  <c r="F16" i="39"/>
  <c r="F16" i="12"/>
  <c r="P177" i="11"/>
  <c r="F177" i="39"/>
  <c r="F177" i="12"/>
  <c r="P186" i="11"/>
  <c r="F186" i="39"/>
  <c r="F186" i="12"/>
  <c r="P184" i="11"/>
  <c r="F184" i="39"/>
  <c r="F184" i="12"/>
  <c r="P22" i="11"/>
  <c r="F22" i="39"/>
  <c r="F22" i="12"/>
  <c r="P207" i="11"/>
  <c r="F207" i="39"/>
  <c r="F207" i="12"/>
  <c r="P228" i="11"/>
  <c r="F228" i="39"/>
  <c r="F228" i="12"/>
  <c r="F6" i="39"/>
  <c r="F6" i="12"/>
  <c r="P103" i="11"/>
  <c r="F103" i="39"/>
  <c r="F103" i="12"/>
  <c r="H288" i="25"/>
  <c r="F287" i="39"/>
  <c r="F287" i="12"/>
  <c r="H313" i="25"/>
  <c r="F312" i="39"/>
  <c r="F312" i="12"/>
  <c r="P301" i="11"/>
  <c r="F301" i="39"/>
  <c r="F301" i="12"/>
  <c r="P72" i="11"/>
  <c r="F72" i="39"/>
  <c r="F72" i="12"/>
  <c r="P69" i="11"/>
  <c r="F69" i="39"/>
  <c r="F69" i="12"/>
  <c r="H182" i="25"/>
  <c r="F181" i="39"/>
  <c r="F181" i="12"/>
  <c r="P266" i="11"/>
  <c r="F266" i="39"/>
  <c r="F266" i="12"/>
  <c r="H107" i="25"/>
  <c r="F106" i="39"/>
  <c r="F106" i="12"/>
  <c r="F15" i="39"/>
  <c r="F15" i="12"/>
  <c r="P320" i="11"/>
  <c r="F320" i="39"/>
  <c r="F320" i="12"/>
  <c r="P318" i="11"/>
  <c r="F318" i="39"/>
  <c r="F318" i="12"/>
  <c r="P61" i="11"/>
  <c r="F61" i="39"/>
  <c r="F61" i="12"/>
  <c r="P200" i="11"/>
  <c r="F200" i="39"/>
  <c r="F200" i="12"/>
  <c r="H198" i="25"/>
  <c r="F197" i="39"/>
  <c r="F197" i="12"/>
  <c r="H211" i="25"/>
  <c r="F210" i="39"/>
  <c r="F210" i="12"/>
  <c r="P74" i="11"/>
  <c r="F74" i="39"/>
  <c r="F74" i="12"/>
  <c r="H45" i="25"/>
  <c r="F44" i="39"/>
  <c r="F44" i="12"/>
  <c r="H291" i="25"/>
  <c r="F290" i="39"/>
  <c r="F290" i="12"/>
  <c r="P303" i="11"/>
  <c r="F303" i="39"/>
  <c r="F303" i="12"/>
  <c r="H90" i="25"/>
  <c r="F89" i="39"/>
  <c r="F89" i="12"/>
  <c r="H120" i="25"/>
  <c r="F119" i="39"/>
  <c r="F119" i="12"/>
  <c r="H101" i="25"/>
  <c r="F100" i="39"/>
  <c r="F100" i="12"/>
  <c r="P8" i="11"/>
  <c r="F8" i="39"/>
  <c r="F8" i="12"/>
  <c r="H177" i="25"/>
  <c r="F176" i="39"/>
  <c r="F176" i="12"/>
  <c r="H38" i="25"/>
  <c r="F37" i="39"/>
  <c r="F37" i="12"/>
  <c r="P81" i="11"/>
  <c r="F81" i="39"/>
  <c r="F81" i="12"/>
  <c r="H194" i="25"/>
  <c r="F193" i="39"/>
  <c r="F193" i="12"/>
  <c r="H311" i="25"/>
  <c r="F310" i="39"/>
  <c r="F310" i="12"/>
  <c r="P158" i="11"/>
  <c r="F158" i="39"/>
  <c r="F158" i="12"/>
  <c r="P248" i="11"/>
  <c r="F248" i="39"/>
  <c r="F248" i="12"/>
  <c r="H133" i="25"/>
  <c r="F132" i="39"/>
  <c r="F132" i="12"/>
  <c r="P304" i="11"/>
  <c r="F304" i="39"/>
  <c r="F304" i="12"/>
  <c r="H192" i="25"/>
  <c r="F191" i="39"/>
  <c r="F191" i="12"/>
  <c r="H204" i="25"/>
  <c r="F203" i="39"/>
  <c r="F203" i="12"/>
  <c r="H69" i="25"/>
  <c r="F68" i="39"/>
  <c r="F68" i="12"/>
  <c r="H19" i="25"/>
  <c r="F18" i="39"/>
  <c r="F18" i="12"/>
  <c r="H103" i="25"/>
  <c r="F102" i="39"/>
  <c r="F102" i="12"/>
  <c r="P196" i="11"/>
  <c r="F196" i="39"/>
  <c r="F196" i="12"/>
  <c r="P125" i="11"/>
  <c r="F125" i="39"/>
  <c r="F125" i="12"/>
  <c r="H215" i="25"/>
  <c r="F214" i="39"/>
  <c r="F214" i="12"/>
  <c r="P317" i="11"/>
  <c r="F317" i="39"/>
  <c r="F317" i="12"/>
  <c r="P24" i="11"/>
  <c r="F24" i="39"/>
  <c r="F24" i="12"/>
  <c r="H91" i="25"/>
  <c r="F90" i="39"/>
  <c r="F90" i="12"/>
  <c r="P162" i="11"/>
  <c r="F162" i="39"/>
  <c r="F162" i="12"/>
  <c r="P99" i="11"/>
  <c r="F99" i="39"/>
  <c r="F99" i="12"/>
  <c r="P243" i="11"/>
  <c r="F243" i="39"/>
  <c r="F243" i="12"/>
  <c r="P79" i="11"/>
  <c r="F79" i="39"/>
  <c r="F79" i="12"/>
  <c r="H283" i="25"/>
  <c r="F282" i="39"/>
  <c r="F282" i="12"/>
  <c r="H236" i="25"/>
  <c r="F235" i="39"/>
  <c r="F235" i="12"/>
  <c r="P170" i="11"/>
  <c r="F170" i="39"/>
  <c r="F170" i="12"/>
  <c r="P131" i="11"/>
  <c r="F131" i="39"/>
  <c r="F131" i="12"/>
  <c r="H273" i="25"/>
  <c r="F272" i="39"/>
  <c r="F272" i="12"/>
  <c r="H81" i="25"/>
  <c r="F80" i="39"/>
  <c r="F80" i="12"/>
  <c r="H299" i="25"/>
  <c r="F298" i="39"/>
  <c r="F298" i="12"/>
  <c r="H179" i="25"/>
  <c r="F178" i="39"/>
  <c r="F178" i="12"/>
  <c r="P157" i="11"/>
  <c r="F157" i="39"/>
  <c r="F157" i="12"/>
  <c r="P313" i="11"/>
  <c r="F313" i="39"/>
  <c r="F313" i="12"/>
  <c r="P187" i="11"/>
  <c r="F187" i="39"/>
  <c r="F187" i="12"/>
  <c r="H232" i="25"/>
  <c r="F231" i="39"/>
  <c r="F231" i="12"/>
  <c r="P66" i="11"/>
  <c r="F66" i="39"/>
  <c r="F66" i="12"/>
  <c r="H290" i="25"/>
  <c r="F289" i="39"/>
  <c r="F289" i="12"/>
  <c r="P173" i="11"/>
  <c r="F173" i="39"/>
  <c r="F173" i="12"/>
  <c r="H190" i="25"/>
  <c r="F189" i="39"/>
  <c r="F189" i="12"/>
  <c r="P54" i="11"/>
  <c r="F54" i="39"/>
  <c r="F54" i="12"/>
  <c r="P93" i="11"/>
  <c r="F93" i="39"/>
  <c r="F93" i="12"/>
  <c r="H269" i="25"/>
  <c r="F268" i="39"/>
  <c r="F268" i="12"/>
  <c r="P76" i="11"/>
  <c r="F76" i="39"/>
  <c r="F76" i="12"/>
  <c r="H20" i="25"/>
  <c r="F19" i="39"/>
  <c r="F19" i="12"/>
  <c r="H109" i="25"/>
  <c r="F108" i="39"/>
  <c r="F108" i="12"/>
  <c r="H272" i="25"/>
  <c r="F271" i="39"/>
  <c r="F271" i="12"/>
  <c r="H287" i="25"/>
  <c r="F286" i="39"/>
  <c r="F286" i="12"/>
  <c r="H241" i="25"/>
  <c r="F240" i="39"/>
  <c r="F240" i="12"/>
  <c r="P46" i="11"/>
  <c r="F46" i="39"/>
  <c r="F46" i="12"/>
  <c r="P227" i="11"/>
  <c r="F227" i="39"/>
  <c r="F227" i="12"/>
  <c r="H286" i="25"/>
  <c r="F285" i="39"/>
  <c r="F285" i="12"/>
  <c r="P94" i="11"/>
  <c r="F94" i="39"/>
  <c r="F94" i="12"/>
  <c r="H122" i="25"/>
  <c r="F121" i="39"/>
  <c r="F121" i="12"/>
  <c r="H121" i="25"/>
  <c r="F120" i="39"/>
  <c r="F120" i="12"/>
  <c r="H252" i="25"/>
  <c r="F251" i="39"/>
  <c r="F251" i="12"/>
  <c r="H63" i="25"/>
  <c r="F62" i="39"/>
  <c r="F62" i="12"/>
  <c r="H303" i="25"/>
  <c r="F302" i="39"/>
  <c r="F302" i="12"/>
  <c r="H189" i="25"/>
  <c r="F188" i="39"/>
  <c r="F188" i="12"/>
  <c r="P275" i="11"/>
  <c r="F275" i="39"/>
  <c r="F275" i="12"/>
  <c r="P84" i="11"/>
  <c r="F84" i="39"/>
  <c r="F84" i="12"/>
  <c r="H270" i="25"/>
  <c r="F269" i="39"/>
  <c r="F269" i="12"/>
  <c r="P309" i="11"/>
  <c r="F309" i="39"/>
  <c r="F309" i="12"/>
  <c r="H149" i="25"/>
  <c r="F148" i="39"/>
  <c r="F148" i="12"/>
  <c r="P311" i="11"/>
  <c r="F311" i="39"/>
  <c r="F311" i="12"/>
  <c r="H130" i="25"/>
  <c r="F129" i="39"/>
  <c r="F129" i="12"/>
  <c r="H164" i="25"/>
  <c r="F163" i="39"/>
  <c r="F163" i="12"/>
  <c r="H111" i="25"/>
  <c r="F110" i="39"/>
  <c r="F110" i="12"/>
  <c r="H58" i="25"/>
  <c r="F57" i="39"/>
  <c r="F57" i="12"/>
  <c r="P316" i="11"/>
  <c r="F316" i="39"/>
  <c r="F316" i="12"/>
  <c r="F9" i="39"/>
  <c r="F9" i="12"/>
  <c r="H97" i="25"/>
  <c r="F96" i="39"/>
  <c r="F96" i="12"/>
  <c r="H259" i="25"/>
  <c r="F258" i="39"/>
  <c r="F258" i="12"/>
  <c r="P175" i="11"/>
  <c r="F175" i="39"/>
  <c r="F175" i="12"/>
  <c r="P249" i="11"/>
  <c r="F249" i="39"/>
  <c r="F249" i="12"/>
  <c r="P246" i="11"/>
  <c r="F246" i="39"/>
  <c r="F246" i="12"/>
  <c r="P83" i="11"/>
  <c r="F83" i="39"/>
  <c r="F83" i="12"/>
  <c r="H86" i="25"/>
  <c r="F85" i="39"/>
  <c r="F85" i="12"/>
  <c r="F7" i="39"/>
  <c r="F7" i="12"/>
  <c r="P51" i="11"/>
  <c r="F51" i="39"/>
  <c r="F51" i="12"/>
  <c r="H154" i="25"/>
  <c r="F153" i="39"/>
  <c r="F153" i="12"/>
  <c r="P245" i="11"/>
  <c r="F245" i="39"/>
  <c r="F245" i="12"/>
  <c r="P299" i="11"/>
  <c r="F299" i="39"/>
  <c r="F299" i="12"/>
  <c r="P124" i="11"/>
  <c r="F124" i="39"/>
  <c r="F124" i="12"/>
  <c r="P257" i="11"/>
  <c r="F257" i="39"/>
  <c r="F257" i="12"/>
  <c r="P199" i="11"/>
  <c r="F199" i="39"/>
  <c r="F199" i="12"/>
  <c r="P109" i="11"/>
  <c r="F109" i="39"/>
  <c r="F109" i="12"/>
  <c r="H173" i="25"/>
  <c r="F172" i="39"/>
  <c r="F172" i="12"/>
  <c r="P40" i="11"/>
  <c r="F40" i="39"/>
  <c r="F40" i="12"/>
  <c r="P42" i="11"/>
  <c r="F42" i="39"/>
  <c r="F42" i="12"/>
  <c r="H242" i="25"/>
  <c r="F241" i="39"/>
  <c r="F241" i="12"/>
  <c r="P95" i="11"/>
  <c r="F95" i="39"/>
  <c r="F95" i="12"/>
  <c r="H209" i="25"/>
  <c r="F208" i="39"/>
  <c r="F208" i="12"/>
  <c r="P34" i="11"/>
  <c r="F34" i="39"/>
  <c r="F34" i="12"/>
  <c r="F14" i="39"/>
  <c r="F14" i="12"/>
  <c r="P274" i="11"/>
  <c r="F274" i="39"/>
  <c r="F274" i="12"/>
  <c r="P190" i="11"/>
  <c r="F190" i="39"/>
  <c r="F190" i="12"/>
  <c r="H243" i="25"/>
  <c r="F242" i="39"/>
  <c r="F242" i="12"/>
  <c r="H87" i="25"/>
  <c r="F86" i="39"/>
  <c r="F86" i="12"/>
  <c r="P101" i="11"/>
  <c r="F101" i="39"/>
  <c r="F101" i="12"/>
  <c r="P213" i="11"/>
  <c r="F213" i="39"/>
  <c r="F213" i="12"/>
  <c r="P284" i="11"/>
  <c r="F284" i="39"/>
  <c r="F284" i="12"/>
  <c r="P65" i="11"/>
  <c r="F65" i="39"/>
  <c r="F65" i="12"/>
  <c r="H160" i="25"/>
  <c r="F159" i="39"/>
  <c r="F159" i="12"/>
  <c r="H261" i="25"/>
  <c r="F260" i="39"/>
  <c r="F260" i="12"/>
  <c r="H196" i="25"/>
  <c r="F195" i="39"/>
  <c r="F195" i="12"/>
  <c r="H206" i="25"/>
  <c r="F205" i="39"/>
  <c r="F205" i="12"/>
  <c r="P67" i="11"/>
  <c r="F67" i="39"/>
  <c r="F67" i="12"/>
  <c r="P126" i="11"/>
  <c r="F126" i="39"/>
  <c r="F126" i="12"/>
  <c r="P127" i="11"/>
  <c r="F127" i="39"/>
  <c r="F127" i="12"/>
  <c r="P58" i="11"/>
  <c r="F58" i="39"/>
  <c r="F58" i="12"/>
  <c r="H213" i="25"/>
  <c r="F212" i="39"/>
  <c r="F212" i="12"/>
  <c r="P220" i="11"/>
  <c r="F220" i="39"/>
  <c r="F220" i="12"/>
  <c r="P77" i="11"/>
  <c r="F77" i="39"/>
  <c r="F77" i="12"/>
  <c r="H226" i="25"/>
  <c r="F225" i="39"/>
  <c r="F225" i="12"/>
  <c r="P56" i="11"/>
  <c r="F56" i="39"/>
  <c r="F56" i="12"/>
  <c r="P247" i="11"/>
  <c r="F247" i="39"/>
  <c r="F247" i="12"/>
  <c r="P223" i="11"/>
  <c r="F223" i="39"/>
  <c r="F223" i="12"/>
  <c r="P91" i="11"/>
  <c r="F91" i="39"/>
  <c r="F91" i="12"/>
  <c r="H279" i="25"/>
  <c r="F278" i="39"/>
  <c r="F278" i="12"/>
  <c r="P237" i="11"/>
  <c r="F237" i="39"/>
  <c r="F237" i="12"/>
  <c r="H27" i="25"/>
  <c r="F26" i="39"/>
  <c r="F26" i="12"/>
  <c r="P293" i="11"/>
  <c r="F293" i="39"/>
  <c r="F293" i="12"/>
  <c r="P138" i="11"/>
  <c r="F138" i="39"/>
  <c r="F138" i="12"/>
  <c r="P267" i="11"/>
  <c r="F267" i="39"/>
  <c r="F267" i="12"/>
  <c r="H155" i="25"/>
  <c r="F154" i="39"/>
  <c r="F154" i="12"/>
  <c r="H157" i="25"/>
  <c r="F156" i="39"/>
  <c r="F156" i="12"/>
  <c r="H307" i="25"/>
  <c r="F306" i="39"/>
  <c r="F306" i="12"/>
  <c r="H140" i="25"/>
  <c r="F139" i="39"/>
  <c r="F139" i="12"/>
  <c r="H297" i="25"/>
  <c r="F296" i="39"/>
  <c r="F296" i="12"/>
  <c r="H195" i="25"/>
  <c r="F194" i="39"/>
  <c r="F194" i="12"/>
  <c r="H153" i="25"/>
  <c r="F152" i="39"/>
  <c r="F152" i="12"/>
  <c r="F10" i="39"/>
  <c r="F10" i="12"/>
  <c r="H254" i="25"/>
  <c r="F253" i="39"/>
  <c r="F253" i="12"/>
  <c r="H40" i="25"/>
  <c r="F39" i="39"/>
  <c r="F39" i="12"/>
  <c r="F13" i="39"/>
  <c r="F13" i="12"/>
  <c r="P160" i="11"/>
  <c r="F160" i="39"/>
  <c r="F160" i="12"/>
  <c r="P236" i="11"/>
  <c r="F236" i="39"/>
  <c r="F236" i="12"/>
  <c r="P114" i="11"/>
  <c r="F114" i="39"/>
  <c r="F114" i="12"/>
  <c r="P25" i="11"/>
  <c r="F25" i="39"/>
  <c r="F25" i="12"/>
  <c r="H308" i="25"/>
  <c r="F307" i="39"/>
  <c r="F307" i="12"/>
  <c r="H323" i="25"/>
  <c r="F322" i="39"/>
  <c r="F322" i="12"/>
  <c r="H51" i="25"/>
  <c r="F50" i="39"/>
  <c r="F50" i="12"/>
  <c r="H180" i="25"/>
  <c r="F179" i="39"/>
  <c r="F179" i="12"/>
  <c r="H147" i="25"/>
  <c r="F146" i="39"/>
  <c r="F146" i="12"/>
  <c r="P60" i="11"/>
  <c r="F60" i="39"/>
  <c r="F60" i="12"/>
  <c r="P314" i="11"/>
  <c r="F314" i="39"/>
  <c r="F314" i="12"/>
  <c r="H181" i="25"/>
  <c r="F180" i="39"/>
  <c r="F180" i="12"/>
  <c r="P142" i="11"/>
  <c r="F142" i="39"/>
  <c r="F142" i="12"/>
  <c r="H264" i="25"/>
  <c r="F263" i="39"/>
  <c r="F263" i="12"/>
  <c r="P75" i="11"/>
  <c r="F75" i="39"/>
  <c r="F75" i="12"/>
  <c r="P145" i="11"/>
  <c r="F145" i="39"/>
  <c r="F145" i="12"/>
  <c r="H212" i="25"/>
  <c r="F211" i="39"/>
  <c r="F211" i="12"/>
  <c r="P202" i="11"/>
  <c r="F202" i="39"/>
  <c r="F202" i="12"/>
  <c r="P20" i="11"/>
  <c r="F20" i="39"/>
  <c r="F20" i="12"/>
  <c r="P31" i="11"/>
  <c r="F31" i="39"/>
  <c r="F31" i="12"/>
  <c r="P87" i="11"/>
  <c r="F87" i="39"/>
  <c r="F87" i="12"/>
  <c r="P239" i="11"/>
  <c r="F239" i="39"/>
  <c r="F239" i="12"/>
  <c r="P53" i="11"/>
  <c r="F53" i="39"/>
  <c r="F53" i="12"/>
  <c r="P97" i="11"/>
  <c r="F97" i="39"/>
  <c r="F97" i="12"/>
  <c r="H255" i="25"/>
  <c r="F254" i="39"/>
  <c r="F254" i="12"/>
  <c r="P256" i="11"/>
  <c r="F256" i="39"/>
  <c r="F256" i="12"/>
  <c r="P279" i="11"/>
  <c r="F279" i="39"/>
  <c r="F279" i="12"/>
  <c r="P71" i="11"/>
  <c r="F71" i="39"/>
  <c r="F71" i="12"/>
  <c r="P143" i="11"/>
  <c r="F143" i="39"/>
  <c r="F143" i="12"/>
  <c r="H83" i="25"/>
  <c r="F82" i="39"/>
  <c r="F82" i="12"/>
  <c r="P229" i="11"/>
  <c r="F229" i="39"/>
  <c r="F229" i="12"/>
  <c r="H219" i="25"/>
  <c r="F218" i="39"/>
  <c r="F218" i="12"/>
  <c r="H253" i="25"/>
  <c r="F252" i="39"/>
  <c r="F252" i="12"/>
  <c r="P169" i="11"/>
  <c r="F169" i="39"/>
  <c r="F169" i="12"/>
  <c r="P219" i="11"/>
  <c r="F219" i="39"/>
  <c r="F219" i="12"/>
  <c r="H124" i="25"/>
  <c r="F123" i="39"/>
  <c r="F123" i="12"/>
  <c r="P117" i="11"/>
  <c r="F117" i="39"/>
  <c r="F117" i="12"/>
  <c r="H117" i="25"/>
  <c r="F116" i="39"/>
  <c r="F116" i="12"/>
  <c r="H108" i="25"/>
  <c r="F107" i="39"/>
  <c r="F107" i="12"/>
  <c r="H56" i="25"/>
  <c r="F55" i="39"/>
  <c r="F55" i="12"/>
  <c r="H278" i="25"/>
  <c r="F277" i="39"/>
  <c r="F277" i="12"/>
  <c r="P133" i="11"/>
  <c r="F133" i="39"/>
  <c r="F133" i="12"/>
  <c r="H152" i="25"/>
  <c r="F151" i="39"/>
  <c r="F151" i="12"/>
  <c r="P230" i="11"/>
  <c r="F230" i="39"/>
  <c r="F230" i="12"/>
  <c r="H320" i="25"/>
  <c r="F319" i="39"/>
  <c r="F319" i="12"/>
  <c r="H22" i="25"/>
  <c r="F21" i="39"/>
  <c r="F21" i="12"/>
  <c r="P250" i="11"/>
  <c r="F250" i="39"/>
  <c r="F250" i="12"/>
  <c r="H309" i="25"/>
  <c r="F308" i="39"/>
  <c r="F308" i="12"/>
  <c r="H199" i="25"/>
  <c r="F198" i="39"/>
  <c r="F198" i="12"/>
  <c r="P49" i="11"/>
  <c r="F49" i="39"/>
  <c r="F49" i="12"/>
  <c r="P149" i="11"/>
  <c r="F149" i="39"/>
  <c r="F149" i="12"/>
  <c r="H93" i="25"/>
  <c r="F92" i="39"/>
  <c r="F92" i="12"/>
  <c r="P221" i="11"/>
  <c r="F221" i="39"/>
  <c r="F221" i="12"/>
  <c r="P259" i="11"/>
  <c r="F259" i="39"/>
  <c r="F259" i="12"/>
  <c r="H233" i="25"/>
  <c r="F232" i="39"/>
  <c r="F232" i="12"/>
  <c r="H183" i="25"/>
  <c r="F182" i="39"/>
  <c r="F182" i="12"/>
  <c r="P183" i="11"/>
  <c r="F183" i="39"/>
  <c r="F183" i="12"/>
  <c r="P63" i="11"/>
  <c r="F63" i="39"/>
  <c r="F63" i="12"/>
  <c r="P98" i="11"/>
  <c r="F98" i="39"/>
  <c r="F98" i="12"/>
  <c r="H89" i="25"/>
  <c r="F88" i="39"/>
  <c r="F88" i="12"/>
  <c r="P270" i="11"/>
  <c r="F270" i="39"/>
  <c r="F270" i="12"/>
  <c r="P38" i="11"/>
  <c r="F38" i="39"/>
  <c r="F38" i="12"/>
  <c r="H322" i="25"/>
  <c r="F321" i="39"/>
  <c r="F321" i="12"/>
  <c r="H12" i="25"/>
  <c r="F11" i="39"/>
  <c r="F11" i="12"/>
  <c r="H31" i="25"/>
  <c r="F30" i="39"/>
  <c r="F30" i="12"/>
  <c r="P174" i="11"/>
  <c r="F174" i="39"/>
  <c r="F174" i="12"/>
  <c r="P276" i="11"/>
  <c r="F276" i="39"/>
  <c r="F276" i="12"/>
  <c r="H296" i="25"/>
  <c r="F295" i="39"/>
  <c r="F295" i="12"/>
  <c r="P217" i="11"/>
  <c r="F217" i="39"/>
  <c r="F217" i="12"/>
  <c r="P226" i="11"/>
  <c r="F226" i="39"/>
  <c r="F226" i="12"/>
  <c r="P244" i="11"/>
  <c r="F244" i="39"/>
  <c r="F244" i="12"/>
  <c r="P164" i="11"/>
  <c r="F164" i="39"/>
  <c r="F164" i="12"/>
  <c r="H234" i="25"/>
  <c r="F233" i="39"/>
  <c r="F233" i="12"/>
  <c r="P32" i="11"/>
  <c r="F32" i="39"/>
  <c r="F32" i="12"/>
  <c r="P188" i="11"/>
  <c r="H165" i="25"/>
  <c r="P302" i="11"/>
  <c r="H33" i="25"/>
  <c r="P233" i="11"/>
  <c r="H99" i="25"/>
  <c r="P120" i="11"/>
  <c r="P62" i="11"/>
  <c r="P251" i="11"/>
  <c r="H47" i="25"/>
  <c r="P285" i="11"/>
  <c r="H94" i="25"/>
  <c r="P121" i="11"/>
  <c r="P30" i="11"/>
  <c r="P286" i="11"/>
  <c r="H77" i="25"/>
  <c r="H184" i="25"/>
  <c r="H245" i="25"/>
  <c r="H271" i="25"/>
  <c r="H218" i="25"/>
  <c r="P289" i="11"/>
  <c r="H277" i="25"/>
  <c r="H55" i="25"/>
  <c r="P271" i="11"/>
  <c r="P19" i="11"/>
  <c r="P240" i="11"/>
  <c r="H95" i="25"/>
  <c r="H158" i="25"/>
  <c r="H175" i="25"/>
  <c r="P182" i="11"/>
  <c r="P268" i="11"/>
  <c r="H228" i="25"/>
  <c r="H174" i="25"/>
  <c r="H188" i="25"/>
  <c r="P295" i="11"/>
  <c r="H227" i="25"/>
  <c r="P11" i="11"/>
  <c r="H64" i="25"/>
  <c r="P92" i="11"/>
  <c r="H257" i="25"/>
  <c r="H39" i="25"/>
  <c r="P321" i="11"/>
  <c r="H260" i="25"/>
  <c r="P88" i="11"/>
  <c r="P308" i="11"/>
  <c r="H251" i="25"/>
  <c r="H50" i="25"/>
  <c r="P80" i="11"/>
  <c r="H80" i="25"/>
  <c r="P178" i="11"/>
  <c r="P108" i="11"/>
  <c r="H132" i="25"/>
  <c r="H126" i="25"/>
  <c r="H10" i="25"/>
  <c r="H8" i="25"/>
  <c r="P14" i="11"/>
  <c r="H11" i="25"/>
  <c r="H14" i="25"/>
  <c r="H18" i="25"/>
  <c r="P5" i="11"/>
  <c r="P12" i="11"/>
  <c r="P16" i="11"/>
  <c r="P6" i="11"/>
  <c r="H16" i="25"/>
  <c r="H9" i="25"/>
  <c r="P232" i="11"/>
  <c r="P272" i="11"/>
  <c r="H67" i="25"/>
  <c r="H171" i="25"/>
  <c r="P298" i="11"/>
  <c r="P151" i="11"/>
  <c r="H150" i="25"/>
  <c r="H314" i="25"/>
  <c r="P319" i="11"/>
  <c r="P235" i="11"/>
  <c r="H222" i="25"/>
  <c r="P119" i="11"/>
  <c r="P189" i="11"/>
  <c r="P231" i="11"/>
  <c r="P198" i="11"/>
  <c r="P21" i="11"/>
  <c r="H231" i="25"/>
  <c r="H134" i="25"/>
  <c r="P55" i="11"/>
  <c r="P172" i="11"/>
  <c r="H285" i="25"/>
  <c r="P277" i="11"/>
  <c r="P26" i="11"/>
  <c r="P306" i="11"/>
  <c r="H295" i="25"/>
  <c r="P252" i="11"/>
  <c r="H26" i="25"/>
  <c r="P282" i="11"/>
  <c r="H220" i="25"/>
  <c r="H118" i="25"/>
  <c r="P214" i="11"/>
  <c r="H25" i="25"/>
  <c r="P107" i="11"/>
  <c r="H197" i="25"/>
  <c r="H249" i="25"/>
  <c r="H163" i="25"/>
  <c r="H244" i="25"/>
  <c r="P18" i="11"/>
  <c r="P203" i="11"/>
  <c r="H68" i="25"/>
  <c r="P85" i="11"/>
  <c r="P322" i="11"/>
  <c r="P278" i="11"/>
  <c r="H96" i="25"/>
  <c r="P179" i="11"/>
  <c r="P242" i="11"/>
  <c r="H35" i="25"/>
  <c r="H78" i="25"/>
  <c r="H224" i="25"/>
  <c r="P123" i="11"/>
  <c r="H237" i="25"/>
  <c r="H201" i="25"/>
  <c r="H32" i="25"/>
  <c r="H52" i="25"/>
  <c r="H102" i="25"/>
  <c r="H57" i="25"/>
  <c r="P90" i="11"/>
  <c r="P159" i="11"/>
  <c r="P253" i="11"/>
  <c r="P116" i="11"/>
  <c r="P287" i="11"/>
  <c r="P155" i="11"/>
  <c r="H275" i="25"/>
  <c r="P212" i="11"/>
  <c r="P218" i="11"/>
  <c r="P263" i="11"/>
  <c r="H318" i="25"/>
  <c r="P44" i="11"/>
  <c r="P82" i="11"/>
  <c r="H100" i="25"/>
  <c r="H139" i="25"/>
  <c r="P102" i="11"/>
  <c r="H185" i="25"/>
  <c r="H210" i="25"/>
  <c r="P9" i="11"/>
  <c r="P152" i="11"/>
  <c r="H72" i="25"/>
  <c r="H98" i="25"/>
  <c r="H203" i="25"/>
  <c r="H146" i="25"/>
  <c r="H170" i="25"/>
  <c r="P193" i="11"/>
  <c r="P13" i="11"/>
  <c r="P296" i="11"/>
  <c r="P195" i="11"/>
  <c r="P180" i="11"/>
  <c r="H61" i="25"/>
  <c r="H128" i="25"/>
  <c r="P37" i="11"/>
  <c r="P132" i="11"/>
  <c r="H240" i="25"/>
  <c r="H267" i="25"/>
  <c r="H53" i="25"/>
  <c r="P15" i="11"/>
  <c r="P154" i="11"/>
  <c r="H280" i="25"/>
  <c r="H302" i="25"/>
  <c r="P288" i="11"/>
  <c r="H88" i="25"/>
  <c r="H144" i="25"/>
  <c r="P191" i="11"/>
  <c r="H159" i="25"/>
  <c r="H143" i="25"/>
  <c r="P118" i="11"/>
  <c r="H66" i="25"/>
  <c r="P68" i="11"/>
  <c r="H319" i="25"/>
  <c r="P23" i="11"/>
  <c r="H148" i="25"/>
  <c r="P222" i="11"/>
  <c r="H304" i="25"/>
  <c r="H41" i="25"/>
  <c r="P210" i="11"/>
  <c r="P307" i="11"/>
  <c r="P146" i="11"/>
  <c r="P254" i="11"/>
  <c r="H54" i="25"/>
  <c r="H70" i="25"/>
  <c r="H178" i="25"/>
  <c r="H230" i="25"/>
  <c r="P73" i="11"/>
  <c r="H168" i="25"/>
  <c r="H208" i="25"/>
  <c r="H229" i="25"/>
  <c r="H321" i="25"/>
  <c r="H115" i="25"/>
  <c r="P128" i="11"/>
  <c r="H315" i="25"/>
  <c r="P100" i="11"/>
  <c r="H294" i="25"/>
  <c r="P300" i="11"/>
  <c r="H305" i="25"/>
  <c r="P50" i="11"/>
  <c r="P211" i="11"/>
  <c r="H23" i="25"/>
  <c r="H127" i="25"/>
  <c r="P262" i="11"/>
  <c r="H62" i="25"/>
  <c r="P140" i="11"/>
  <c r="P89" i="11"/>
  <c r="P290" i="11"/>
  <c r="H13" i="25"/>
  <c r="H282" i="25"/>
  <c r="P197" i="11"/>
  <c r="H21" i="25"/>
  <c r="P181" i="11"/>
  <c r="H17" i="25"/>
  <c r="H82" i="25"/>
  <c r="H235" i="25"/>
  <c r="H75" i="25"/>
  <c r="H151" i="25"/>
  <c r="P86" i="11"/>
  <c r="H30" i="25"/>
  <c r="H6" i="25"/>
  <c r="H221" i="25"/>
  <c r="P205" i="11"/>
  <c r="H316" i="25"/>
  <c r="H250" i="25"/>
  <c r="P43" i="11"/>
  <c r="P168" i="11"/>
  <c r="H73" i="25"/>
  <c r="P176" i="11"/>
  <c r="H79" i="25"/>
  <c r="P312" i="11"/>
  <c r="P297" i="11"/>
  <c r="H104" i="25"/>
  <c r="H205" i="25"/>
  <c r="P39" i="11"/>
  <c r="H187" i="25"/>
  <c r="P310" i="11"/>
  <c r="P106" i="11"/>
  <c r="H76" i="25"/>
  <c r="P156" i="11"/>
  <c r="P139" i="11"/>
  <c r="P208" i="11"/>
  <c r="H193" i="25"/>
  <c r="H238" i="25"/>
  <c r="P137" i="11"/>
  <c r="P260" i="11"/>
  <c r="P264" i="11"/>
  <c r="H59" i="25"/>
  <c r="P111" i="11"/>
  <c r="H268" i="25"/>
  <c r="P225" i="11"/>
  <c r="P10" i="11"/>
  <c r="P105" i="11"/>
  <c r="H167" i="25"/>
  <c r="H7" i="25"/>
  <c r="H248" i="25"/>
  <c r="H214" i="25"/>
  <c r="P194" i="11"/>
  <c r="H92" i="25"/>
  <c r="H15" i="25"/>
  <c r="P104" i="11"/>
  <c r="P7" i="11"/>
  <c r="H161" i="25"/>
  <c r="P33" i="11"/>
  <c r="P153" i="11"/>
  <c r="H84" i="25"/>
  <c r="P122" i="11"/>
  <c r="H136" i="25"/>
  <c r="P241" i="11"/>
  <c r="H258" i="25"/>
  <c r="P113" i="11"/>
  <c r="H110" i="25"/>
  <c r="H300" i="25"/>
  <c r="P216" i="11"/>
  <c r="H191" i="25"/>
  <c r="H284" i="25"/>
  <c r="P258" i="11"/>
  <c r="H166" i="25"/>
  <c r="P17" i="11"/>
  <c r="P41" i="11"/>
  <c r="P27" i="11"/>
  <c r="H207" i="25"/>
  <c r="H312" i="25"/>
  <c r="H247" i="25"/>
  <c r="H36" i="25"/>
  <c r="H43" i="25"/>
  <c r="H142" i="25"/>
  <c r="H29" i="25"/>
  <c r="H71" i="25"/>
  <c r="H281" i="25"/>
  <c r="P144" i="11"/>
  <c r="H176" i="25"/>
  <c r="H200" i="25"/>
  <c r="H131" i="25"/>
  <c r="H246" i="25"/>
  <c r="H125" i="25"/>
  <c r="H266" i="25"/>
  <c r="P163" i="11"/>
  <c r="H48" i="25"/>
  <c r="P112" i="11"/>
  <c r="H135" i="25"/>
  <c r="P185" i="11"/>
  <c r="H276" i="25"/>
  <c r="P96" i="11"/>
  <c r="H317" i="25"/>
  <c r="P129" i="11"/>
  <c r="H293" i="25"/>
  <c r="P269" i="11"/>
  <c r="H202" i="25"/>
  <c r="H310" i="25"/>
  <c r="P255" i="11"/>
  <c r="H85" i="25"/>
  <c r="P57" i="11"/>
  <c r="P64" i="11"/>
  <c r="P45" i="11"/>
  <c r="H262" i="25"/>
  <c r="P148" i="11"/>
  <c r="P215" i="11"/>
  <c r="P110" i="11"/>
  <c r="H60" i="25"/>
  <c r="H37" i="25"/>
  <c r="P161" i="11"/>
  <c r="P238" i="11"/>
  <c r="H137" i="25"/>
  <c r="H225" i="25"/>
  <c r="P273" i="11"/>
  <c r="H116" i="25"/>
  <c r="H49" i="25"/>
  <c r="O323" i="11"/>
  <c r="H172" i="25"/>
  <c r="C7" i="34" l="1"/>
  <c r="C9" i="34" s="1"/>
  <c r="F323" i="39"/>
  <c r="F323" i="12"/>
  <c r="P323" i="11"/>
  <c r="H324" i="25"/>
  <c r="D7" i="34"/>
  <c r="D9" i="34" s="1"/>
  <c r="E15" i="34" l="1"/>
  <c r="E21" i="34" l="1"/>
  <c r="I21" i="34" s="1"/>
  <c r="E10" i="39" s="1"/>
  <c r="E25" i="34"/>
  <c r="I25" i="34" s="1"/>
  <c r="E14" i="39" s="1"/>
  <c r="E29" i="34"/>
  <c r="I29" i="34" s="1"/>
  <c r="E18" i="39" s="1"/>
  <c r="E33" i="34"/>
  <c r="I33" i="34" s="1"/>
  <c r="E22" i="39" s="1"/>
  <c r="E37" i="34"/>
  <c r="I37" i="34" s="1"/>
  <c r="E26" i="39" s="1"/>
  <c r="E41" i="34"/>
  <c r="I41" i="34" s="1"/>
  <c r="E30" i="39" s="1"/>
  <c r="E45" i="34"/>
  <c r="I45" i="34" s="1"/>
  <c r="E49" i="34"/>
  <c r="I49" i="34" s="1"/>
  <c r="E38" i="39" s="1"/>
  <c r="E53" i="34"/>
  <c r="I53" i="34" s="1"/>
  <c r="E42" i="39" s="1"/>
  <c r="E57" i="34"/>
  <c r="I57" i="34" s="1"/>
  <c r="E46" i="39" s="1"/>
  <c r="E61" i="34"/>
  <c r="I61" i="34" s="1"/>
  <c r="E50" i="39" s="1"/>
  <c r="E65" i="34"/>
  <c r="I65" i="34" s="1"/>
  <c r="E54" i="39" s="1"/>
  <c r="E69" i="34"/>
  <c r="I69" i="34" s="1"/>
  <c r="E58" i="39" s="1"/>
  <c r="E73" i="34"/>
  <c r="I73" i="34" s="1"/>
  <c r="E62" i="39" s="1"/>
  <c r="E77" i="34"/>
  <c r="I77" i="34" s="1"/>
  <c r="E81" i="34"/>
  <c r="I81" i="34" s="1"/>
  <c r="E70" i="39" s="1"/>
  <c r="E85" i="34"/>
  <c r="I85" i="34" s="1"/>
  <c r="E74" i="39" s="1"/>
  <c r="E89" i="34"/>
  <c r="I89" i="34" s="1"/>
  <c r="E78" i="39" s="1"/>
  <c r="E93" i="34"/>
  <c r="I93" i="34" s="1"/>
  <c r="E82" i="39" s="1"/>
  <c r="E97" i="34"/>
  <c r="I97" i="34" s="1"/>
  <c r="E86" i="39" s="1"/>
  <c r="E101" i="34"/>
  <c r="I101" i="34" s="1"/>
  <c r="E90" i="39" s="1"/>
  <c r="E105" i="34"/>
  <c r="I105" i="34" s="1"/>
  <c r="E94" i="39" s="1"/>
  <c r="E109" i="34"/>
  <c r="I109" i="34" s="1"/>
  <c r="E98" i="39" s="1"/>
  <c r="E113" i="34"/>
  <c r="I113" i="34" s="1"/>
  <c r="E102" i="39" s="1"/>
  <c r="E117" i="34"/>
  <c r="I117" i="34" s="1"/>
  <c r="E106" i="39" s="1"/>
  <c r="E121" i="34"/>
  <c r="I121" i="34" s="1"/>
  <c r="E110" i="39" s="1"/>
  <c r="E125" i="34"/>
  <c r="I125" i="34" s="1"/>
  <c r="E114" i="39" s="1"/>
  <c r="E129" i="34"/>
  <c r="I129" i="34" s="1"/>
  <c r="E118" i="39" s="1"/>
  <c r="E133" i="34"/>
  <c r="I133" i="34" s="1"/>
  <c r="E122" i="39" s="1"/>
  <c r="E137" i="34"/>
  <c r="I137" i="34" s="1"/>
  <c r="E126" i="39" s="1"/>
  <c r="E141" i="34"/>
  <c r="I141" i="34" s="1"/>
  <c r="E130" i="39" s="1"/>
  <c r="E145" i="34"/>
  <c r="I145" i="34" s="1"/>
  <c r="E149" i="34"/>
  <c r="I149" i="34" s="1"/>
  <c r="E138" i="39" s="1"/>
  <c r="E153" i="34"/>
  <c r="I153" i="34" s="1"/>
  <c r="E142" i="39" s="1"/>
  <c r="E157" i="34"/>
  <c r="I157" i="34" s="1"/>
  <c r="E146" i="39" s="1"/>
  <c r="E161" i="34"/>
  <c r="I161" i="34" s="1"/>
  <c r="E165" i="34"/>
  <c r="I165" i="34" s="1"/>
  <c r="E154" i="39" s="1"/>
  <c r="E169" i="34"/>
  <c r="I169" i="34" s="1"/>
  <c r="E158" i="39" s="1"/>
  <c r="E173" i="34"/>
  <c r="I173" i="34" s="1"/>
  <c r="E162" i="39" s="1"/>
  <c r="E177" i="34"/>
  <c r="I177" i="34" s="1"/>
  <c r="E166" i="39" s="1"/>
  <c r="E181" i="34"/>
  <c r="I181" i="34" s="1"/>
  <c r="E170" i="39" s="1"/>
  <c r="E185" i="34"/>
  <c r="I185" i="34" s="1"/>
  <c r="E174" i="39" s="1"/>
  <c r="E189" i="34"/>
  <c r="I189" i="34" s="1"/>
  <c r="E178" i="39" s="1"/>
  <c r="E193" i="34"/>
  <c r="I193" i="34" s="1"/>
  <c r="E182" i="39" s="1"/>
  <c r="E197" i="34"/>
  <c r="I197" i="34" s="1"/>
  <c r="E186" i="39" s="1"/>
  <c r="E201" i="34"/>
  <c r="I201" i="34" s="1"/>
  <c r="E190" i="39" s="1"/>
  <c r="E205" i="34"/>
  <c r="I205" i="34" s="1"/>
  <c r="E209" i="34"/>
  <c r="I209" i="34" s="1"/>
  <c r="E213" i="34"/>
  <c r="I213" i="34" s="1"/>
  <c r="E202" i="39" s="1"/>
  <c r="E217" i="34"/>
  <c r="I217" i="34" s="1"/>
  <c r="E206" i="39" s="1"/>
  <c r="E221" i="34"/>
  <c r="I221" i="34" s="1"/>
  <c r="E210" i="39" s="1"/>
  <c r="E225" i="34"/>
  <c r="I225" i="34" s="1"/>
  <c r="E214" i="39" s="1"/>
  <c r="E229" i="34"/>
  <c r="I229" i="34" s="1"/>
  <c r="E218" i="39" s="1"/>
  <c r="E233" i="34"/>
  <c r="I233" i="34" s="1"/>
  <c r="E222" i="39" s="1"/>
  <c r="E237" i="34"/>
  <c r="I237" i="34" s="1"/>
  <c r="E226" i="39" s="1"/>
  <c r="E241" i="34"/>
  <c r="I241" i="34" s="1"/>
  <c r="E230" i="39" s="1"/>
  <c r="E245" i="34"/>
  <c r="I245" i="34" s="1"/>
  <c r="E234" i="39" s="1"/>
  <c r="E249" i="34"/>
  <c r="I249" i="34" s="1"/>
  <c r="E238" i="39" s="1"/>
  <c r="E253" i="34"/>
  <c r="I253" i="34" s="1"/>
  <c r="E242" i="39" s="1"/>
  <c r="E257" i="34"/>
  <c r="I257" i="34" s="1"/>
  <c r="E246" i="39" s="1"/>
  <c r="E261" i="34"/>
  <c r="I261" i="34" s="1"/>
  <c r="E250" i="39" s="1"/>
  <c r="E265" i="34"/>
  <c r="I265" i="34" s="1"/>
  <c r="E254" i="39" s="1"/>
  <c r="E269" i="34"/>
  <c r="I269" i="34" s="1"/>
  <c r="E258" i="39" s="1"/>
  <c r="E273" i="34"/>
  <c r="I273" i="34" s="1"/>
  <c r="E262" i="39" s="1"/>
  <c r="E277" i="34"/>
  <c r="I277" i="34" s="1"/>
  <c r="E266" i="39" s="1"/>
  <c r="E281" i="34"/>
  <c r="I281" i="34" s="1"/>
  <c r="E270" i="39" s="1"/>
  <c r="E285" i="34"/>
  <c r="I285" i="34" s="1"/>
  <c r="E274" i="39" s="1"/>
  <c r="E289" i="34"/>
  <c r="I289" i="34" s="1"/>
  <c r="E278" i="39" s="1"/>
  <c r="E293" i="34"/>
  <c r="I293" i="34" s="1"/>
  <c r="E282" i="39" s="1"/>
  <c r="E297" i="34"/>
  <c r="I297" i="34" s="1"/>
  <c r="E286" i="39" s="1"/>
  <c r="E301" i="34"/>
  <c r="I301" i="34" s="1"/>
  <c r="E305" i="34"/>
  <c r="I305" i="34" s="1"/>
  <c r="E309" i="34"/>
  <c r="I309" i="34" s="1"/>
  <c r="E298" i="39" s="1"/>
  <c r="E313" i="34"/>
  <c r="I313" i="34" s="1"/>
  <c r="E302" i="39" s="1"/>
  <c r="E317" i="34"/>
  <c r="I317" i="34" s="1"/>
  <c r="E306" i="39" s="1"/>
  <c r="E321" i="34"/>
  <c r="I321" i="34" s="1"/>
  <c r="E310" i="39" s="1"/>
  <c r="E325" i="34"/>
  <c r="I325" i="34" s="1"/>
  <c r="E314" i="39" s="1"/>
  <c r="E329" i="34"/>
  <c r="I329" i="34" s="1"/>
  <c r="E333" i="34"/>
  <c r="I333" i="34" s="1"/>
  <c r="E322" i="39" s="1"/>
  <c r="E18" i="34"/>
  <c r="I18" i="34" s="1"/>
  <c r="E7" i="39" s="1"/>
  <c r="E26" i="34"/>
  <c r="I26" i="34" s="1"/>
  <c r="E15" i="39" s="1"/>
  <c r="E34" i="34"/>
  <c r="I34" i="34" s="1"/>
  <c r="E23" i="39" s="1"/>
  <c r="E42" i="34"/>
  <c r="I42" i="34" s="1"/>
  <c r="E50" i="34"/>
  <c r="I50" i="34" s="1"/>
  <c r="E20" i="34"/>
  <c r="I20" i="34" s="1"/>
  <c r="E9" i="39" s="1"/>
  <c r="E24" i="34"/>
  <c r="I24" i="34" s="1"/>
  <c r="E13" i="39" s="1"/>
  <c r="E28" i="34"/>
  <c r="I28" i="34" s="1"/>
  <c r="E17" i="39" s="1"/>
  <c r="E32" i="34"/>
  <c r="I32" i="34" s="1"/>
  <c r="E21" i="39" s="1"/>
  <c r="E36" i="34"/>
  <c r="I36" i="34" s="1"/>
  <c r="E25" i="39" s="1"/>
  <c r="E40" i="34"/>
  <c r="I40" i="34" s="1"/>
  <c r="E29" i="39" s="1"/>
  <c r="E44" i="34"/>
  <c r="I44" i="34" s="1"/>
  <c r="E33" i="39" s="1"/>
  <c r="E48" i="34"/>
  <c r="I48" i="34" s="1"/>
  <c r="E37" i="39" s="1"/>
  <c r="E52" i="34"/>
  <c r="I52" i="34" s="1"/>
  <c r="E41" i="39" s="1"/>
  <c r="E56" i="34"/>
  <c r="I56" i="34" s="1"/>
  <c r="E45" i="39" s="1"/>
  <c r="E60" i="34"/>
  <c r="I60" i="34" s="1"/>
  <c r="E49" i="39" s="1"/>
  <c r="E64" i="34"/>
  <c r="I64" i="34" s="1"/>
  <c r="E53" i="39" s="1"/>
  <c r="E68" i="34"/>
  <c r="I68" i="34" s="1"/>
  <c r="E57" i="39" s="1"/>
  <c r="E72" i="34"/>
  <c r="I72" i="34" s="1"/>
  <c r="E61" i="39" s="1"/>
  <c r="E76" i="34"/>
  <c r="I76" i="34" s="1"/>
  <c r="E80" i="34"/>
  <c r="I80" i="34" s="1"/>
  <c r="E69" i="39" s="1"/>
  <c r="E84" i="34"/>
  <c r="I84" i="34" s="1"/>
  <c r="E73" i="39" s="1"/>
  <c r="E88" i="34"/>
  <c r="I88" i="34" s="1"/>
  <c r="E77" i="39" s="1"/>
  <c r="E92" i="34"/>
  <c r="I92" i="34" s="1"/>
  <c r="E96" i="34"/>
  <c r="I96" i="34" s="1"/>
  <c r="E85" i="39" s="1"/>
  <c r="E100" i="34"/>
  <c r="I100" i="34" s="1"/>
  <c r="E89" i="39" s="1"/>
  <c r="E104" i="34"/>
  <c r="I104" i="34" s="1"/>
  <c r="E93" i="39" s="1"/>
  <c r="E108" i="34"/>
  <c r="I108" i="34" s="1"/>
  <c r="E97" i="39" s="1"/>
  <c r="E112" i="34"/>
  <c r="I112" i="34" s="1"/>
  <c r="E101" i="39" s="1"/>
  <c r="E116" i="34"/>
  <c r="I116" i="34" s="1"/>
  <c r="E105" i="39" s="1"/>
  <c r="E120" i="34"/>
  <c r="I120" i="34" s="1"/>
  <c r="E109" i="39" s="1"/>
  <c r="E124" i="34"/>
  <c r="I124" i="34" s="1"/>
  <c r="E128" i="34"/>
  <c r="I128" i="34" s="1"/>
  <c r="E117" i="39" s="1"/>
  <c r="E132" i="34"/>
  <c r="I132" i="34" s="1"/>
  <c r="E121" i="39" s="1"/>
  <c r="E136" i="34"/>
  <c r="I136" i="34" s="1"/>
  <c r="E125" i="39" s="1"/>
  <c r="E140" i="34"/>
  <c r="I140" i="34" s="1"/>
  <c r="E129" i="39" s="1"/>
  <c r="E144" i="34"/>
  <c r="I144" i="34" s="1"/>
  <c r="E133" i="39" s="1"/>
  <c r="E148" i="34"/>
  <c r="I148" i="34" s="1"/>
  <c r="E137" i="39" s="1"/>
  <c r="E152" i="34"/>
  <c r="I152" i="34" s="1"/>
  <c r="E141" i="39" s="1"/>
  <c r="E156" i="34"/>
  <c r="I156" i="34" s="1"/>
  <c r="E145" i="39" s="1"/>
  <c r="E160" i="34"/>
  <c r="I160" i="34" s="1"/>
  <c r="E149" i="39" s="1"/>
  <c r="E164" i="34"/>
  <c r="I164" i="34" s="1"/>
  <c r="E153" i="39" s="1"/>
  <c r="E168" i="34"/>
  <c r="I168" i="34" s="1"/>
  <c r="E157" i="39" s="1"/>
  <c r="E172" i="34"/>
  <c r="I172" i="34" s="1"/>
  <c r="E176" i="34"/>
  <c r="I176" i="34" s="1"/>
  <c r="E165" i="39" s="1"/>
  <c r="E180" i="34"/>
  <c r="I180" i="34" s="1"/>
  <c r="E169" i="39" s="1"/>
  <c r="E184" i="34"/>
  <c r="I184" i="34" s="1"/>
  <c r="E173" i="39" s="1"/>
  <c r="E188" i="34"/>
  <c r="I188" i="34" s="1"/>
  <c r="E177" i="39" s="1"/>
  <c r="E192" i="34"/>
  <c r="I192" i="34" s="1"/>
  <c r="E181" i="39" s="1"/>
  <c r="E196" i="34"/>
  <c r="I196" i="34" s="1"/>
  <c r="E185" i="39" s="1"/>
  <c r="E200" i="34"/>
  <c r="I200" i="34" s="1"/>
  <c r="E189" i="39" s="1"/>
  <c r="E204" i="34"/>
  <c r="I204" i="34" s="1"/>
  <c r="E193" i="39" s="1"/>
  <c r="E208" i="34"/>
  <c r="I208" i="34" s="1"/>
  <c r="E212" i="34"/>
  <c r="I212" i="34" s="1"/>
  <c r="E201" i="39" s="1"/>
  <c r="E216" i="34"/>
  <c r="I216" i="34" s="1"/>
  <c r="E205" i="39" s="1"/>
  <c r="E220" i="34"/>
  <c r="I220" i="34" s="1"/>
  <c r="E209" i="39" s="1"/>
  <c r="E224" i="34"/>
  <c r="I224" i="34" s="1"/>
  <c r="E213" i="39" s="1"/>
  <c r="E228" i="34"/>
  <c r="I228" i="34" s="1"/>
  <c r="E217" i="39" s="1"/>
  <c r="E232" i="34"/>
  <c r="I232" i="34" s="1"/>
  <c r="E221" i="39" s="1"/>
  <c r="E236" i="34"/>
  <c r="I236" i="34" s="1"/>
  <c r="E225" i="39" s="1"/>
  <c r="E240" i="34"/>
  <c r="I240" i="34" s="1"/>
  <c r="E229" i="39" s="1"/>
  <c r="E244" i="34"/>
  <c r="I244" i="34" s="1"/>
  <c r="E233" i="39" s="1"/>
  <c r="E248" i="34"/>
  <c r="I248" i="34" s="1"/>
  <c r="E237" i="39" s="1"/>
  <c r="E252" i="34"/>
  <c r="I252" i="34" s="1"/>
  <c r="E241" i="39" s="1"/>
  <c r="E256" i="34"/>
  <c r="I256" i="34" s="1"/>
  <c r="E260" i="34"/>
  <c r="I260" i="34" s="1"/>
  <c r="E249" i="39" s="1"/>
  <c r="E264" i="34"/>
  <c r="I264" i="34" s="1"/>
  <c r="E253" i="39" s="1"/>
  <c r="E268" i="34"/>
  <c r="I268" i="34" s="1"/>
  <c r="E257" i="39" s="1"/>
  <c r="E272" i="34"/>
  <c r="I272" i="34" s="1"/>
  <c r="E276" i="34"/>
  <c r="I276" i="34" s="1"/>
  <c r="E265" i="39" s="1"/>
  <c r="E280" i="34"/>
  <c r="I280" i="34" s="1"/>
  <c r="E269" i="39" s="1"/>
  <c r="E284" i="34"/>
  <c r="I284" i="34" s="1"/>
  <c r="E273" i="39" s="1"/>
  <c r="E288" i="34"/>
  <c r="I288" i="34" s="1"/>
  <c r="E277" i="39" s="1"/>
  <c r="E292" i="34"/>
  <c r="I292" i="34" s="1"/>
  <c r="E281" i="39" s="1"/>
  <c r="E296" i="34"/>
  <c r="I296" i="34" s="1"/>
  <c r="E285" i="39" s="1"/>
  <c r="E300" i="34"/>
  <c r="I300" i="34" s="1"/>
  <c r="E289" i="39" s="1"/>
  <c r="E304" i="34"/>
  <c r="I304" i="34" s="1"/>
  <c r="E293" i="39" s="1"/>
  <c r="E308" i="34"/>
  <c r="I308" i="34" s="1"/>
  <c r="E297" i="39" s="1"/>
  <c r="E312" i="34"/>
  <c r="I312" i="34" s="1"/>
  <c r="E301" i="39" s="1"/>
  <c r="E316" i="34"/>
  <c r="I316" i="34" s="1"/>
  <c r="E305" i="39" s="1"/>
  <c r="E320" i="34"/>
  <c r="I320" i="34" s="1"/>
  <c r="E309" i="39" s="1"/>
  <c r="E324" i="34"/>
  <c r="I324" i="34" s="1"/>
  <c r="E313" i="39" s="1"/>
  <c r="E328" i="34"/>
  <c r="I328" i="34" s="1"/>
  <c r="E317" i="39" s="1"/>
  <c r="E332" i="34"/>
  <c r="I332" i="34" s="1"/>
  <c r="E321" i="39" s="1"/>
  <c r="E17" i="34"/>
  <c r="I17" i="34" s="1"/>
  <c r="E6" i="39" s="1"/>
  <c r="E22" i="34"/>
  <c r="I22" i="34" s="1"/>
  <c r="E11" i="39" s="1"/>
  <c r="E30" i="34"/>
  <c r="I30" i="34" s="1"/>
  <c r="E19" i="39" s="1"/>
  <c r="E38" i="34"/>
  <c r="I38" i="34" s="1"/>
  <c r="E27" i="39" s="1"/>
  <c r="E46" i="34"/>
  <c r="I46" i="34" s="1"/>
  <c r="E35" i="39" s="1"/>
  <c r="E27" i="34"/>
  <c r="I27" i="34" s="1"/>
  <c r="E16" i="39" s="1"/>
  <c r="E43" i="34"/>
  <c r="I43" i="34" s="1"/>
  <c r="E32" i="39" s="1"/>
  <c r="E55" i="34"/>
  <c r="I55" i="34" s="1"/>
  <c r="E44" i="39" s="1"/>
  <c r="E63" i="34"/>
  <c r="I63" i="34" s="1"/>
  <c r="E52" i="39" s="1"/>
  <c r="E71" i="34"/>
  <c r="I71" i="34" s="1"/>
  <c r="E60" i="39" s="1"/>
  <c r="E79" i="34"/>
  <c r="I79" i="34" s="1"/>
  <c r="E68" i="39" s="1"/>
  <c r="E87" i="34"/>
  <c r="I87" i="34" s="1"/>
  <c r="E76" i="39" s="1"/>
  <c r="E95" i="34"/>
  <c r="I95" i="34" s="1"/>
  <c r="E103" i="34"/>
  <c r="I103" i="34" s="1"/>
  <c r="E92" i="39" s="1"/>
  <c r="E111" i="34"/>
  <c r="I111" i="34" s="1"/>
  <c r="E100" i="39" s="1"/>
  <c r="E119" i="34"/>
  <c r="I119" i="34" s="1"/>
  <c r="E108" i="39" s="1"/>
  <c r="E127" i="34"/>
  <c r="I127" i="34" s="1"/>
  <c r="E116" i="39" s="1"/>
  <c r="E135" i="34"/>
  <c r="I135" i="34" s="1"/>
  <c r="E124" i="39" s="1"/>
  <c r="E143" i="34"/>
  <c r="I143" i="34" s="1"/>
  <c r="E132" i="39" s="1"/>
  <c r="E151" i="34"/>
  <c r="I151" i="34" s="1"/>
  <c r="E159" i="34"/>
  <c r="I159" i="34" s="1"/>
  <c r="E148" i="39" s="1"/>
  <c r="E167" i="34"/>
  <c r="I167" i="34" s="1"/>
  <c r="E156" i="39" s="1"/>
  <c r="E175" i="34"/>
  <c r="I175" i="34" s="1"/>
  <c r="E164" i="39" s="1"/>
  <c r="E183" i="34"/>
  <c r="I183" i="34" s="1"/>
  <c r="E172" i="39" s="1"/>
  <c r="E191" i="34"/>
  <c r="I191" i="34" s="1"/>
  <c r="E180" i="39" s="1"/>
  <c r="E199" i="34"/>
  <c r="I199" i="34" s="1"/>
  <c r="E188" i="39" s="1"/>
  <c r="E207" i="34"/>
  <c r="I207" i="34" s="1"/>
  <c r="E196" i="39" s="1"/>
  <c r="E215" i="34"/>
  <c r="I215" i="34" s="1"/>
  <c r="E204" i="39" s="1"/>
  <c r="E223" i="34"/>
  <c r="I223" i="34" s="1"/>
  <c r="E212" i="39" s="1"/>
  <c r="E231" i="34"/>
  <c r="I231" i="34" s="1"/>
  <c r="E220" i="39" s="1"/>
  <c r="E239" i="34"/>
  <c r="I239" i="34" s="1"/>
  <c r="E228" i="39" s="1"/>
  <c r="E247" i="34"/>
  <c r="I247" i="34" s="1"/>
  <c r="E236" i="39" s="1"/>
  <c r="E255" i="34"/>
  <c r="I255" i="34" s="1"/>
  <c r="E244" i="39" s="1"/>
  <c r="E263" i="34"/>
  <c r="I263" i="34" s="1"/>
  <c r="E252" i="39" s="1"/>
  <c r="E271" i="34"/>
  <c r="I271" i="34" s="1"/>
  <c r="E260" i="39" s="1"/>
  <c r="E279" i="34"/>
  <c r="I279" i="34" s="1"/>
  <c r="E268" i="39" s="1"/>
  <c r="E16" i="34"/>
  <c r="E31" i="34"/>
  <c r="I31" i="34" s="1"/>
  <c r="E20" i="39" s="1"/>
  <c r="E47" i="34"/>
  <c r="I47" i="34" s="1"/>
  <c r="E36" i="39" s="1"/>
  <c r="E58" i="34"/>
  <c r="I58" i="34" s="1"/>
  <c r="E47" i="39" s="1"/>
  <c r="E66" i="34"/>
  <c r="I66" i="34" s="1"/>
  <c r="E55" i="39" s="1"/>
  <c r="E74" i="34"/>
  <c r="I74" i="34" s="1"/>
  <c r="E63" i="39" s="1"/>
  <c r="E82" i="34"/>
  <c r="I82" i="34" s="1"/>
  <c r="E71" i="39" s="1"/>
  <c r="E90" i="34"/>
  <c r="I90" i="34" s="1"/>
  <c r="E79" i="39" s="1"/>
  <c r="E98" i="34"/>
  <c r="I98" i="34" s="1"/>
  <c r="E87" i="39" s="1"/>
  <c r="E106" i="34"/>
  <c r="I106" i="34" s="1"/>
  <c r="E95" i="39" s="1"/>
  <c r="E114" i="34"/>
  <c r="I114" i="34" s="1"/>
  <c r="E103" i="39" s="1"/>
  <c r="E122" i="34"/>
  <c r="I122" i="34" s="1"/>
  <c r="E111" i="39" s="1"/>
  <c r="E130" i="34"/>
  <c r="I130" i="34" s="1"/>
  <c r="E119" i="39" s="1"/>
  <c r="E138" i="34"/>
  <c r="I138" i="34" s="1"/>
  <c r="E127" i="39" s="1"/>
  <c r="E146" i="34"/>
  <c r="I146" i="34" s="1"/>
  <c r="E135" i="39" s="1"/>
  <c r="E154" i="34"/>
  <c r="I154" i="34" s="1"/>
  <c r="E143" i="39" s="1"/>
  <c r="E162" i="34"/>
  <c r="I162" i="34" s="1"/>
  <c r="E151" i="39" s="1"/>
  <c r="E170" i="34"/>
  <c r="I170" i="34" s="1"/>
  <c r="E159" i="39" s="1"/>
  <c r="E178" i="34"/>
  <c r="I178" i="34" s="1"/>
  <c r="E167" i="39" s="1"/>
  <c r="E186" i="34"/>
  <c r="I186" i="34" s="1"/>
  <c r="E194" i="34"/>
  <c r="I194" i="34" s="1"/>
  <c r="E183" i="39" s="1"/>
  <c r="E202" i="34"/>
  <c r="I202" i="34" s="1"/>
  <c r="E191" i="39" s="1"/>
  <c r="E210" i="34"/>
  <c r="I210" i="34" s="1"/>
  <c r="E199" i="39" s="1"/>
  <c r="E218" i="34"/>
  <c r="I218" i="34" s="1"/>
  <c r="E207" i="39" s="1"/>
  <c r="E226" i="34"/>
  <c r="I226" i="34" s="1"/>
  <c r="E215" i="39" s="1"/>
  <c r="E234" i="34"/>
  <c r="I234" i="34" s="1"/>
  <c r="E223" i="39" s="1"/>
  <c r="E242" i="34"/>
  <c r="I242" i="34" s="1"/>
  <c r="E231" i="39" s="1"/>
  <c r="E250" i="34"/>
  <c r="I250" i="34" s="1"/>
  <c r="E239" i="39" s="1"/>
  <c r="E258" i="34"/>
  <c r="I258" i="34" s="1"/>
  <c r="E247" i="39" s="1"/>
  <c r="E266" i="34"/>
  <c r="I266" i="34" s="1"/>
  <c r="E255" i="39" s="1"/>
  <c r="E274" i="34"/>
  <c r="I274" i="34" s="1"/>
  <c r="E263" i="39" s="1"/>
  <c r="E282" i="34"/>
  <c r="I282" i="34" s="1"/>
  <c r="E271" i="39" s="1"/>
  <c r="E290" i="34"/>
  <c r="I290" i="34" s="1"/>
  <c r="E279" i="39" s="1"/>
  <c r="E298" i="34"/>
  <c r="I298" i="34" s="1"/>
  <c r="E287" i="39" s="1"/>
  <c r="E306" i="34"/>
  <c r="I306" i="34" s="1"/>
  <c r="E295" i="39" s="1"/>
  <c r="E314" i="34"/>
  <c r="I314" i="34" s="1"/>
  <c r="E303" i="39" s="1"/>
  <c r="E322" i="34"/>
  <c r="I322" i="34" s="1"/>
  <c r="E311" i="39" s="1"/>
  <c r="E330" i="34"/>
  <c r="I330" i="34" s="1"/>
  <c r="E319" i="39" s="1"/>
  <c r="E19" i="34"/>
  <c r="I19" i="34" s="1"/>
  <c r="E8" i="39" s="1"/>
  <c r="E35" i="34"/>
  <c r="I35" i="34" s="1"/>
  <c r="E24" i="39" s="1"/>
  <c r="E51" i="34"/>
  <c r="I51" i="34" s="1"/>
  <c r="E40" i="39" s="1"/>
  <c r="E59" i="34"/>
  <c r="I59" i="34" s="1"/>
  <c r="E48" i="39" s="1"/>
  <c r="E67" i="34"/>
  <c r="I67" i="34" s="1"/>
  <c r="E56" i="39" s="1"/>
  <c r="E75" i="34"/>
  <c r="I75" i="34" s="1"/>
  <c r="E83" i="34"/>
  <c r="I83" i="34" s="1"/>
  <c r="E72" i="39" s="1"/>
  <c r="E91" i="34"/>
  <c r="I91" i="34" s="1"/>
  <c r="E80" i="39" s="1"/>
  <c r="E99" i="34"/>
  <c r="I99" i="34" s="1"/>
  <c r="E88" i="39" s="1"/>
  <c r="E107" i="34"/>
  <c r="I107" i="34" s="1"/>
  <c r="E115" i="34"/>
  <c r="I115" i="34" s="1"/>
  <c r="E123" i="34"/>
  <c r="I123" i="34" s="1"/>
  <c r="E112" i="39" s="1"/>
  <c r="E131" i="34"/>
  <c r="I131" i="34" s="1"/>
  <c r="E120" i="39" s="1"/>
  <c r="E139" i="34"/>
  <c r="I139" i="34" s="1"/>
  <c r="E128" i="39" s="1"/>
  <c r="E147" i="34"/>
  <c r="I147" i="34" s="1"/>
  <c r="E136" i="39" s="1"/>
  <c r="E155" i="34"/>
  <c r="I155" i="34" s="1"/>
  <c r="E144" i="39" s="1"/>
  <c r="E163" i="34"/>
  <c r="I163" i="34" s="1"/>
  <c r="E152" i="39" s="1"/>
  <c r="E171" i="34"/>
  <c r="I171" i="34" s="1"/>
  <c r="E179" i="34"/>
  <c r="I179" i="34" s="1"/>
  <c r="E168" i="39" s="1"/>
  <c r="E187" i="34"/>
  <c r="I187" i="34" s="1"/>
  <c r="E176" i="39" s="1"/>
  <c r="E195" i="34"/>
  <c r="I195" i="34" s="1"/>
  <c r="E184" i="39" s="1"/>
  <c r="E203" i="34"/>
  <c r="I203" i="34" s="1"/>
  <c r="E192" i="39" s="1"/>
  <c r="E211" i="34"/>
  <c r="I211" i="34" s="1"/>
  <c r="E200" i="39" s="1"/>
  <c r="E219" i="34"/>
  <c r="I219" i="34" s="1"/>
  <c r="E208" i="39" s="1"/>
  <c r="E227" i="34"/>
  <c r="I227" i="34" s="1"/>
  <c r="E216" i="39" s="1"/>
  <c r="E235" i="34"/>
  <c r="I235" i="34" s="1"/>
  <c r="E224" i="39" s="1"/>
  <c r="E243" i="34"/>
  <c r="I243" i="34" s="1"/>
  <c r="E232" i="39" s="1"/>
  <c r="E251" i="34"/>
  <c r="I251" i="34" s="1"/>
  <c r="E240" i="39" s="1"/>
  <c r="E259" i="34"/>
  <c r="I259" i="34" s="1"/>
  <c r="E248" i="39" s="1"/>
  <c r="E267" i="34"/>
  <c r="I267" i="34" s="1"/>
  <c r="E256" i="39" s="1"/>
  <c r="E275" i="34"/>
  <c r="I275" i="34" s="1"/>
  <c r="E283" i="34"/>
  <c r="I283" i="34" s="1"/>
  <c r="E272" i="39" s="1"/>
  <c r="E291" i="34"/>
  <c r="I291" i="34" s="1"/>
  <c r="E280" i="39" s="1"/>
  <c r="E299" i="34"/>
  <c r="I299" i="34" s="1"/>
  <c r="E288" i="39" s="1"/>
  <c r="E307" i="34"/>
  <c r="I307" i="34" s="1"/>
  <c r="E296" i="39" s="1"/>
  <c r="E315" i="34"/>
  <c r="I315" i="34" s="1"/>
  <c r="E304" i="39" s="1"/>
  <c r="E323" i="34"/>
  <c r="I323" i="34" s="1"/>
  <c r="E312" i="39" s="1"/>
  <c r="E331" i="34"/>
  <c r="I331" i="34" s="1"/>
  <c r="E23" i="34"/>
  <c r="I23" i="34" s="1"/>
  <c r="E12" i="39" s="1"/>
  <c r="E39" i="34"/>
  <c r="I39" i="34" s="1"/>
  <c r="E28" i="39" s="1"/>
  <c r="E54" i="34"/>
  <c r="I54" i="34" s="1"/>
  <c r="E43" i="39" s="1"/>
  <c r="E62" i="34"/>
  <c r="I62" i="34" s="1"/>
  <c r="E51" i="39" s="1"/>
  <c r="E70" i="34"/>
  <c r="I70" i="34" s="1"/>
  <c r="E78" i="34"/>
  <c r="I78" i="34" s="1"/>
  <c r="E67" i="39" s="1"/>
  <c r="E86" i="34"/>
  <c r="I86" i="34" s="1"/>
  <c r="E75" i="39" s="1"/>
  <c r="E94" i="34"/>
  <c r="I94" i="34" s="1"/>
  <c r="E83" i="39" s="1"/>
  <c r="E102" i="34"/>
  <c r="I102" i="34" s="1"/>
  <c r="E91" i="39" s="1"/>
  <c r="E110" i="34"/>
  <c r="I110" i="34" s="1"/>
  <c r="E99" i="39" s="1"/>
  <c r="E142" i="34"/>
  <c r="I142" i="34" s="1"/>
  <c r="E131" i="39" s="1"/>
  <c r="E174" i="34"/>
  <c r="I174" i="34" s="1"/>
  <c r="E163" i="39" s="1"/>
  <c r="E206" i="34"/>
  <c r="I206" i="34" s="1"/>
  <c r="E238" i="34"/>
  <c r="I238" i="34" s="1"/>
  <c r="E227" i="39" s="1"/>
  <c r="E270" i="34"/>
  <c r="I270" i="34" s="1"/>
  <c r="E259" i="39" s="1"/>
  <c r="E294" i="34"/>
  <c r="I294" i="34" s="1"/>
  <c r="E310" i="34"/>
  <c r="I310" i="34" s="1"/>
  <c r="E299" i="39" s="1"/>
  <c r="E326" i="34"/>
  <c r="I326" i="34" s="1"/>
  <c r="E315" i="39" s="1"/>
  <c r="E118" i="34"/>
  <c r="I118" i="34" s="1"/>
  <c r="E107" i="39" s="1"/>
  <c r="E150" i="34"/>
  <c r="I150" i="34" s="1"/>
  <c r="E139" i="39" s="1"/>
  <c r="E182" i="34"/>
  <c r="I182" i="34" s="1"/>
  <c r="E171" i="39" s="1"/>
  <c r="E214" i="34"/>
  <c r="I214" i="34" s="1"/>
  <c r="E203" i="39" s="1"/>
  <c r="E246" i="34"/>
  <c r="I246" i="34" s="1"/>
  <c r="E235" i="39" s="1"/>
  <c r="E278" i="34"/>
  <c r="I278" i="34" s="1"/>
  <c r="E267" i="39" s="1"/>
  <c r="E295" i="34"/>
  <c r="I295" i="34" s="1"/>
  <c r="E284" i="39" s="1"/>
  <c r="E311" i="34"/>
  <c r="I311" i="34" s="1"/>
  <c r="E300" i="39" s="1"/>
  <c r="E327" i="34"/>
  <c r="I327" i="34" s="1"/>
  <c r="E316" i="39" s="1"/>
  <c r="E126" i="34"/>
  <c r="I126" i="34" s="1"/>
  <c r="E115" i="39" s="1"/>
  <c r="E158" i="34"/>
  <c r="I158" i="34" s="1"/>
  <c r="E147" i="39" s="1"/>
  <c r="E190" i="34"/>
  <c r="I190" i="34" s="1"/>
  <c r="E179" i="39" s="1"/>
  <c r="E222" i="34"/>
  <c r="I222" i="34" s="1"/>
  <c r="E211" i="39" s="1"/>
  <c r="E254" i="34"/>
  <c r="I254" i="34" s="1"/>
  <c r="E243" i="39" s="1"/>
  <c r="E286" i="34"/>
  <c r="I286" i="34" s="1"/>
  <c r="E275" i="39" s="1"/>
  <c r="E302" i="34"/>
  <c r="I302" i="34" s="1"/>
  <c r="E291" i="39" s="1"/>
  <c r="E318" i="34"/>
  <c r="I318" i="34" s="1"/>
  <c r="E307" i="39" s="1"/>
  <c r="E134" i="34"/>
  <c r="I134" i="34" s="1"/>
  <c r="E166" i="34"/>
  <c r="I166" i="34" s="1"/>
  <c r="E155" i="39" s="1"/>
  <c r="E198" i="34"/>
  <c r="I198" i="34" s="1"/>
  <c r="E187" i="39" s="1"/>
  <c r="E230" i="34"/>
  <c r="I230" i="34" s="1"/>
  <c r="E219" i="39" s="1"/>
  <c r="E262" i="34"/>
  <c r="I262" i="34" s="1"/>
  <c r="E251" i="39" s="1"/>
  <c r="E287" i="34"/>
  <c r="I287" i="34" s="1"/>
  <c r="E276" i="39" s="1"/>
  <c r="E303" i="34"/>
  <c r="I303" i="34" s="1"/>
  <c r="E292" i="39" s="1"/>
  <c r="E319" i="34"/>
  <c r="I319" i="34" s="1"/>
  <c r="E308" i="39" s="1"/>
  <c r="G32" i="25"/>
  <c r="G71" i="25"/>
  <c r="E195" i="12" l="1"/>
  <c r="G195" i="12" s="1"/>
  <c r="H195" i="12" s="1"/>
  <c r="I195" i="12" s="1"/>
  <c r="J196" i="25" s="1"/>
  <c r="E195" i="39"/>
  <c r="E59" i="12"/>
  <c r="E59" i="39"/>
  <c r="E264" i="12"/>
  <c r="G264" i="12" s="1"/>
  <c r="H264" i="12" s="1"/>
  <c r="I264" i="12" s="1"/>
  <c r="J265" i="25" s="1"/>
  <c r="E264" i="39"/>
  <c r="E104" i="12"/>
  <c r="G104" i="12" s="1"/>
  <c r="H104" i="12" s="1"/>
  <c r="I104" i="12" s="1"/>
  <c r="J105" i="25" s="1"/>
  <c r="E104" i="39"/>
  <c r="E84" i="12"/>
  <c r="E84" i="39"/>
  <c r="E261" i="12"/>
  <c r="E261" i="39"/>
  <c r="E245" i="12"/>
  <c r="G245" i="12" s="1"/>
  <c r="H245" i="12" s="1"/>
  <c r="I245" i="12" s="1"/>
  <c r="J246" i="25" s="1"/>
  <c r="E245" i="39"/>
  <c r="E197" i="12"/>
  <c r="G197" i="12" s="1"/>
  <c r="H197" i="12" s="1"/>
  <c r="I197" i="12" s="1"/>
  <c r="J198" i="25" s="1"/>
  <c r="E197" i="39"/>
  <c r="E39" i="12"/>
  <c r="G39" i="12" s="1"/>
  <c r="H39" i="12" s="1"/>
  <c r="I39" i="12" s="1"/>
  <c r="J40" i="25" s="1"/>
  <c r="E39" i="39"/>
  <c r="E318" i="12"/>
  <c r="E318" i="39"/>
  <c r="E294" i="12"/>
  <c r="G294" i="12" s="1"/>
  <c r="H294" i="12" s="1"/>
  <c r="I294" i="12" s="1"/>
  <c r="J295" i="25" s="1"/>
  <c r="E294" i="39"/>
  <c r="E198" i="12"/>
  <c r="G198" i="12" s="1"/>
  <c r="H198" i="12" s="1"/>
  <c r="I198" i="12" s="1"/>
  <c r="J199" i="25" s="1"/>
  <c r="E198" i="39"/>
  <c r="E150" i="12"/>
  <c r="E150" i="39"/>
  <c r="E134" i="12"/>
  <c r="E134" i="39"/>
  <c r="E123" i="12"/>
  <c r="E123" i="39"/>
  <c r="E283" i="12"/>
  <c r="E283" i="39"/>
  <c r="E320" i="12"/>
  <c r="E320" i="39"/>
  <c r="E160" i="12"/>
  <c r="G160" i="12" s="1"/>
  <c r="H160" i="12" s="1"/>
  <c r="I160" i="12" s="1"/>
  <c r="J161" i="25" s="1"/>
  <c r="E160" i="39"/>
  <c r="E96" i="12"/>
  <c r="G96" i="12" s="1"/>
  <c r="H96" i="12" s="1"/>
  <c r="E96" i="39"/>
  <c r="E64" i="12"/>
  <c r="E64" i="39"/>
  <c r="E175" i="12"/>
  <c r="E175" i="39"/>
  <c r="E140" i="12"/>
  <c r="E140" i="39"/>
  <c r="E161" i="12"/>
  <c r="E161" i="39"/>
  <c r="E113" i="12"/>
  <c r="G113" i="12" s="1"/>
  <c r="H113" i="12" s="1"/>
  <c r="I113" i="12" s="1"/>
  <c r="J114" i="25" s="1"/>
  <c r="E113" i="39"/>
  <c r="E81" i="12"/>
  <c r="E81" i="39"/>
  <c r="E65" i="12"/>
  <c r="E65" i="39"/>
  <c r="E31" i="12"/>
  <c r="G31" i="12" s="1"/>
  <c r="H31" i="12" s="1"/>
  <c r="I31" i="12" s="1"/>
  <c r="J32" i="25" s="1"/>
  <c r="E31" i="39"/>
  <c r="E290" i="12"/>
  <c r="E290" i="39"/>
  <c r="E194" i="12"/>
  <c r="E194" i="39"/>
  <c r="E66" i="12"/>
  <c r="E66" i="39"/>
  <c r="E34" i="12"/>
  <c r="E34" i="39"/>
  <c r="G292" i="39"/>
  <c r="H292" i="39" s="1"/>
  <c r="I292" i="39" s="1"/>
  <c r="J292" i="39" s="1"/>
  <c r="I293" i="25" s="1"/>
  <c r="E292" i="12"/>
  <c r="E308" i="12"/>
  <c r="G308" i="12" s="1"/>
  <c r="E276" i="12"/>
  <c r="G276" i="12" s="1"/>
  <c r="E219" i="12"/>
  <c r="G219" i="12" s="1"/>
  <c r="G155" i="39"/>
  <c r="H155" i="39" s="1"/>
  <c r="I155" i="39" s="1"/>
  <c r="J155" i="39" s="1"/>
  <c r="I156" i="25" s="1"/>
  <c r="E155" i="12"/>
  <c r="G155" i="12" s="1"/>
  <c r="H155" i="12" s="1"/>
  <c r="I155" i="12" s="1"/>
  <c r="J156" i="25" s="1"/>
  <c r="G308" i="25"/>
  <c r="E307" i="12"/>
  <c r="E275" i="12"/>
  <c r="G275" i="12" s="1"/>
  <c r="G211" i="39"/>
  <c r="H211" i="39" s="1"/>
  <c r="I211" i="39" s="1"/>
  <c r="J211" i="39" s="1"/>
  <c r="I212" i="25" s="1"/>
  <c r="E211" i="12"/>
  <c r="G148" i="25"/>
  <c r="E147" i="12"/>
  <c r="E316" i="12"/>
  <c r="G316" i="12" s="1"/>
  <c r="G284" i="39"/>
  <c r="H284" i="39" s="1"/>
  <c r="I284" i="39" s="1"/>
  <c r="J284" i="39" s="1"/>
  <c r="I285" i="25" s="1"/>
  <c r="E284" i="12"/>
  <c r="G284" i="12" s="1"/>
  <c r="H284" i="12" s="1"/>
  <c r="I284" i="12" s="1"/>
  <c r="J285" i="25" s="1"/>
  <c r="E235" i="12"/>
  <c r="G235" i="12" s="1"/>
  <c r="G172" i="25"/>
  <c r="E171" i="12"/>
  <c r="G107" i="39"/>
  <c r="H107" i="39" s="1"/>
  <c r="I107" i="39" s="1"/>
  <c r="J107" i="39" s="1"/>
  <c r="I108" i="25" s="1"/>
  <c r="E107" i="12"/>
  <c r="E299" i="12"/>
  <c r="G299" i="12" s="1"/>
  <c r="E259" i="12"/>
  <c r="G259" i="12" s="1"/>
  <c r="G132" i="25"/>
  <c r="E131" i="12"/>
  <c r="E91" i="12"/>
  <c r="G91" i="12" s="1"/>
  <c r="G76" i="25"/>
  <c r="E75" i="12"/>
  <c r="G75" i="12" s="1"/>
  <c r="H75" i="12" s="1"/>
  <c r="I75" i="12" s="1"/>
  <c r="J76" i="25" s="1"/>
  <c r="G44" i="25"/>
  <c r="E43" i="12"/>
  <c r="G12" i="39"/>
  <c r="H12" i="39" s="1"/>
  <c r="I12" i="39" s="1"/>
  <c r="J12" i="39" s="1"/>
  <c r="I13" i="25" s="1"/>
  <c r="E12" i="12"/>
  <c r="G12" i="12" s="1"/>
  <c r="H12" i="12" s="1"/>
  <c r="I12" i="12" s="1"/>
  <c r="J13" i="25" s="1"/>
  <c r="G313" i="25"/>
  <c r="E312" i="12"/>
  <c r="E296" i="12"/>
  <c r="G296" i="12" s="1"/>
  <c r="G280" i="39"/>
  <c r="H280" i="39" s="1"/>
  <c r="I280" i="39" s="1"/>
  <c r="J280" i="39" s="1"/>
  <c r="I281" i="25" s="1"/>
  <c r="E280" i="12"/>
  <c r="G249" i="25"/>
  <c r="E248" i="12"/>
  <c r="G233" i="25"/>
  <c r="E232" i="12"/>
  <c r="G217" i="25"/>
  <c r="E216" i="12"/>
  <c r="G200" i="39"/>
  <c r="H200" i="39" s="1"/>
  <c r="I200" i="39" s="1"/>
  <c r="J200" i="39" s="1"/>
  <c r="I201" i="25" s="1"/>
  <c r="E200" i="12"/>
  <c r="G185" i="25"/>
  <c r="E184" i="12"/>
  <c r="G168" i="39"/>
  <c r="H168" i="39" s="1"/>
  <c r="I168" i="39" s="1"/>
  <c r="J168" i="39" s="1"/>
  <c r="I169" i="25" s="1"/>
  <c r="E168" i="12"/>
  <c r="G153" i="25"/>
  <c r="E152" i="12"/>
  <c r="G137" i="25"/>
  <c r="E136" i="12"/>
  <c r="E120" i="12"/>
  <c r="G120" i="12" s="1"/>
  <c r="E88" i="12"/>
  <c r="G88" i="12" s="1"/>
  <c r="G72" i="39"/>
  <c r="H72" i="39" s="1"/>
  <c r="I72" i="39" s="1"/>
  <c r="J72" i="39" s="1"/>
  <c r="I73" i="25" s="1"/>
  <c r="E72" i="12"/>
  <c r="E56" i="12"/>
  <c r="G56" i="12" s="1"/>
  <c r="E40" i="12"/>
  <c r="G40" i="12" s="1"/>
  <c r="G9" i="25"/>
  <c r="E8" i="12"/>
  <c r="G311" i="39"/>
  <c r="H311" i="39" s="1"/>
  <c r="I311" i="39" s="1"/>
  <c r="J311" i="39" s="1"/>
  <c r="I312" i="25" s="1"/>
  <c r="E311" i="12"/>
  <c r="E295" i="12"/>
  <c r="G295" i="12" s="1"/>
  <c r="G280" i="25"/>
  <c r="E279" i="12"/>
  <c r="G279" i="12" s="1"/>
  <c r="H279" i="12" s="1"/>
  <c r="I279" i="12" s="1"/>
  <c r="J280" i="25" s="1"/>
  <c r="G264" i="25"/>
  <c r="E263" i="12"/>
  <c r="G247" i="39"/>
  <c r="H247" i="39" s="1"/>
  <c r="I247" i="39" s="1"/>
  <c r="J247" i="39" s="1"/>
  <c r="I248" i="25" s="1"/>
  <c r="E247" i="12"/>
  <c r="G247" i="12" s="1"/>
  <c r="H247" i="12" s="1"/>
  <c r="I247" i="12" s="1"/>
  <c r="J248" i="25" s="1"/>
  <c r="G232" i="25"/>
  <c r="E231" i="12"/>
  <c r="G231" i="12" s="1"/>
  <c r="H231" i="12" s="1"/>
  <c r="I231" i="12" s="1"/>
  <c r="J232" i="25" s="1"/>
  <c r="G216" i="25"/>
  <c r="E215" i="12"/>
  <c r="G199" i="39"/>
  <c r="H199" i="39" s="1"/>
  <c r="I199" i="39" s="1"/>
  <c r="J199" i="39" s="1"/>
  <c r="I200" i="25" s="1"/>
  <c r="E199" i="12"/>
  <c r="G199" i="12" s="1"/>
  <c r="H199" i="12" s="1"/>
  <c r="I199" i="12" s="1"/>
  <c r="J200" i="25" s="1"/>
  <c r="G183" i="39"/>
  <c r="H183" i="39" s="1"/>
  <c r="I183" i="39" s="1"/>
  <c r="J183" i="39" s="1"/>
  <c r="I184" i="25" s="1"/>
  <c r="E183" i="12"/>
  <c r="G183" i="12" s="1"/>
  <c r="H183" i="12" s="1"/>
  <c r="I183" i="12" s="1"/>
  <c r="J184" i="25" s="1"/>
  <c r="E167" i="12"/>
  <c r="G167" i="12" s="1"/>
  <c r="G152" i="25"/>
  <c r="E151" i="12"/>
  <c r="G136" i="25"/>
  <c r="E135" i="12"/>
  <c r="E119" i="12"/>
  <c r="G119" i="12" s="1"/>
  <c r="E103" i="12"/>
  <c r="G103" i="12" s="1"/>
  <c r="E87" i="12"/>
  <c r="G87" i="12" s="1"/>
  <c r="G71" i="39"/>
  <c r="H71" i="39" s="1"/>
  <c r="I71" i="39" s="1"/>
  <c r="J71" i="39" s="1"/>
  <c r="I72" i="25" s="1"/>
  <c r="E71" i="12"/>
  <c r="G56" i="25"/>
  <c r="E55" i="12"/>
  <c r="G36" i="39"/>
  <c r="H36" i="39" s="1"/>
  <c r="I36" i="39" s="1"/>
  <c r="J36" i="39" s="1"/>
  <c r="I37" i="25" s="1"/>
  <c r="E36" i="12"/>
  <c r="E260" i="12"/>
  <c r="G260" i="12" s="1"/>
  <c r="G244" i="39"/>
  <c r="H244" i="39" s="1"/>
  <c r="I244" i="39" s="1"/>
  <c r="J244" i="39" s="1"/>
  <c r="I245" i="25" s="1"/>
  <c r="E244" i="12"/>
  <c r="E228" i="12"/>
  <c r="G228" i="12" s="1"/>
  <c r="G213" i="25"/>
  <c r="E212" i="12"/>
  <c r="G212" i="12" s="1"/>
  <c r="H212" i="12" s="1"/>
  <c r="I212" i="12" s="1"/>
  <c r="J213" i="25" s="1"/>
  <c r="G197" i="25"/>
  <c r="E196" i="12"/>
  <c r="G196" i="12" s="1"/>
  <c r="H196" i="12" s="1"/>
  <c r="I196" i="12" s="1"/>
  <c r="J197" i="25" s="1"/>
  <c r="G181" i="25"/>
  <c r="E180" i="12"/>
  <c r="G180" i="12" s="1"/>
  <c r="H180" i="12" s="1"/>
  <c r="I180" i="12" s="1"/>
  <c r="J181" i="25" s="1"/>
  <c r="E164" i="12"/>
  <c r="G164" i="12" s="1"/>
  <c r="G149" i="25"/>
  <c r="E148" i="12"/>
  <c r="G132" i="39"/>
  <c r="H132" i="39" s="1"/>
  <c r="I132" i="39" s="1"/>
  <c r="J132" i="39" s="1"/>
  <c r="I133" i="25" s="1"/>
  <c r="E132" i="12"/>
  <c r="G117" i="25"/>
  <c r="E116" i="12"/>
  <c r="G100" i="39"/>
  <c r="H100" i="39" s="1"/>
  <c r="I100" i="39" s="1"/>
  <c r="J100" i="39" s="1"/>
  <c r="I101" i="25" s="1"/>
  <c r="E100" i="12"/>
  <c r="G69" i="25"/>
  <c r="E68" i="12"/>
  <c r="E52" i="12"/>
  <c r="G52" i="12" s="1"/>
  <c r="H52" i="12" s="1"/>
  <c r="I52" i="12" s="1"/>
  <c r="J53" i="25" s="1"/>
  <c r="G32" i="39"/>
  <c r="H32" i="39" s="1"/>
  <c r="I32" i="39" s="1"/>
  <c r="J32" i="39" s="1"/>
  <c r="I33" i="25" s="1"/>
  <c r="E32" i="12"/>
  <c r="E35" i="12"/>
  <c r="G35" i="12" s="1"/>
  <c r="G19" i="39"/>
  <c r="H19" i="39" s="1"/>
  <c r="I19" i="39" s="1"/>
  <c r="J19" i="39" s="1"/>
  <c r="I20" i="25" s="1"/>
  <c r="E19" i="12"/>
  <c r="G6" i="39"/>
  <c r="H6" i="39" s="1"/>
  <c r="I6" i="39" s="1"/>
  <c r="J6" i="39" s="1"/>
  <c r="I7" i="25" s="1"/>
  <c r="E6" i="12"/>
  <c r="G317" i="39"/>
  <c r="H317" i="39" s="1"/>
  <c r="I317" i="39" s="1"/>
  <c r="J317" i="39" s="1"/>
  <c r="I318" i="25" s="1"/>
  <c r="E317" i="12"/>
  <c r="G310" i="25"/>
  <c r="E309" i="12"/>
  <c r="G302" i="25"/>
  <c r="E301" i="12"/>
  <c r="G293" i="39"/>
  <c r="H293" i="39" s="1"/>
  <c r="I293" i="39" s="1"/>
  <c r="J293" i="39" s="1"/>
  <c r="I294" i="25" s="1"/>
  <c r="E293" i="12"/>
  <c r="G285" i="39"/>
  <c r="H285" i="39" s="1"/>
  <c r="I285" i="39" s="1"/>
  <c r="J285" i="39" s="1"/>
  <c r="I286" i="25" s="1"/>
  <c r="E285" i="12"/>
  <c r="E277" i="12"/>
  <c r="G277" i="12" s="1"/>
  <c r="G269" i="39"/>
  <c r="H269" i="39" s="1"/>
  <c r="I269" i="39" s="1"/>
  <c r="J269" i="39" s="1"/>
  <c r="I270" i="25" s="1"/>
  <c r="E269" i="12"/>
  <c r="G269" i="12" s="1"/>
  <c r="H269" i="12" s="1"/>
  <c r="I269" i="12" s="1"/>
  <c r="J270" i="25" s="1"/>
  <c r="E253" i="12"/>
  <c r="G253" i="12" s="1"/>
  <c r="G237" i="39"/>
  <c r="H237" i="39" s="1"/>
  <c r="I237" i="39" s="1"/>
  <c r="J237" i="39" s="1"/>
  <c r="I238" i="25" s="1"/>
  <c r="E237" i="12"/>
  <c r="E229" i="12"/>
  <c r="G229" i="12" s="1"/>
  <c r="G222" i="25"/>
  <c r="E221" i="12"/>
  <c r="G213" i="39"/>
  <c r="H213" i="39" s="1"/>
  <c r="I213" i="39" s="1"/>
  <c r="J213" i="39" s="1"/>
  <c r="I214" i="25" s="1"/>
  <c r="E213" i="12"/>
  <c r="G213" i="12" s="1"/>
  <c r="H213" i="12" s="1"/>
  <c r="I213" i="12" s="1"/>
  <c r="J214" i="25" s="1"/>
  <c r="G206" i="25"/>
  <c r="E205" i="12"/>
  <c r="G189" i="39"/>
  <c r="H189" i="39" s="1"/>
  <c r="I189" i="39" s="1"/>
  <c r="J189" i="39" s="1"/>
  <c r="I190" i="25" s="1"/>
  <c r="E189" i="12"/>
  <c r="G189" i="12" s="1"/>
  <c r="H189" i="12" s="1"/>
  <c r="I189" i="12" s="1"/>
  <c r="J190" i="25" s="1"/>
  <c r="G182" i="25"/>
  <c r="E181" i="12"/>
  <c r="G181" i="12" s="1"/>
  <c r="H181" i="12" s="1"/>
  <c r="I181" i="12" s="1"/>
  <c r="J182" i="25" s="1"/>
  <c r="G173" i="39"/>
  <c r="H173" i="39" s="1"/>
  <c r="I173" i="39" s="1"/>
  <c r="J173" i="39" s="1"/>
  <c r="I174" i="25" s="1"/>
  <c r="E173" i="12"/>
  <c r="G173" i="12" s="1"/>
  <c r="H173" i="12" s="1"/>
  <c r="I173" i="12" s="1"/>
  <c r="J174" i="25" s="1"/>
  <c r="E165" i="12"/>
  <c r="G165" i="12" s="1"/>
  <c r="E157" i="12"/>
  <c r="G157" i="12" s="1"/>
  <c r="G149" i="39"/>
  <c r="H149" i="39" s="1"/>
  <c r="I149" i="39" s="1"/>
  <c r="J149" i="39" s="1"/>
  <c r="I150" i="25" s="1"/>
  <c r="E149" i="12"/>
  <c r="G149" i="12" s="1"/>
  <c r="H149" i="12" s="1"/>
  <c r="I149" i="12" s="1"/>
  <c r="J150" i="25" s="1"/>
  <c r="G141" i="39"/>
  <c r="H141" i="39" s="1"/>
  <c r="I141" i="39" s="1"/>
  <c r="J141" i="39" s="1"/>
  <c r="I142" i="25" s="1"/>
  <c r="E141" i="12"/>
  <c r="G141" i="12" s="1"/>
  <c r="H141" i="12" s="1"/>
  <c r="I141" i="12" s="1"/>
  <c r="J142" i="25" s="1"/>
  <c r="G133" i="39"/>
  <c r="H133" i="39" s="1"/>
  <c r="I133" i="39" s="1"/>
  <c r="J133" i="39" s="1"/>
  <c r="I134" i="25" s="1"/>
  <c r="E133" i="12"/>
  <c r="G133" i="12" s="1"/>
  <c r="H133" i="12" s="1"/>
  <c r="I133" i="12" s="1"/>
  <c r="J134" i="25" s="1"/>
  <c r="G126" i="25"/>
  <c r="E125" i="12"/>
  <c r="G125" i="12" s="1"/>
  <c r="H125" i="12" s="1"/>
  <c r="I125" i="12" s="1"/>
  <c r="J126" i="25" s="1"/>
  <c r="E117" i="12"/>
  <c r="G117" i="12" s="1"/>
  <c r="G110" i="25"/>
  <c r="E109" i="12"/>
  <c r="G102" i="25"/>
  <c r="E101" i="12"/>
  <c r="G94" i="25"/>
  <c r="E93" i="12"/>
  <c r="E85" i="12"/>
  <c r="G85" i="12" s="1"/>
  <c r="E77" i="12"/>
  <c r="G77" i="12" s="1"/>
  <c r="G69" i="39"/>
  <c r="H69" i="39" s="1"/>
  <c r="I69" i="39" s="1"/>
  <c r="J69" i="39" s="1"/>
  <c r="I70" i="25" s="1"/>
  <c r="E69" i="12"/>
  <c r="G61" i="39"/>
  <c r="H61" i="39" s="1"/>
  <c r="I61" i="39" s="1"/>
  <c r="J61" i="39" s="1"/>
  <c r="I62" i="25" s="1"/>
  <c r="E61" i="12"/>
  <c r="G53" i="39"/>
  <c r="H53" i="39" s="1"/>
  <c r="I53" i="39" s="1"/>
  <c r="J53" i="39" s="1"/>
  <c r="I54" i="25" s="1"/>
  <c r="E53" i="12"/>
  <c r="G46" i="25"/>
  <c r="E45" i="12"/>
  <c r="E37" i="12"/>
  <c r="G37" i="12" s="1"/>
  <c r="G30" i="25"/>
  <c r="E29" i="12"/>
  <c r="G29" i="12" s="1"/>
  <c r="H29" i="12" s="1"/>
  <c r="I29" i="12" s="1"/>
  <c r="J30" i="25" s="1"/>
  <c r="E21" i="12"/>
  <c r="G21" i="12" s="1"/>
  <c r="E13" i="12"/>
  <c r="G13" i="12" s="1"/>
  <c r="E23" i="12"/>
  <c r="G23" i="12" s="1"/>
  <c r="G7" i="39"/>
  <c r="H7" i="39" s="1"/>
  <c r="I7" i="39" s="1"/>
  <c r="J7" i="39" s="1"/>
  <c r="I8" i="25" s="1"/>
  <c r="E7" i="12"/>
  <c r="G310" i="39"/>
  <c r="H310" i="39" s="1"/>
  <c r="I310" i="39" s="1"/>
  <c r="J310" i="39" s="1"/>
  <c r="I311" i="25" s="1"/>
  <c r="E310" i="12"/>
  <c r="G303" i="25"/>
  <c r="E302" i="12"/>
  <c r="G287" i="25"/>
  <c r="E286" i="12"/>
  <c r="G278" i="39"/>
  <c r="H278" i="39" s="1"/>
  <c r="I278" i="39" s="1"/>
  <c r="J278" i="39" s="1"/>
  <c r="I279" i="25" s="1"/>
  <c r="E278" i="12"/>
  <c r="G270" i="39"/>
  <c r="H270" i="39" s="1"/>
  <c r="I270" i="39" s="1"/>
  <c r="J270" i="39" s="1"/>
  <c r="I271" i="25" s="1"/>
  <c r="E270" i="12"/>
  <c r="E262" i="12"/>
  <c r="G262" i="12" s="1"/>
  <c r="G254" i="39"/>
  <c r="H254" i="39" s="1"/>
  <c r="I254" i="39" s="1"/>
  <c r="J254" i="39" s="1"/>
  <c r="I255" i="25" s="1"/>
  <c r="E254" i="12"/>
  <c r="G254" i="12" s="1"/>
  <c r="H254" i="12" s="1"/>
  <c r="I254" i="12" s="1"/>
  <c r="J255" i="25" s="1"/>
  <c r="G246" i="39"/>
  <c r="H246" i="39" s="1"/>
  <c r="I246" i="39" s="1"/>
  <c r="J246" i="39" s="1"/>
  <c r="I247" i="25" s="1"/>
  <c r="E246" i="12"/>
  <c r="G246" i="12" s="1"/>
  <c r="H246" i="12" s="1"/>
  <c r="I246" i="12" s="1"/>
  <c r="J247" i="25" s="1"/>
  <c r="G238" i="39"/>
  <c r="H238" i="39" s="1"/>
  <c r="I238" i="39" s="1"/>
  <c r="J238" i="39" s="1"/>
  <c r="I239" i="25" s="1"/>
  <c r="E238" i="12"/>
  <c r="G238" i="12" s="1"/>
  <c r="H238" i="12" s="1"/>
  <c r="I238" i="12" s="1"/>
  <c r="J239" i="25" s="1"/>
  <c r="E230" i="12"/>
  <c r="G230" i="12" s="1"/>
  <c r="G222" i="39"/>
  <c r="H222" i="39" s="1"/>
  <c r="I222" i="39" s="1"/>
  <c r="J222" i="39" s="1"/>
  <c r="I223" i="25" s="1"/>
  <c r="E222" i="12"/>
  <c r="G214" i="39"/>
  <c r="H214" i="39" s="1"/>
  <c r="I214" i="39" s="1"/>
  <c r="J214" i="39" s="1"/>
  <c r="I215" i="25" s="1"/>
  <c r="E214" i="12"/>
  <c r="E206" i="12"/>
  <c r="G206" i="12" s="1"/>
  <c r="G190" i="39"/>
  <c r="H190" i="39" s="1"/>
  <c r="I190" i="39" s="1"/>
  <c r="J190" i="39" s="1"/>
  <c r="I191" i="25" s="1"/>
  <c r="E190" i="12"/>
  <c r="G190" i="12" s="1"/>
  <c r="H190" i="12" s="1"/>
  <c r="I190" i="12" s="1"/>
  <c r="J191" i="25" s="1"/>
  <c r="G182" i="39"/>
  <c r="H182" i="39" s="1"/>
  <c r="I182" i="39" s="1"/>
  <c r="J182" i="39" s="1"/>
  <c r="I183" i="25" s="1"/>
  <c r="E182" i="12"/>
  <c r="G182" i="12" s="1"/>
  <c r="H182" i="12" s="1"/>
  <c r="I182" i="12" s="1"/>
  <c r="J183" i="25" s="1"/>
  <c r="G174" i="39"/>
  <c r="H174" i="39" s="1"/>
  <c r="I174" i="39" s="1"/>
  <c r="J174" i="39" s="1"/>
  <c r="I175" i="25" s="1"/>
  <c r="E174" i="12"/>
  <c r="G174" i="12" s="1"/>
  <c r="H174" i="12" s="1"/>
  <c r="I174" i="12" s="1"/>
  <c r="J175" i="25" s="1"/>
  <c r="G166" i="39"/>
  <c r="H166" i="39" s="1"/>
  <c r="I166" i="39" s="1"/>
  <c r="J166" i="39" s="1"/>
  <c r="I167" i="25" s="1"/>
  <c r="E166" i="12"/>
  <c r="G166" i="12" s="1"/>
  <c r="H166" i="12" s="1"/>
  <c r="I166" i="12" s="1"/>
  <c r="J167" i="25" s="1"/>
  <c r="E158" i="12"/>
  <c r="G158" i="12" s="1"/>
  <c r="G143" i="25"/>
  <c r="E142" i="12"/>
  <c r="G127" i="25"/>
  <c r="E126" i="12"/>
  <c r="E118" i="12"/>
  <c r="G118" i="12" s="1"/>
  <c r="H118" i="12" s="1"/>
  <c r="I118" i="12" s="1"/>
  <c r="J119" i="25" s="1"/>
  <c r="E110" i="12"/>
  <c r="G110" i="12" s="1"/>
  <c r="G102" i="39"/>
  <c r="H102" i="39" s="1"/>
  <c r="I102" i="39" s="1"/>
  <c r="J102" i="39" s="1"/>
  <c r="I103" i="25" s="1"/>
  <c r="E102" i="12"/>
  <c r="G95" i="25"/>
  <c r="E94" i="12"/>
  <c r="G86" i="39"/>
  <c r="H86" i="39" s="1"/>
  <c r="I86" i="39" s="1"/>
  <c r="J86" i="39" s="1"/>
  <c r="I87" i="25" s="1"/>
  <c r="E86" i="12"/>
  <c r="G78" i="39"/>
  <c r="H78" i="39" s="1"/>
  <c r="I78" i="39" s="1"/>
  <c r="J78" i="39" s="1"/>
  <c r="I79" i="25" s="1"/>
  <c r="E78" i="12"/>
  <c r="E70" i="12"/>
  <c r="G70" i="12" s="1"/>
  <c r="H70" i="12" s="1"/>
  <c r="I70" i="12" s="1"/>
  <c r="J71" i="25" s="1"/>
  <c r="E62" i="12"/>
  <c r="G62" i="12" s="1"/>
  <c r="E54" i="12"/>
  <c r="G54" i="12" s="1"/>
  <c r="H54" i="12" s="1"/>
  <c r="I54" i="12" s="1"/>
  <c r="J55" i="25" s="1"/>
  <c r="E46" i="12"/>
  <c r="G46" i="12" s="1"/>
  <c r="G38" i="39"/>
  <c r="H38" i="39" s="1"/>
  <c r="I38" i="39" s="1"/>
  <c r="J38" i="39" s="1"/>
  <c r="I39" i="25" s="1"/>
  <c r="E38" i="12"/>
  <c r="E30" i="12"/>
  <c r="G30" i="12" s="1"/>
  <c r="H30" i="12" s="1"/>
  <c r="I30" i="12" s="1"/>
  <c r="J31" i="25" s="1"/>
  <c r="E22" i="12"/>
  <c r="G22" i="12" s="1"/>
  <c r="G15" i="25"/>
  <c r="E14" i="12"/>
  <c r="G251" i="39"/>
  <c r="H251" i="39" s="1"/>
  <c r="I251" i="39" s="1"/>
  <c r="J251" i="39" s="1"/>
  <c r="I252" i="25" s="1"/>
  <c r="E251" i="12"/>
  <c r="G187" i="39"/>
  <c r="H187" i="39" s="1"/>
  <c r="I187" i="39" s="1"/>
  <c r="J187" i="39" s="1"/>
  <c r="I188" i="25" s="1"/>
  <c r="E187" i="12"/>
  <c r="G291" i="39"/>
  <c r="H291" i="39" s="1"/>
  <c r="I291" i="39" s="1"/>
  <c r="J291" i="39" s="1"/>
  <c r="I292" i="25" s="1"/>
  <c r="E291" i="12"/>
  <c r="E243" i="12"/>
  <c r="G243" i="12" s="1"/>
  <c r="H243" i="12" s="1"/>
  <c r="E179" i="12"/>
  <c r="G179" i="12" s="1"/>
  <c r="G115" i="39"/>
  <c r="H115" i="39" s="1"/>
  <c r="I115" i="39" s="1"/>
  <c r="J115" i="39" s="1"/>
  <c r="I116" i="25" s="1"/>
  <c r="E115" i="12"/>
  <c r="E300" i="12"/>
  <c r="G300" i="12" s="1"/>
  <c r="G267" i="39"/>
  <c r="H267" i="39" s="1"/>
  <c r="I267" i="39" s="1"/>
  <c r="J267" i="39" s="1"/>
  <c r="I268" i="25" s="1"/>
  <c r="E267" i="12"/>
  <c r="G267" i="12" s="1"/>
  <c r="H267" i="12" s="1"/>
  <c r="I267" i="12" s="1"/>
  <c r="J268" i="25" s="1"/>
  <c r="G203" i="39"/>
  <c r="H203" i="39" s="1"/>
  <c r="I203" i="39" s="1"/>
  <c r="J203" i="39" s="1"/>
  <c r="I204" i="25" s="1"/>
  <c r="E203" i="12"/>
  <c r="G203" i="12" s="1"/>
  <c r="H203" i="12" s="1"/>
  <c r="I203" i="12" s="1"/>
  <c r="J204" i="25" s="1"/>
  <c r="G140" i="25"/>
  <c r="E139" i="12"/>
  <c r="G139" i="12" s="1"/>
  <c r="H139" i="12" s="1"/>
  <c r="I139" i="12" s="1"/>
  <c r="J140" i="25" s="1"/>
  <c r="E315" i="12"/>
  <c r="G315" i="12" s="1"/>
  <c r="G228" i="25"/>
  <c r="E227" i="12"/>
  <c r="E163" i="12"/>
  <c r="G163" i="12" s="1"/>
  <c r="H163" i="12" s="1"/>
  <c r="I163" i="12" s="1"/>
  <c r="J164" i="25" s="1"/>
  <c r="E99" i="12"/>
  <c r="G99" i="12" s="1"/>
  <c r="G84" i="25"/>
  <c r="E83" i="12"/>
  <c r="G68" i="25"/>
  <c r="E67" i="12"/>
  <c r="E51" i="12"/>
  <c r="G51" i="12" s="1"/>
  <c r="H51" i="12" s="1"/>
  <c r="I51" i="12" s="1"/>
  <c r="J52" i="25" s="1"/>
  <c r="G29" i="25"/>
  <c r="E28" i="12"/>
  <c r="G28" i="12" s="1"/>
  <c r="H28" i="12" s="1"/>
  <c r="I28" i="12" s="1"/>
  <c r="J29" i="25" s="1"/>
  <c r="E304" i="12"/>
  <c r="G304" i="12" s="1"/>
  <c r="G289" i="25"/>
  <c r="E288" i="12"/>
  <c r="E272" i="12"/>
  <c r="G272" i="12" s="1"/>
  <c r="H272" i="12" s="1"/>
  <c r="I272" i="12" s="1"/>
  <c r="J273" i="25" s="1"/>
  <c r="E256" i="12"/>
  <c r="G256" i="12" s="1"/>
  <c r="G241" i="25"/>
  <c r="E240" i="12"/>
  <c r="E224" i="12"/>
  <c r="G224" i="12" s="1"/>
  <c r="H224" i="12" s="1"/>
  <c r="I224" i="12" s="1"/>
  <c r="J225" i="25" s="1"/>
  <c r="G209" i="25"/>
  <c r="E208" i="12"/>
  <c r="G208" i="12" s="1"/>
  <c r="H208" i="12" s="1"/>
  <c r="I208" i="12" s="1"/>
  <c r="J209" i="25" s="1"/>
  <c r="G193" i="25"/>
  <c r="E192" i="12"/>
  <c r="G192" i="12" s="1"/>
  <c r="H192" i="12" s="1"/>
  <c r="I192" i="12" s="1"/>
  <c r="J193" i="25" s="1"/>
  <c r="E176" i="12"/>
  <c r="G176" i="12" s="1"/>
  <c r="G145" i="25"/>
  <c r="E144" i="12"/>
  <c r="G128" i="39"/>
  <c r="H128" i="39" s="1"/>
  <c r="I128" i="39" s="1"/>
  <c r="J128" i="39" s="1"/>
  <c r="I129" i="25" s="1"/>
  <c r="E128" i="12"/>
  <c r="G113" i="25"/>
  <c r="E112" i="12"/>
  <c r="G81" i="25"/>
  <c r="E80" i="12"/>
  <c r="G48" i="39"/>
  <c r="H48" i="39" s="1"/>
  <c r="I48" i="39" s="1"/>
  <c r="J48" i="39" s="1"/>
  <c r="I49" i="25" s="1"/>
  <c r="E48" i="12"/>
  <c r="E24" i="12"/>
  <c r="G24" i="12" s="1"/>
  <c r="H24" i="12" s="1"/>
  <c r="I24" i="12" s="1"/>
  <c r="J25" i="25" s="1"/>
  <c r="G319" i="39"/>
  <c r="H319" i="39" s="1"/>
  <c r="I319" i="39" s="1"/>
  <c r="J319" i="39" s="1"/>
  <c r="I320" i="25" s="1"/>
  <c r="E319" i="12"/>
  <c r="G319" i="12" s="1"/>
  <c r="H319" i="12" s="1"/>
  <c r="I319" i="12" s="1"/>
  <c r="J320" i="25" s="1"/>
  <c r="G303" i="39"/>
  <c r="H303" i="39" s="1"/>
  <c r="I303" i="39" s="1"/>
  <c r="J303" i="39" s="1"/>
  <c r="I304" i="25" s="1"/>
  <c r="E303" i="12"/>
  <c r="G303" i="12" s="1"/>
  <c r="H303" i="12" s="1"/>
  <c r="I303" i="12" s="1"/>
  <c r="J304" i="25" s="1"/>
  <c r="E287" i="12"/>
  <c r="G287" i="12" s="1"/>
  <c r="G271" i="39"/>
  <c r="H271" i="39" s="1"/>
  <c r="I271" i="39" s="1"/>
  <c r="J271" i="39" s="1"/>
  <c r="I272" i="25" s="1"/>
  <c r="E271" i="12"/>
  <c r="E255" i="12"/>
  <c r="G255" i="12" s="1"/>
  <c r="H255" i="12" s="1"/>
  <c r="I255" i="12" s="1"/>
  <c r="J256" i="25" s="1"/>
  <c r="G240" i="25"/>
  <c r="E239" i="12"/>
  <c r="G239" i="12" s="1"/>
  <c r="H239" i="12" s="1"/>
  <c r="I239" i="12" s="1"/>
  <c r="J240" i="25" s="1"/>
  <c r="G224" i="25"/>
  <c r="E223" i="12"/>
  <c r="G223" i="12" s="1"/>
  <c r="H223" i="12" s="1"/>
  <c r="I223" i="12" s="1"/>
  <c r="J224" i="25" s="1"/>
  <c r="G207" i="39"/>
  <c r="H207" i="39" s="1"/>
  <c r="I207" i="39" s="1"/>
  <c r="J207" i="39" s="1"/>
  <c r="I208" i="25" s="1"/>
  <c r="E207" i="12"/>
  <c r="G207" i="12" s="1"/>
  <c r="H207" i="12" s="1"/>
  <c r="I207" i="12" s="1"/>
  <c r="J208" i="25" s="1"/>
  <c r="E191" i="12"/>
  <c r="G191" i="12" s="1"/>
  <c r="G160" i="25"/>
  <c r="E159" i="12"/>
  <c r="G143" i="39"/>
  <c r="H143" i="39" s="1"/>
  <c r="I143" i="39" s="1"/>
  <c r="J143" i="39" s="1"/>
  <c r="I144" i="25" s="1"/>
  <c r="E143" i="12"/>
  <c r="E127" i="12"/>
  <c r="G127" i="12" s="1"/>
  <c r="G111" i="39"/>
  <c r="H111" i="39" s="1"/>
  <c r="I111" i="39" s="1"/>
  <c r="J111" i="39" s="1"/>
  <c r="I112" i="25" s="1"/>
  <c r="E111" i="12"/>
  <c r="G111" i="12" s="1"/>
  <c r="H111" i="12" s="1"/>
  <c r="I111" i="12" s="1"/>
  <c r="J112" i="25" s="1"/>
  <c r="G96" i="25"/>
  <c r="E95" i="12"/>
  <c r="G95" i="12" s="1"/>
  <c r="H95" i="12" s="1"/>
  <c r="I95" i="12" s="1"/>
  <c r="J96" i="25" s="1"/>
  <c r="G80" i="25"/>
  <c r="E79" i="12"/>
  <c r="G79" i="12" s="1"/>
  <c r="H79" i="12" s="1"/>
  <c r="I79" i="12" s="1"/>
  <c r="J80" i="25" s="1"/>
  <c r="E63" i="12"/>
  <c r="G63" i="12" s="1"/>
  <c r="G48" i="25"/>
  <c r="E47" i="12"/>
  <c r="E20" i="12"/>
  <c r="G20" i="12" s="1"/>
  <c r="H20" i="12" s="1"/>
  <c r="I20" i="12" s="1"/>
  <c r="J21" i="25" s="1"/>
  <c r="G268" i="39"/>
  <c r="H268" i="39" s="1"/>
  <c r="I268" i="39" s="1"/>
  <c r="J268" i="39" s="1"/>
  <c r="I269" i="25" s="1"/>
  <c r="E268" i="12"/>
  <c r="G268" i="12" s="1"/>
  <c r="H268" i="12" s="1"/>
  <c r="I268" i="12" s="1"/>
  <c r="J269" i="25" s="1"/>
  <c r="E252" i="12"/>
  <c r="G252" i="12" s="1"/>
  <c r="G237" i="25"/>
  <c r="E236" i="12"/>
  <c r="G220" i="39"/>
  <c r="H220" i="39" s="1"/>
  <c r="I220" i="39" s="1"/>
  <c r="J220" i="39" s="1"/>
  <c r="I221" i="25" s="1"/>
  <c r="E220" i="12"/>
  <c r="G204" i="39"/>
  <c r="H204" i="39" s="1"/>
  <c r="I204" i="39" s="1"/>
  <c r="J204" i="39" s="1"/>
  <c r="I205" i="25" s="1"/>
  <c r="E204" i="12"/>
  <c r="G189" i="25"/>
  <c r="E188" i="12"/>
  <c r="E172" i="12"/>
  <c r="G172" i="12" s="1"/>
  <c r="H172" i="12" s="1"/>
  <c r="I172" i="12" s="1"/>
  <c r="J173" i="25" s="1"/>
  <c r="E156" i="12"/>
  <c r="G156" i="12" s="1"/>
  <c r="E124" i="12"/>
  <c r="G124" i="12" s="1"/>
  <c r="H124" i="12" s="1"/>
  <c r="I124" i="12" s="1"/>
  <c r="J125" i="25" s="1"/>
  <c r="G109" i="25"/>
  <c r="E108" i="12"/>
  <c r="G108" i="12" s="1"/>
  <c r="H108" i="12" s="1"/>
  <c r="I108" i="12" s="1"/>
  <c r="J109" i="25" s="1"/>
  <c r="G93" i="25"/>
  <c r="E92" i="12"/>
  <c r="G76" i="39"/>
  <c r="H76" i="39" s="1"/>
  <c r="I76" i="39" s="1"/>
  <c r="J76" i="39" s="1"/>
  <c r="I77" i="25" s="1"/>
  <c r="E76" i="12"/>
  <c r="G76" i="12" s="1"/>
  <c r="H76" i="12" s="1"/>
  <c r="I76" i="12" s="1"/>
  <c r="J77" i="25" s="1"/>
  <c r="G60" i="39"/>
  <c r="H60" i="39" s="1"/>
  <c r="I60" i="39" s="1"/>
  <c r="J60" i="39" s="1"/>
  <c r="I61" i="25" s="1"/>
  <c r="E60" i="12"/>
  <c r="G45" i="25"/>
  <c r="E44" i="12"/>
  <c r="G44" i="12" s="1"/>
  <c r="H44" i="12" s="1"/>
  <c r="I44" i="12" s="1"/>
  <c r="J45" i="25" s="1"/>
  <c r="E16" i="12"/>
  <c r="G16" i="12" s="1"/>
  <c r="E27" i="12"/>
  <c r="G27" i="12" s="1"/>
  <c r="G11" i="39"/>
  <c r="H11" i="39" s="1"/>
  <c r="I11" i="39" s="1"/>
  <c r="J11" i="39" s="1"/>
  <c r="I12" i="25" s="1"/>
  <c r="E11" i="12"/>
  <c r="G11" i="12" s="1"/>
  <c r="H11" i="12" s="1"/>
  <c r="I11" i="12" s="1"/>
  <c r="J12" i="25" s="1"/>
  <c r="G321" i="39"/>
  <c r="H321" i="39" s="1"/>
  <c r="I321" i="39" s="1"/>
  <c r="J321" i="39" s="1"/>
  <c r="I322" i="25" s="1"/>
  <c r="E321" i="12"/>
  <c r="G321" i="12" s="1"/>
  <c r="H321" i="12" s="1"/>
  <c r="I321" i="12" s="1"/>
  <c r="J322" i="25" s="1"/>
  <c r="G314" i="25"/>
  <c r="E313" i="12"/>
  <c r="G313" i="12" s="1"/>
  <c r="H313" i="12" s="1"/>
  <c r="I313" i="12" s="1"/>
  <c r="J314" i="25" s="1"/>
  <c r="G305" i="39"/>
  <c r="H305" i="39" s="1"/>
  <c r="I305" i="39" s="1"/>
  <c r="J305" i="39" s="1"/>
  <c r="I306" i="25" s="1"/>
  <c r="E305" i="12"/>
  <c r="G305" i="12" s="1"/>
  <c r="H305" i="12" s="1"/>
  <c r="I305" i="12" s="1"/>
  <c r="J306" i="25" s="1"/>
  <c r="E297" i="12"/>
  <c r="G297" i="12" s="1"/>
  <c r="E289" i="12"/>
  <c r="G289" i="12" s="1"/>
  <c r="G281" i="39"/>
  <c r="H281" i="39" s="1"/>
  <c r="I281" i="39" s="1"/>
  <c r="J281" i="39" s="1"/>
  <c r="I282" i="25" s="1"/>
  <c r="E281" i="12"/>
  <c r="G281" i="12" s="1"/>
  <c r="H281" i="12" s="1"/>
  <c r="I281" i="12" s="1"/>
  <c r="J282" i="25" s="1"/>
  <c r="G274" i="25"/>
  <c r="E273" i="12"/>
  <c r="G273" i="12" s="1"/>
  <c r="H273" i="12" s="1"/>
  <c r="I273" i="12" s="1"/>
  <c r="J274" i="25" s="1"/>
  <c r="E265" i="12"/>
  <c r="G265" i="12" s="1"/>
  <c r="G257" i="39"/>
  <c r="H257" i="39" s="1"/>
  <c r="I257" i="39" s="1"/>
  <c r="J257" i="39" s="1"/>
  <c r="I258" i="25" s="1"/>
  <c r="E257" i="12"/>
  <c r="G249" i="39"/>
  <c r="H249" i="39" s="1"/>
  <c r="I249" i="39" s="1"/>
  <c r="J249" i="39" s="1"/>
  <c r="I250" i="25" s="1"/>
  <c r="E249" i="12"/>
  <c r="E241" i="12"/>
  <c r="G241" i="12" s="1"/>
  <c r="H241" i="12" s="1"/>
  <c r="I241" i="12" s="1"/>
  <c r="J242" i="25" s="1"/>
  <c r="E233" i="12"/>
  <c r="G233" i="12" s="1"/>
  <c r="E225" i="12"/>
  <c r="G225" i="12" s="1"/>
  <c r="H225" i="12" s="1"/>
  <c r="I225" i="12" s="1"/>
  <c r="J226" i="25" s="1"/>
  <c r="E217" i="12"/>
  <c r="G217" i="12" s="1"/>
  <c r="E209" i="12"/>
  <c r="G209" i="12" s="1"/>
  <c r="E201" i="12"/>
  <c r="G201" i="12" s="1"/>
  <c r="E193" i="12"/>
  <c r="G193" i="12" s="1"/>
  <c r="G185" i="39"/>
  <c r="H185" i="39" s="1"/>
  <c r="I185" i="39" s="1"/>
  <c r="J185" i="39" s="1"/>
  <c r="I186" i="25" s="1"/>
  <c r="E185" i="12"/>
  <c r="G185" i="12" s="1"/>
  <c r="H185" i="12" s="1"/>
  <c r="I185" i="12" s="1"/>
  <c r="J186" i="25" s="1"/>
  <c r="E177" i="12"/>
  <c r="G177" i="12" s="1"/>
  <c r="E169" i="12"/>
  <c r="G169" i="12" s="1"/>
  <c r="H169" i="12" s="1"/>
  <c r="I169" i="12" s="1"/>
  <c r="J170" i="25" s="1"/>
  <c r="G154" i="25"/>
  <c r="E153" i="12"/>
  <c r="G153" i="12" s="1"/>
  <c r="H153" i="12" s="1"/>
  <c r="I153" i="12" s="1"/>
  <c r="J154" i="25" s="1"/>
  <c r="E145" i="12"/>
  <c r="G145" i="12" s="1"/>
  <c r="H145" i="12" s="1"/>
  <c r="I145" i="12" s="1"/>
  <c r="J146" i="25" s="1"/>
  <c r="E137" i="12"/>
  <c r="G137" i="12" s="1"/>
  <c r="E129" i="12"/>
  <c r="G129" i="12" s="1"/>
  <c r="H129" i="12" s="1"/>
  <c r="I129" i="12" s="1"/>
  <c r="J130" i="25" s="1"/>
  <c r="G122" i="25"/>
  <c r="E121" i="12"/>
  <c r="G121" i="12" s="1"/>
  <c r="H121" i="12" s="1"/>
  <c r="I121" i="12" s="1"/>
  <c r="J122" i="25" s="1"/>
  <c r="E105" i="12"/>
  <c r="G105" i="12" s="1"/>
  <c r="H105" i="12" s="1"/>
  <c r="I105" i="12" s="1"/>
  <c r="J106" i="25" s="1"/>
  <c r="G98" i="25"/>
  <c r="E97" i="12"/>
  <c r="G97" i="12" s="1"/>
  <c r="H97" i="12" s="1"/>
  <c r="I97" i="12" s="1"/>
  <c r="J98" i="25" s="1"/>
  <c r="E89" i="12"/>
  <c r="G89" i="12" s="1"/>
  <c r="H89" i="12" s="1"/>
  <c r="G74" i="25"/>
  <c r="E73" i="12"/>
  <c r="G73" i="12" s="1"/>
  <c r="H73" i="12" s="1"/>
  <c r="I73" i="12" s="1"/>
  <c r="J74" i="25" s="1"/>
  <c r="G57" i="39"/>
  <c r="H57" i="39" s="1"/>
  <c r="I57" i="39" s="1"/>
  <c r="J57" i="39" s="1"/>
  <c r="I58" i="25" s="1"/>
  <c r="E57" i="12"/>
  <c r="G50" i="25"/>
  <c r="E49" i="12"/>
  <c r="G49" i="12" s="1"/>
  <c r="H49" i="12" s="1"/>
  <c r="I49" i="12" s="1"/>
  <c r="J50" i="25" s="1"/>
  <c r="E41" i="12"/>
  <c r="G41" i="12" s="1"/>
  <c r="H41" i="12" s="1"/>
  <c r="I41" i="12" s="1"/>
  <c r="J42" i="25" s="1"/>
  <c r="G33" i="39"/>
  <c r="H33" i="39" s="1"/>
  <c r="I33" i="39" s="1"/>
  <c r="J33" i="39" s="1"/>
  <c r="I34" i="25" s="1"/>
  <c r="E33" i="12"/>
  <c r="G33" i="12" s="1"/>
  <c r="H33" i="12" s="1"/>
  <c r="I33" i="12" s="1"/>
  <c r="J34" i="25" s="1"/>
  <c r="E25" i="12"/>
  <c r="G25" i="12" s="1"/>
  <c r="H25" i="12" s="1"/>
  <c r="I25" i="12" s="1"/>
  <c r="J26" i="25" s="1"/>
  <c r="E17" i="12"/>
  <c r="G17" i="12" s="1"/>
  <c r="H17" i="12" s="1"/>
  <c r="I17" i="12" s="1"/>
  <c r="J18" i="25" s="1"/>
  <c r="G10" i="25"/>
  <c r="E9" i="12"/>
  <c r="G9" i="12" s="1"/>
  <c r="H9" i="12" s="1"/>
  <c r="I9" i="12" s="1"/>
  <c r="J10" i="25" s="1"/>
  <c r="G15" i="39"/>
  <c r="H15" i="39" s="1"/>
  <c r="I15" i="39" s="1"/>
  <c r="J15" i="39" s="1"/>
  <c r="I16" i="25" s="1"/>
  <c r="E15" i="12"/>
  <c r="G322" i="39"/>
  <c r="H322" i="39" s="1"/>
  <c r="I322" i="39" s="1"/>
  <c r="J322" i="39" s="1"/>
  <c r="I323" i="25" s="1"/>
  <c r="E322" i="12"/>
  <c r="G322" i="12" s="1"/>
  <c r="H322" i="12" s="1"/>
  <c r="I322" i="12" s="1"/>
  <c r="J323" i="25" s="1"/>
  <c r="G314" i="39"/>
  <c r="H314" i="39" s="1"/>
  <c r="I314" i="39" s="1"/>
  <c r="J314" i="39" s="1"/>
  <c r="I315" i="25" s="1"/>
  <c r="E314" i="12"/>
  <c r="G314" i="12" s="1"/>
  <c r="H314" i="12" s="1"/>
  <c r="I314" i="12" s="1"/>
  <c r="J315" i="25" s="1"/>
  <c r="E306" i="12"/>
  <c r="G306" i="12" s="1"/>
  <c r="G299" i="25"/>
  <c r="E298" i="12"/>
  <c r="E282" i="12"/>
  <c r="G282" i="12" s="1"/>
  <c r="H282" i="12" s="1"/>
  <c r="I282" i="12" s="1"/>
  <c r="J283" i="25" s="1"/>
  <c r="G275" i="25"/>
  <c r="E274" i="12"/>
  <c r="G274" i="12" s="1"/>
  <c r="H274" i="12" s="1"/>
  <c r="I274" i="12" s="1"/>
  <c r="J275" i="25" s="1"/>
  <c r="G266" i="39"/>
  <c r="H266" i="39" s="1"/>
  <c r="I266" i="39" s="1"/>
  <c r="J266" i="39" s="1"/>
  <c r="I267" i="25" s="1"/>
  <c r="E266" i="12"/>
  <c r="G266" i="12" s="1"/>
  <c r="H266" i="12" s="1"/>
  <c r="I266" i="12" s="1"/>
  <c r="J267" i="25" s="1"/>
  <c r="G258" i="39"/>
  <c r="H258" i="39" s="1"/>
  <c r="I258" i="39" s="1"/>
  <c r="J258" i="39" s="1"/>
  <c r="I259" i="25" s="1"/>
  <c r="E258" i="12"/>
  <c r="G258" i="12" s="1"/>
  <c r="H258" i="12" s="1"/>
  <c r="I258" i="12" s="1"/>
  <c r="J259" i="25" s="1"/>
  <c r="G250" i="39"/>
  <c r="H250" i="39" s="1"/>
  <c r="I250" i="39" s="1"/>
  <c r="J250" i="39" s="1"/>
  <c r="I251" i="25" s="1"/>
  <c r="E250" i="12"/>
  <c r="G243" i="25"/>
  <c r="E242" i="12"/>
  <c r="G242" i="12" s="1"/>
  <c r="H242" i="12" s="1"/>
  <c r="I242" i="12" s="1"/>
  <c r="J243" i="25" s="1"/>
  <c r="E234" i="12"/>
  <c r="G234" i="12" s="1"/>
  <c r="H234" i="12" s="1"/>
  <c r="I234" i="12" s="1"/>
  <c r="J235" i="25" s="1"/>
  <c r="G227" i="25"/>
  <c r="E226" i="12"/>
  <c r="G226" i="12" s="1"/>
  <c r="H226" i="12" s="1"/>
  <c r="I226" i="12" s="1"/>
  <c r="J227" i="25" s="1"/>
  <c r="G218" i="39"/>
  <c r="H218" i="39" s="1"/>
  <c r="I218" i="39" s="1"/>
  <c r="J218" i="39" s="1"/>
  <c r="I219" i="25" s="1"/>
  <c r="E218" i="12"/>
  <c r="G218" i="12" s="1"/>
  <c r="H218" i="12" s="1"/>
  <c r="I218" i="12" s="1"/>
  <c r="J219" i="25" s="1"/>
  <c r="G211" i="25"/>
  <c r="E210" i="12"/>
  <c r="G210" i="12" s="1"/>
  <c r="H210" i="12" s="1"/>
  <c r="J210" i="12" s="1"/>
  <c r="E202" i="12"/>
  <c r="G202" i="12" s="1"/>
  <c r="H202" i="12" s="1"/>
  <c r="I202" i="12" s="1"/>
  <c r="J203" i="25" s="1"/>
  <c r="G186" i="39"/>
  <c r="H186" i="39" s="1"/>
  <c r="I186" i="39" s="1"/>
  <c r="J186" i="39" s="1"/>
  <c r="I187" i="25" s="1"/>
  <c r="E186" i="12"/>
  <c r="G186" i="12" s="1"/>
  <c r="H186" i="12" s="1"/>
  <c r="I186" i="12" s="1"/>
  <c r="J187" i="25" s="1"/>
  <c r="G178" i="39"/>
  <c r="H178" i="39" s="1"/>
  <c r="I178" i="39" s="1"/>
  <c r="J178" i="39" s="1"/>
  <c r="I179" i="25" s="1"/>
  <c r="E178" i="12"/>
  <c r="G178" i="12" s="1"/>
  <c r="H178" i="12" s="1"/>
  <c r="I178" i="12" s="1"/>
  <c r="J179" i="25" s="1"/>
  <c r="G171" i="25"/>
  <c r="E170" i="12"/>
  <c r="G170" i="12" s="1"/>
  <c r="H170" i="12" s="1"/>
  <c r="G162" i="39"/>
  <c r="H162" i="39" s="1"/>
  <c r="I162" i="39" s="1"/>
  <c r="J162" i="39" s="1"/>
  <c r="I163" i="25" s="1"/>
  <c r="E162" i="12"/>
  <c r="G162" i="12" s="1"/>
  <c r="H162" i="12" s="1"/>
  <c r="G155" i="25"/>
  <c r="E154" i="12"/>
  <c r="E146" i="12"/>
  <c r="G146" i="12" s="1"/>
  <c r="G138" i="39"/>
  <c r="H138" i="39" s="1"/>
  <c r="I138" i="39" s="1"/>
  <c r="J138" i="39" s="1"/>
  <c r="I139" i="25" s="1"/>
  <c r="E138" i="12"/>
  <c r="G138" i="12" s="1"/>
  <c r="H138" i="12" s="1"/>
  <c r="I138" i="12" s="1"/>
  <c r="J139" i="25" s="1"/>
  <c r="G130" i="39"/>
  <c r="H130" i="39" s="1"/>
  <c r="I130" i="39" s="1"/>
  <c r="J130" i="39" s="1"/>
  <c r="I131" i="25" s="1"/>
  <c r="E130" i="12"/>
  <c r="G122" i="39"/>
  <c r="H122" i="39" s="1"/>
  <c r="I122" i="39" s="1"/>
  <c r="J122" i="39" s="1"/>
  <c r="I123" i="25" s="1"/>
  <c r="E122" i="12"/>
  <c r="E114" i="12"/>
  <c r="G114" i="12" s="1"/>
  <c r="H114" i="12" s="1"/>
  <c r="I114" i="12" s="1"/>
  <c r="J115" i="25" s="1"/>
  <c r="G107" i="25"/>
  <c r="E106" i="12"/>
  <c r="G106" i="12" s="1"/>
  <c r="H106" i="12" s="1"/>
  <c r="I106" i="12" s="1"/>
  <c r="J107" i="25" s="1"/>
  <c r="G98" i="39"/>
  <c r="H98" i="39" s="1"/>
  <c r="I98" i="39" s="1"/>
  <c r="J98" i="39" s="1"/>
  <c r="I99" i="25" s="1"/>
  <c r="E98" i="12"/>
  <c r="G98" i="12" s="1"/>
  <c r="H98" i="12" s="1"/>
  <c r="I98" i="12" s="1"/>
  <c r="J99" i="25" s="1"/>
  <c r="G90" i="39"/>
  <c r="H90" i="39" s="1"/>
  <c r="I90" i="39" s="1"/>
  <c r="J90" i="39" s="1"/>
  <c r="I91" i="25" s="1"/>
  <c r="E90" i="12"/>
  <c r="G90" i="12" s="1"/>
  <c r="H90" i="12" s="1"/>
  <c r="I90" i="12" s="1"/>
  <c r="J91" i="25" s="1"/>
  <c r="G82" i="39"/>
  <c r="H82" i="39" s="1"/>
  <c r="I82" i="39" s="1"/>
  <c r="J82" i="39" s="1"/>
  <c r="I83" i="25" s="1"/>
  <c r="E82" i="12"/>
  <c r="G82" i="12" s="1"/>
  <c r="H82" i="12" s="1"/>
  <c r="I82" i="12" s="1"/>
  <c r="J83" i="25" s="1"/>
  <c r="E74" i="12"/>
  <c r="G74" i="12" s="1"/>
  <c r="H74" i="12" s="1"/>
  <c r="I74" i="12" s="1"/>
  <c r="J75" i="25" s="1"/>
  <c r="G58" i="39"/>
  <c r="H58" i="39" s="1"/>
  <c r="I58" i="39" s="1"/>
  <c r="J58" i="39" s="1"/>
  <c r="I59" i="25" s="1"/>
  <c r="E58" i="12"/>
  <c r="G58" i="12" s="1"/>
  <c r="H58" i="12" s="1"/>
  <c r="I58" i="12" s="1"/>
  <c r="J59" i="25" s="1"/>
  <c r="E50" i="12"/>
  <c r="G50" i="12" s="1"/>
  <c r="H50" i="12" s="1"/>
  <c r="I50" i="12" s="1"/>
  <c r="J51" i="25" s="1"/>
  <c r="E42" i="12"/>
  <c r="G42" i="12" s="1"/>
  <c r="E26" i="12"/>
  <c r="G26" i="12" s="1"/>
  <c r="H26" i="12" s="1"/>
  <c r="I26" i="12" s="1"/>
  <c r="J27" i="25" s="1"/>
  <c r="G18" i="39"/>
  <c r="H18" i="39" s="1"/>
  <c r="I18" i="39" s="1"/>
  <c r="J18" i="39" s="1"/>
  <c r="I19" i="25" s="1"/>
  <c r="E18" i="12"/>
  <c r="G18" i="12" s="1"/>
  <c r="H18" i="12" s="1"/>
  <c r="N19" i="13" s="1"/>
  <c r="O19" i="13" s="1"/>
  <c r="G11" i="25"/>
  <c r="E10" i="12"/>
  <c r="G22" i="39"/>
  <c r="H22" i="39" s="1"/>
  <c r="I22" i="39" s="1"/>
  <c r="J22" i="39" s="1"/>
  <c r="I23" i="25" s="1"/>
  <c r="G55" i="39"/>
  <c r="H55" i="39" s="1"/>
  <c r="I55" i="39" s="1"/>
  <c r="J55" i="39" s="1"/>
  <c r="I56" i="25" s="1"/>
  <c r="G117" i="39"/>
  <c r="H117" i="39" s="1"/>
  <c r="I117" i="39" s="1"/>
  <c r="J117" i="39" s="1"/>
  <c r="I118" i="25" s="1"/>
  <c r="G148" i="39"/>
  <c r="H148" i="39" s="1"/>
  <c r="I148" i="39" s="1"/>
  <c r="J148" i="39" s="1"/>
  <c r="I149" i="25" s="1"/>
  <c r="G309" i="12"/>
  <c r="G103" i="25"/>
  <c r="G278" i="25"/>
  <c r="G7" i="25"/>
  <c r="G8" i="25"/>
  <c r="G36" i="25"/>
  <c r="G52" i="39"/>
  <c r="H52" i="39" s="1"/>
  <c r="I52" i="39" s="1"/>
  <c r="J52" i="39" s="1"/>
  <c r="I53" i="25" s="1"/>
  <c r="G53" i="12"/>
  <c r="H53" i="12" s="1"/>
  <c r="I53" i="12" s="1"/>
  <c r="J54" i="25" s="1"/>
  <c r="G35" i="39"/>
  <c r="H35" i="39" s="1"/>
  <c r="I35" i="39" s="1"/>
  <c r="J35" i="39" s="1"/>
  <c r="I36" i="25" s="1"/>
  <c r="G229" i="39"/>
  <c r="H229" i="39" s="1"/>
  <c r="I229" i="39" s="1"/>
  <c r="J229" i="39" s="1"/>
  <c r="I230" i="25" s="1"/>
  <c r="G86" i="25"/>
  <c r="G263" i="25"/>
  <c r="G54" i="25"/>
  <c r="G165" i="39"/>
  <c r="H165" i="39" s="1"/>
  <c r="I165" i="39" s="1"/>
  <c r="J165" i="39" s="1"/>
  <c r="I166" i="25" s="1"/>
  <c r="G38" i="25"/>
  <c r="G102" i="12"/>
  <c r="H102" i="12" s="1"/>
  <c r="I102" i="12" s="1"/>
  <c r="J103" i="25" s="1"/>
  <c r="G150" i="25"/>
  <c r="G166" i="25"/>
  <c r="G21" i="39"/>
  <c r="H21" i="39" s="1"/>
  <c r="I21" i="39" s="1"/>
  <c r="J21" i="39" s="1"/>
  <c r="I22" i="25" s="1"/>
  <c r="G87" i="25"/>
  <c r="G167" i="25"/>
  <c r="G38" i="12"/>
  <c r="H38" i="12" s="1"/>
  <c r="I38" i="12" s="1"/>
  <c r="J39" i="25" s="1"/>
  <c r="G6" i="12"/>
  <c r="H6" i="12" s="1"/>
  <c r="I6" i="12" s="1"/>
  <c r="J7" i="25" s="1"/>
  <c r="G118" i="25"/>
  <c r="G22" i="25"/>
  <c r="G244" i="12"/>
  <c r="H244" i="12" s="1"/>
  <c r="I244" i="12" s="1"/>
  <c r="J245" i="25" s="1"/>
  <c r="G55" i="25"/>
  <c r="G119" i="25"/>
  <c r="G310" i="12"/>
  <c r="H310" i="12" s="1"/>
  <c r="I310" i="12" s="1"/>
  <c r="J311" i="25" s="1"/>
  <c r="G248" i="25"/>
  <c r="G215" i="25"/>
  <c r="G101" i="39"/>
  <c r="H101" i="39" s="1"/>
  <c r="I101" i="39" s="1"/>
  <c r="J101" i="39" s="1"/>
  <c r="I102" i="25" s="1"/>
  <c r="G293" i="12"/>
  <c r="H293" i="12" s="1"/>
  <c r="I293" i="12" s="1"/>
  <c r="J294" i="25" s="1"/>
  <c r="G151" i="12"/>
  <c r="H151" i="12" s="1"/>
  <c r="I151" i="12" s="1"/>
  <c r="J152" i="25" s="1"/>
  <c r="F41" i="48"/>
  <c r="E334" i="34"/>
  <c r="I334" i="34" s="1"/>
  <c r="E323" i="12" s="1"/>
  <c r="G323" i="12" s="1"/>
  <c r="J323" i="12" s="1"/>
  <c r="G13" i="25"/>
  <c r="G279" i="39"/>
  <c r="H279" i="39" s="1"/>
  <c r="I279" i="39" s="1"/>
  <c r="J279" i="39" s="1"/>
  <c r="I280" i="25" s="1"/>
  <c r="G72" i="12"/>
  <c r="H72" i="12" s="1"/>
  <c r="J72" i="12" s="1"/>
  <c r="G232" i="39"/>
  <c r="H232" i="39" s="1"/>
  <c r="I232" i="39" s="1"/>
  <c r="J232" i="39" s="1"/>
  <c r="I233" i="25" s="1"/>
  <c r="G200" i="12"/>
  <c r="H200" i="12" s="1"/>
  <c r="I200" i="12" s="1"/>
  <c r="J201" i="25" s="1"/>
  <c r="G136" i="39"/>
  <c r="H136" i="39" s="1"/>
  <c r="I136" i="39" s="1"/>
  <c r="J136" i="39" s="1"/>
  <c r="I137" i="25" s="1"/>
  <c r="G201" i="25"/>
  <c r="G312" i="25"/>
  <c r="G120" i="25"/>
  <c r="G215" i="12"/>
  <c r="H215" i="12" s="1"/>
  <c r="I215" i="12" s="1"/>
  <c r="J216" i="25" s="1"/>
  <c r="G184" i="25"/>
  <c r="G92" i="25"/>
  <c r="G297" i="25"/>
  <c r="G299" i="39"/>
  <c r="H299" i="39" s="1"/>
  <c r="I299" i="39" s="1"/>
  <c r="J299" i="39" s="1"/>
  <c r="I300" i="25" s="1"/>
  <c r="G277" i="25"/>
  <c r="G300" i="25"/>
  <c r="G171" i="12"/>
  <c r="H171" i="12" s="1"/>
  <c r="I171" i="12" s="1"/>
  <c r="J172" i="25" s="1"/>
  <c r="G276" i="25"/>
  <c r="G156" i="25"/>
  <c r="G147" i="12"/>
  <c r="H147" i="12" s="1"/>
  <c r="I147" i="12" s="1"/>
  <c r="J148" i="25" s="1"/>
  <c r="G147" i="39"/>
  <c r="H147" i="39" s="1"/>
  <c r="I147" i="39" s="1"/>
  <c r="J147" i="39" s="1"/>
  <c r="I148" i="25" s="1"/>
  <c r="G285" i="25"/>
  <c r="G196" i="25"/>
  <c r="G59" i="39"/>
  <c r="H59" i="39" s="1"/>
  <c r="I59" i="39" s="1"/>
  <c r="J59" i="39" s="1"/>
  <c r="I60" i="25" s="1"/>
  <c r="G59" i="12"/>
  <c r="H59" i="12" s="1"/>
  <c r="I59" i="12" s="1"/>
  <c r="J60" i="25" s="1"/>
  <c r="G265" i="25"/>
  <c r="G168" i="12"/>
  <c r="H168" i="12" s="1"/>
  <c r="I168" i="12" s="1"/>
  <c r="J169" i="25" s="1"/>
  <c r="G169" i="25"/>
  <c r="G104" i="39"/>
  <c r="H104" i="39" s="1"/>
  <c r="I104" i="39" s="1"/>
  <c r="J104" i="39" s="1"/>
  <c r="I105" i="25" s="1"/>
  <c r="G40" i="39"/>
  <c r="H40" i="39" s="1"/>
  <c r="I40" i="39" s="1"/>
  <c r="J40" i="39" s="1"/>
  <c r="I41" i="25" s="1"/>
  <c r="G41" i="25"/>
  <c r="G88" i="25"/>
  <c r="G87" i="39"/>
  <c r="H87" i="39" s="1"/>
  <c r="I87" i="39" s="1"/>
  <c r="J87" i="39" s="1"/>
  <c r="I88" i="25" s="1"/>
  <c r="G212" i="39"/>
  <c r="H212" i="39" s="1"/>
  <c r="I212" i="39" s="1"/>
  <c r="J212" i="39" s="1"/>
  <c r="I213" i="25" s="1"/>
  <c r="G180" i="39"/>
  <c r="H180" i="39" s="1"/>
  <c r="I180" i="39" s="1"/>
  <c r="J180" i="39" s="1"/>
  <c r="I181" i="25" s="1"/>
  <c r="G116" i="12"/>
  <c r="H116" i="12" s="1"/>
  <c r="I116" i="12" s="1"/>
  <c r="J117" i="25" s="1"/>
  <c r="G116" i="39"/>
  <c r="H116" i="39" s="1"/>
  <c r="I116" i="39" s="1"/>
  <c r="J116" i="39" s="1"/>
  <c r="I117" i="25" s="1"/>
  <c r="G85" i="25"/>
  <c r="G84" i="12"/>
  <c r="H84" i="12" s="1"/>
  <c r="I84" i="12" s="1"/>
  <c r="J85" i="25" s="1"/>
  <c r="G262" i="25"/>
  <c r="G261" i="39"/>
  <c r="H261" i="39" s="1"/>
  <c r="I261" i="39" s="1"/>
  <c r="J261" i="39" s="1"/>
  <c r="I262" i="25" s="1"/>
  <c r="G246" i="25"/>
  <c r="G214" i="25"/>
  <c r="G198" i="25"/>
  <c r="G70" i="25"/>
  <c r="G69" i="12"/>
  <c r="H69" i="12" s="1"/>
  <c r="I69" i="12" s="1"/>
  <c r="J70" i="25" s="1"/>
  <c r="G40" i="25"/>
  <c r="G295" i="25"/>
  <c r="G279" i="25"/>
  <c r="G278" i="12"/>
  <c r="H278" i="12" s="1"/>
  <c r="I278" i="12" s="1"/>
  <c r="J279" i="25" s="1"/>
  <c r="G247" i="25"/>
  <c r="G230" i="39"/>
  <c r="H230" i="39" s="1"/>
  <c r="I230" i="39" s="1"/>
  <c r="J230" i="39" s="1"/>
  <c r="I231" i="25" s="1"/>
  <c r="G231" i="25"/>
  <c r="G199" i="25"/>
  <c r="G183" i="25"/>
  <c r="G150" i="39"/>
  <c r="H150" i="39" s="1"/>
  <c r="I150" i="39" s="1"/>
  <c r="J150" i="39" s="1"/>
  <c r="I151" i="25" s="1"/>
  <c r="G151" i="25"/>
  <c r="G135" i="25"/>
  <c r="G134" i="39"/>
  <c r="H134" i="39" s="1"/>
  <c r="I134" i="39" s="1"/>
  <c r="J134" i="39" s="1"/>
  <c r="I135" i="25" s="1"/>
  <c r="G148" i="12"/>
  <c r="H148" i="12" s="1"/>
  <c r="I148" i="12" s="1"/>
  <c r="J149" i="25" s="1"/>
  <c r="G39" i="25"/>
  <c r="G232" i="12"/>
  <c r="H232" i="12" s="1"/>
  <c r="I232" i="12" s="1"/>
  <c r="J233" i="25" s="1"/>
  <c r="G311" i="12"/>
  <c r="H311" i="12" s="1"/>
  <c r="I311" i="12" s="1"/>
  <c r="J312" i="25" s="1"/>
  <c r="G171" i="39"/>
  <c r="H171" i="39" s="1"/>
  <c r="I171" i="39" s="1"/>
  <c r="J171" i="39" s="1"/>
  <c r="I172" i="25" s="1"/>
  <c r="G181" i="39"/>
  <c r="H181" i="39" s="1"/>
  <c r="I181" i="39" s="1"/>
  <c r="J181" i="39" s="1"/>
  <c r="I182" i="25" s="1"/>
  <c r="G119" i="39"/>
  <c r="H119" i="39" s="1"/>
  <c r="I119" i="39" s="1"/>
  <c r="J119" i="39" s="1"/>
  <c r="I120" i="25" s="1"/>
  <c r="G55" i="12"/>
  <c r="H55" i="12" s="1"/>
  <c r="I55" i="12" s="1"/>
  <c r="J56" i="25" s="1"/>
  <c r="G230" i="25"/>
  <c r="G37" i="39"/>
  <c r="H37" i="39" s="1"/>
  <c r="I37" i="39" s="1"/>
  <c r="J37" i="39" s="1"/>
  <c r="I38" i="25" s="1"/>
  <c r="G91" i="39"/>
  <c r="H91" i="39" s="1"/>
  <c r="I91" i="39" s="1"/>
  <c r="J91" i="39" s="1"/>
  <c r="I92" i="25" s="1"/>
  <c r="G7" i="12"/>
  <c r="H7" i="12" s="1"/>
  <c r="I7" i="12" s="1"/>
  <c r="J8" i="25" s="1"/>
  <c r="G215" i="39"/>
  <c r="H215" i="39" s="1"/>
  <c r="I215" i="39" s="1"/>
  <c r="J215" i="39" s="1"/>
  <c r="I216" i="25" s="1"/>
  <c r="G264" i="39"/>
  <c r="H264" i="39" s="1"/>
  <c r="I264" i="39" s="1"/>
  <c r="J264" i="39" s="1"/>
  <c r="I265" i="25" s="1"/>
  <c r="G245" i="25"/>
  <c r="G136" i="12"/>
  <c r="H136" i="12" s="1"/>
  <c r="I136" i="12" s="1"/>
  <c r="J137" i="25" s="1"/>
  <c r="G195" i="39"/>
  <c r="H195" i="39" s="1"/>
  <c r="I195" i="39" s="1"/>
  <c r="J195" i="39" s="1"/>
  <c r="I196" i="25" s="1"/>
  <c r="G134" i="25"/>
  <c r="G54" i="39"/>
  <c r="H54" i="39" s="1"/>
  <c r="I54" i="39" s="1"/>
  <c r="J54" i="39" s="1"/>
  <c r="I55" i="25" s="1"/>
  <c r="G261" i="12"/>
  <c r="H261" i="12" s="1"/>
  <c r="G309" i="39"/>
  <c r="H309" i="39" s="1"/>
  <c r="I309" i="39" s="1"/>
  <c r="J309" i="39" s="1"/>
  <c r="I310" i="25" s="1"/>
  <c r="G277" i="39"/>
  <c r="H277" i="39" s="1"/>
  <c r="I277" i="39" s="1"/>
  <c r="J277" i="39" s="1"/>
  <c r="I278" i="25" s="1"/>
  <c r="G197" i="39"/>
  <c r="H197" i="39" s="1"/>
  <c r="I197" i="39" s="1"/>
  <c r="J197" i="39" s="1"/>
  <c r="I198" i="25" s="1"/>
  <c r="G118" i="39"/>
  <c r="H118" i="39" s="1"/>
  <c r="I118" i="39" s="1"/>
  <c r="J118" i="39" s="1"/>
  <c r="I119" i="25" s="1"/>
  <c r="G294" i="25"/>
  <c r="G39" i="39"/>
  <c r="H39" i="39" s="1"/>
  <c r="I39" i="39" s="1"/>
  <c r="J39" i="39" s="1"/>
  <c r="I40" i="25" s="1"/>
  <c r="G296" i="39"/>
  <c r="H296" i="39" s="1"/>
  <c r="I296" i="39" s="1"/>
  <c r="J296" i="39" s="1"/>
  <c r="I297" i="25" s="1"/>
  <c r="G85" i="39"/>
  <c r="H85" i="39" s="1"/>
  <c r="I85" i="39" s="1"/>
  <c r="J85" i="39" s="1"/>
  <c r="I86" i="25" s="1"/>
  <c r="G245" i="39"/>
  <c r="H245" i="39" s="1"/>
  <c r="I245" i="39" s="1"/>
  <c r="J245" i="39" s="1"/>
  <c r="I246" i="25" s="1"/>
  <c r="G311" i="25"/>
  <c r="G84" i="39"/>
  <c r="H84" i="39" s="1"/>
  <c r="I84" i="39" s="1"/>
  <c r="J84" i="39" s="1"/>
  <c r="I85" i="25" s="1"/>
  <c r="G275" i="39"/>
  <c r="H275" i="39" s="1"/>
  <c r="I275" i="39" s="1"/>
  <c r="J275" i="39" s="1"/>
  <c r="I276" i="25" s="1"/>
  <c r="G86" i="12"/>
  <c r="H86" i="12" s="1"/>
  <c r="I86" i="12" s="1"/>
  <c r="J87" i="25" s="1"/>
  <c r="G134" i="12"/>
  <c r="H134" i="12" s="1"/>
  <c r="I134" i="12" s="1"/>
  <c r="J135" i="25" s="1"/>
  <c r="G294" i="39"/>
  <c r="H294" i="39" s="1"/>
  <c r="I294" i="39" s="1"/>
  <c r="J294" i="39" s="1"/>
  <c r="I295" i="25" s="1"/>
  <c r="G151" i="39"/>
  <c r="H151" i="39" s="1"/>
  <c r="I151" i="39" s="1"/>
  <c r="J151" i="39" s="1"/>
  <c r="I152" i="25" s="1"/>
  <c r="G53" i="25"/>
  <c r="G198" i="39"/>
  <c r="H198" i="39" s="1"/>
  <c r="I198" i="39" s="1"/>
  <c r="J198" i="39" s="1"/>
  <c r="I199" i="25" s="1"/>
  <c r="G214" i="12"/>
  <c r="H214" i="12" s="1"/>
  <c r="I214" i="12" s="1"/>
  <c r="J215" i="25" s="1"/>
  <c r="G262" i="39"/>
  <c r="H262" i="39" s="1"/>
  <c r="I262" i="39" s="1"/>
  <c r="J262" i="39" s="1"/>
  <c r="I263" i="25" s="1"/>
  <c r="G150" i="12"/>
  <c r="H150" i="12" s="1"/>
  <c r="I150" i="12" s="1"/>
  <c r="J151" i="25" s="1"/>
  <c r="G101" i="12"/>
  <c r="H101" i="12" s="1"/>
  <c r="I101" i="12" s="1"/>
  <c r="J102" i="25" s="1"/>
  <c r="G105" i="25"/>
  <c r="G73" i="25"/>
  <c r="G23" i="25"/>
  <c r="G60" i="25"/>
  <c r="I16" i="34"/>
  <c r="E5" i="39" s="1"/>
  <c r="G70" i="39"/>
  <c r="H70" i="39" s="1"/>
  <c r="I70" i="39" s="1"/>
  <c r="J70" i="39" s="1"/>
  <c r="I71" i="25" s="1"/>
  <c r="G159" i="39"/>
  <c r="H159" i="39" s="1"/>
  <c r="I159" i="39" s="1"/>
  <c r="J159" i="39" s="1"/>
  <c r="I160" i="25" s="1"/>
  <c r="G99" i="25"/>
  <c r="G112" i="25"/>
  <c r="G114" i="39"/>
  <c r="H114" i="39" s="1"/>
  <c r="I114" i="39" s="1"/>
  <c r="J114" i="39" s="1"/>
  <c r="I115" i="25" s="1"/>
  <c r="G242" i="39"/>
  <c r="H242" i="39" s="1"/>
  <c r="I242" i="39" s="1"/>
  <c r="J242" i="39" s="1"/>
  <c r="I243" i="25" s="1"/>
  <c r="G123" i="25"/>
  <c r="G187" i="25"/>
  <c r="G188" i="39"/>
  <c r="H188" i="39" s="1"/>
  <c r="I188" i="39" s="1"/>
  <c r="J188" i="39" s="1"/>
  <c r="I189" i="25" s="1"/>
  <c r="G179" i="25"/>
  <c r="G239" i="39"/>
  <c r="H239" i="39" s="1"/>
  <c r="I239" i="39" s="1"/>
  <c r="J239" i="39" s="1"/>
  <c r="I240" i="25" s="1"/>
  <c r="G236" i="39"/>
  <c r="H236" i="39" s="1"/>
  <c r="I236" i="39" s="1"/>
  <c r="J236" i="39" s="1"/>
  <c r="I237" i="25" s="1"/>
  <c r="G27" i="39"/>
  <c r="H27" i="39" s="1"/>
  <c r="I27" i="39" s="1"/>
  <c r="J27" i="39" s="1"/>
  <c r="I28" i="25" s="1"/>
  <c r="G17" i="39"/>
  <c r="H17" i="39" s="1"/>
  <c r="I17" i="39" s="1"/>
  <c r="J17" i="39" s="1"/>
  <c r="I18" i="25" s="1"/>
  <c r="G271" i="12"/>
  <c r="H271" i="12" s="1"/>
  <c r="I271" i="12" s="1"/>
  <c r="J272" i="25" s="1"/>
  <c r="G97" i="39"/>
  <c r="H97" i="39" s="1"/>
  <c r="I97" i="39" s="1"/>
  <c r="J97" i="39" s="1"/>
  <c r="I98" i="25" s="1"/>
  <c r="G51" i="39"/>
  <c r="H51" i="39" s="1"/>
  <c r="I51" i="39" s="1"/>
  <c r="J51" i="39" s="1"/>
  <c r="I52" i="25" s="1"/>
  <c r="G44" i="39"/>
  <c r="H44" i="39" s="1"/>
  <c r="I44" i="39" s="1"/>
  <c r="J44" i="39" s="1"/>
  <c r="I45" i="25" s="1"/>
  <c r="G177" i="39"/>
  <c r="H177" i="39" s="1"/>
  <c r="I177" i="39" s="1"/>
  <c r="J177" i="39" s="1"/>
  <c r="I178" i="25" s="1"/>
  <c r="G128" i="12"/>
  <c r="H128" i="12" s="1"/>
  <c r="I128" i="12" s="1"/>
  <c r="J129" i="25" s="1"/>
  <c r="G226" i="25"/>
  <c r="G210" i="39"/>
  <c r="H210" i="39" s="1"/>
  <c r="I210" i="39" s="1"/>
  <c r="J210" i="39" s="1"/>
  <c r="I211" i="25" s="1"/>
  <c r="G139" i="39"/>
  <c r="H139" i="39" s="1"/>
  <c r="I139" i="39" s="1"/>
  <c r="J139" i="39" s="1"/>
  <c r="I140" i="25" s="1"/>
  <c r="G323" i="25"/>
  <c r="G244" i="25"/>
  <c r="G290" i="25"/>
  <c r="G316" i="25"/>
  <c r="G234" i="25"/>
  <c r="G153" i="39"/>
  <c r="H153" i="39" s="1"/>
  <c r="I153" i="39" s="1"/>
  <c r="J153" i="39" s="1"/>
  <c r="I154" i="25" s="1"/>
  <c r="G186" i="25"/>
  <c r="G170" i="39"/>
  <c r="H170" i="39" s="1"/>
  <c r="I170" i="39" s="1"/>
  <c r="J170" i="39" s="1"/>
  <c r="I171" i="25" s="1"/>
  <c r="G170" i="25"/>
  <c r="G216" i="39"/>
  <c r="H216" i="39" s="1"/>
  <c r="I216" i="39" s="1"/>
  <c r="J216" i="39" s="1"/>
  <c r="I217" i="25" s="1"/>
  <c r="G273" i="25"/>
  <c r="G222" i="12"/>
  <c r="H222" i="12" s="1"/>
  <c r="I222" i="12" s="1"/>
  <c r="J223" i="25" s="1"/>
  <c r="G128" i="25"/>
  <c r="G283" i="25"/>
  <c r="G43" i="25"/>
  <c r="G143" i="12"/>
  <c r="H143" i="12" s="1"/>
  <c r="I143" i="12" s="1"/>
  <c r="J144" i="25" s="1"/>
  <c r="G60" i="12"/>
  <c r="H60" i="12" s="1"/>
  <c r="I60" i="12" s="1"/>
  <c r="J61" i="25" s="1"/>
  <c r="G282" i="25"/>
  <c r="G123" i="39"/>
  <c r="H123" i="39" s="1"/>
  <c r="I123" i="39" s="1"/>
  <c r="J123" i="39" s="1"/>
  <c r="I124" i="25" s="1"/>
  <c r="G124" i="25"/>
  <c r="G321" i="25"/>
  <c r="G320" i="39"/>
  <c r="H320" i="39" s="1"/>
  <c r="I320" i="39" s="1"/>
  <c r="J320" i="39" s="1"/>
  <c r="I321" i="25" s="1"/>
  <c r="G161" i="25"/>
  <c r="G160" i="39"/>
  <c r="H160" i="39" s="1"/>
  <c r="I160" i="39" s="1"/>
  <c r="J160" i="39" s="1"/>
  <c r="I161" i="25" s="1"/>
  <c r="G64" i="12"/>
  <c r="H64" i="12" s="1"/>
  <c r="I64" i="12" s="1"/>
  <c r="J65" i="25" s="1"/>
  <c r="G65" i="25"/>
  <c r="G257" i="12"/>
  <c r="H257" i="12" s="1"/>
  <c r="I257" i="12" s="1"/>
  <c r="J258" i="25" s="1"/>
  <c r="G258" i="25"/>
  <c r="G161" i="12"/>
  <c r="H161" i="12" s="1"/>
  <c r="I161" i="12" s="1"/>
  <c r="J162" i="25" s="1"/>
  <c r="G162" i="25"/>
  <c r="G146" i="25"/>
  <c r="G145" i="39"/>
  <c r="H145" i="39" s="1"/>
  <c r="I145" i="39" s="1"/>
  <c r="J145" i="39" s="1"/>
  <c r="I146" i="25" s="1"/>
  <c r="G81" i="39"/>
  <c r="H81" i="39" s="1"/>
  <c r="I81" i="39" s="1"/>
  <c r="J81" i="39" s="1"/>
  <c r="I82" i="25" s="1"/>
  <c r="G82" i="25"/>
  <c r="G31" i="39"/>
  <c r="H31" i="39" s="1"/>
  <c r="I31" i="39" s="1"/>
  <c r="J31" i="39" s="1"/>
  <c r="I32" i="25" s="1"/>
  <c r="G290" i="12"/>
  <c r="H290" i="12" s="1"/>
  <c r="I290" i="12" s="1"/>
  <c r="J291" i="25" s="1"/>
  <c r="G291" i="25"/>
  <c r="G194" i="12"/>
  <c r="H194" i="12" s="1"/>
  <c r="I194" i="12" s="1"/>
  <c r="J195" i="25" s="1"/>
  <c r="G195" i="25"/>
  <c r="G66" i="12"/>
  <c r="H66" i="12" s="1"/>
  <c r="I66" i="12" s="1"/>
  <c r="J67" i="25" s="1"/>
  <c r="G67" i="25"/>
  <c r="G35" i="25"/>
  <c r="G34" i="39"/>
  <c r="H34" i="39" s="1"/>
  <c r="I34" i="39" s="1"/>
  <c r="J34" i="39" s="1"/>
  <c r="I35" i="25" s="1"/>
  <c r="G129" i="25"/>
  <c r="G226" i="39"/>
  <c r="H226" i="39" s="1"/>
  <c r="I226" i="39" s="1"/>
  <c r="J226" i="39" s="1"/>
  <c r="I227" i="25" s="1"/>
  <c r="G288" i="39"/>
  <c r="H288" i="39" s="1"/>
  <c r="I288" i="39" s="1"/>
  <c r="J288" i="39" s="1"/>
  <c r="I289" i="25" s="1"/>
  <c r="G164" i="25"/>
  <c r="G147" i="25"/>
  <c r="G194" i="39"/>
  <c r="H194" i="39" s="1"/>
  <c r="I194" i="39" s="1"/>
  <c r="J194" i="39" s="1"/>
  <c r="I195" i="25" s="1"/>
  <c r="G243" i="39"/>
  <c r="H243" i="39" s="1"/>
  <c r="I243" i="39" s="1"/>
  <c r="J243" i="39" s="1"/>
  <c r="I244" i="25" s="1"/>
  <c r="G130" i="12"/>
  <c r="H130" i="12" s="1"/>
  <c r="I130" i="12" s="1"/>
  <c r="J131" i="25" s="1"/>
  <c r="G208" i="25"/>
  <c r="G289" i="39"/>
  <c r="H289" i="39" s="1"/>
  <c r="I289" i="39" s="1"/>
  <c r="J289" i="39" s="1"/>
  <c r="I290" i="25" s="1"/>
  <c r="G318" i="12"/>
  <c r="H318" i="12" s="1"/>
  <c r="I318" i="12" s="1"/>
  <c r="J319" i="25" s="1"/>
  <c r="G319" i="25"/>
  <c r="G306" i="25"/>
  <c r="G83" i="39"/>
  <c r="H83" i="39" s="1"/>
  <c r="I83" i="39" s="1"/>
  <c r="J83" i="39" s="1"/>
  <c r="I84" i="25" s="1"/>
  <c r="G268" i="25"/>
  <c r="G77" i="25"/>
  <c r="G50" i="39"/>
  <c r="H50" i="39" s="1"/>
  <c r="I50" i="39" s="1"/>
  <c r="J50" i="39" s="1"/>
  <c r="I51" i="25" s="1"/>
  <c r="G288" i="12"/>
  <c r="H288" i="12" s="1"/>
  <c r="I288" i="12" s="1"/>
  <c r="J289" i="25" s="1"/>
  <c r="G225" i="39"/>
  <c r="H225" i="39" s="1"/>
  <c r="I225" i="39" s="1"/>
  <c r="J225" i="39" s="1"/>
  <c r="I226" i="25" s="1"/>
  <c r="G163" i="39"/>
  <c r="H163" i="39" s="1"/>
  <c r="I163" i="39" s="1"/>
  <c r="J163" i="39" s="1"/>
  <c r="I164" i="25" s="1"/>
  <c r="G116" i="25"/>
  <c r="G146" i="39"/>
  <c r="H146" i="39" s="1"/>
  <c r="I146" i="39" s="1"/>
  <c r="J146" i="39" s="1"/>
  <c r="I147" i="25" s="1"/>
  <c r="G225" i="25"/>
  <c r="G34" i="25"/>
  <c r="G193" i="39"/>
  <c r="H193" i="39" s="1"/>
  <c r="I193" i="39" s="1"/>
  <c r="J193" i="39" s="1"/>
  <c r="I194" i="25" s="1"/>
  <c r="G205" i="25"/>
  <c r="G62" i="39"/>
  <c r="H62" i="39" s="1"/>
  <c r="I62" i="39" s="1"/>
  <c r="J62" i="39" s="1"/>
  <c r="I63" i="25" s="1"/>
  <c r="G161" i="39"/>
  <c r="H161" i="39" s="1"/>
  <c r="I161" i="39" s="1"/>
  <c r="J161" i="39" s="1"/>
  <c r="I162" i="25" s="1"/>
  <c r="G210" i="25"/>
  <c r="G242" i="25"/>
  <c r="G290" i="39"/>
  <c r="H290" i="39" s="1"/>
  <c r="I290" i="39" s="1"/>
  <c r="J290" i="39" s="1"/>
  <c r="I291" i="25" s="1"/>
  <c r="G131" i="25"/>
  <c r="G79" i="39"/>
  <c r="H79" i="39" s="1"/>
  <c r="I79" i="39" s="1"/>
  <c r="J79" i="39" s="1"/>
  <c r="I80" i="25" s="1"/>
  <c r="G251" i="12"/>
  <c r="H251" i="12" s="1"/>
  <c r="I251" i="12" s="1"/>
  <c r="J252" i="25" s="1"/>
  <c r="G307" i="25"/>
  <c r="G239" i="25"/>
  <c r="G129" i="39"/>
  <c r="H129" i="39" s="1"/>
  <c r="I129" i="39" s="1"/>
  <c r="J129" i="39" s="1"/>
  <c r="I130" i="25" s="1"/>
  <c r="G173" i="25"/>
  <c r="G283" i="12"/>
  <c r="H283" i="12" s="1"/>
  <c r="I283" i="12" s="1"/>
  <c r="J284" i="25" s="1"/>
  <c r="G284" i="25"/>
  <c r="G256" i="39"/>
  <c r="H256" i="39" s="1"/>
  <c r="I256" i="39" s="1"/>
  <c r="J256" i="39" s="1"/>
  <c r="I257" i="25" s="1"/>
  <c r="G257" i="25"/>
  <c r="G96" i="39"/>
  <c r="H96" i="39" s="1"/>
  <c r="I96" i="39" s="1"/>
  <c r="J96" i="39" s="1"/>
  <c r="I97" i="25" s="1"/>
  <c r="G24" i="39"/>
  <c r="H24" i="39" s="1"/>
  <c r="I24" i="39" s="1"/>
  <c r="J24" i="39" s="1"/>
  <c r="I25" i="25" s="1"/>
  <c r="G25" i="25"/>
  <c r="G304" i="25"/>
  <c r="G175" i="12"/>
  <c r="H175" i="12" s="1"/>
  <c r="I175" i="12" s="1"/>
  <c r="J176" i="25" s="1"/>
  <c r="G175" i="39"/>
  <c r="H175" i="39" s="1"/>
  <c r="I175" i="39" s="1"/>
  <c r="J175" i="39" s="1"/>
  <c r="I176" i="25" s="1"/>
  <c r="G47" i="12"/>
  <c r="H47" i="12" s="1"/>
  <c r="I47" i="12" s="1"/>
  <c r="J48" i="25" s="1"/>
  <c r="G47" i="39"/>
  <c r="H47" i="39" s="1"/>
  <c r="I47" i="39" s="1"/>
  <c r="J47" i="39" s="1"/>
  <c r="I48" i="25" s="1"/>
  <c r="G269" i="25"/>
  <c r="G140" i="39"/>
  <c r="H140" i="39" s="1"/>
  <c r="I140" i="39" s="1"/>
  <c r="J140" i="39" s="1"/>
  <c r="I141" i="25" s="1"/>
  <c r="G141" i="25"/>
  <c r="G108" i="39"/>
  <c r="H108" i="39" s="1"/>
  <c r="I108" i="39" s="1"/>
  <c r="J108" i="39" s="1"/>
  <c r="I109" i="25" s="1"/>
  <c r="G113" i="39"/>
  <c r="H113" i="39" s="1"/>
  <c r="I113" i="39" s="1"/>
  <c r="J113" i="39" s="1"/>
  <c r="I114" i="25" s="1"/>
  <c r="G65" i="39"/>
  <c r="H65" i="39" s="1"/>
  <c r="I65" i="39" s="1"/>
  <c r="J65" i="39" s="1"/>
  <c r="I66" i="25" s="1"/>
  <c r="G66" i="25"/>
  <c r="G83" i="25"/>
  <c r="G273" i="39"/>
  <c r="H273" i="39" s="1"/>
  <c r="I273" i="39" s="1"/>
  <c r="J273" i="39" s="1"/>
  <c r="I274" i="25" s="1"/>
  <c r="G49" i="39"/>
  <c r="H49" i="39" s="1"/>
  <c r="I49" i="39" s="1"/>
  <c r="J49" i="39" s="1"/>
  <c r="I50" i="25" s="1"/>
  <c r="G83" i="12"/>
  <c r="H83" i="12" s="1"/>
  <c r="I83" i="12" s="1"/>
  <c r="J84" i="25" s="1"/>
  <c r="G51" i="25"/>
  <c r="G272" i="25"/>
  <c r="G274" i="39"/>
  <c r="H274" i="39" s="1"/>
  <c r="I274" i="39" s="1"/>
  <c r="J274" i="39" s="1"/>
  <c r="I275" i="25" s="1"/>
  <c r="G52" i="25"/>
  <c r="G66" i="39"/>
  <c r="H66" i="39" s="1"/>
  <c r="I66" i="39" s="1"/>
  <c r="J66" i="39" s="1"/>
  <c r="I67" i="25" s="1"/>
  <c r="G34" i="12"/>
  <c r="H34" i="12" s="1"/>
  <c r="I34" i="12" s="1"/>
  <c r="J35" i="25" s="1"/>
  <c r="G259" i="25"/>
  <c r="G114" i="25"/>
  <c r="G306" i="39"/>
  <c r="H306" i="39" s="1"/>
  <c r="I306" i="39" s="1"/>
  <c r="J306" i="39" s="1"/>
  <c r="I307" i="25" s="1"/>
  <c r="G64" i="39"/>
  <c r="H64" i="39" s="1"/>
  <c r="I64" i="39" s="1"/>
  <c r="J64" i="39" s="1"/>
  <c r="I65" i="25" s="1"/>
  <c r="G123" i="12"/>
  <c r="H123" i="12" s="1"/>
  <c r="I123" i="12" s="1"/>
  <c r="J124" i="25" s="1"/>
  <c r="G18" i="25"/>
  <c r="G283" i="39"/>
  <c r="H283" i="39" s="1"/>
  <c r="I283" i="39" s="1"/>
  <c r="J283" i="39" s="1"/>
  <c r="I284" i="25" s="1"/>
  <c r="G178" i="25"/>
  <c r="G115" i="25"/>
  <c r="G115" i="12"/>
  <c r="H115" i="12" s="1"/>
  <c r="I115" i="12" s="1"/>
  <c r="J116" i="25" s="1"/>
  <c r="G224" i="39"/>
  <c r="H224" i="39" s="1"/>
  <c r="I224" i="39" s="1"/>
  <c r="J224" i="39" s="1"/>
  <c r="I225" i="25" s="1"/>
  <c r="G194" i="25"/>
  <c r="G204" i="12"/>
  <c r="H204" i="12" s="1"/>
  <c r="I204" i="12" s="1"/>
  <c r="J205" i="25" s="1"/>
  <c r="G81" i="12"/>
  <c r="H81" i="12" s="1"/>
  <c r="I81" i="12" s="1"/>
  <c r="J82" i="25" s="1"/>
  <c r="G209" i="39"/>
  <c r="H209" i="39" s="1"/>
  <c r="I209" i="39" s="1"/>
  <c r="J209" i="39" s="1"/>
  <c r="I210" i="25" s="1"/>
  <c r="G192" i="39"/>
  <c r="H192" i="39" s="1"/>
  <c r="I192" i="39" s="1"/>
  <c r="J192" i="39" s="1"/>
  <c r="I193" i="25" s="1"/>
  <c r="G241" i="39"/>
  <c r="H241" i="39" s="1"/>
  <c r="I241" i="39" s="1"/>
  <c r="J241" i="39" s="1"/>
  <c r="I242" i="25" s="1"/>
  <c r="G322" i="25"/>
  <c r="G144" i="25"/>
  <c r="G236" i="12"/>
  <c r="H236" i="12" s="1"/>
  <c r="I236" i="12" s="1"/>
  <c r="J237" i="25" s="1"/>
  <c r="G140" i="12"/>
  <c r="H140" i="12" s="1"/>
  <c r="I140" i="12" s="1"/>
  <c r="J141" i="25" s="1"/>
  <c r="G320" i="12"/>
  <c r="H320" i="12" s="1"/>
  <c r="I320" i="12" s="1"/>
  <c r="J321" i="25" s="1"/>
  <c r="G28" i="25"/>
  <c r="G65" i="12"/>
  <c r="H65" i="12" s="1"/>
  <c r="I65" i="12" s="1"/>
  <c r="J66" i="25" s="1"/>
  <c r="G19" i="25"/>
  <c r="G252" i="25"/>
  <c r="G163" i="25"/>
  <c r="G176" i="25"/>
  <c r="G97" i="25"/>
  <c r="G130" i="25"/>
  <c r="G172" i="39"/>
  <c r="H172" i="39" s="1"/>
  <c r="I172" i="39" s="1"/>
  <c r="J172" i="39" s="1"/>
  <c r="I173" i="25" s="1"/>
  <c r="G64" i="25"/>
  <c r="G184" i="12"/>
  <c r="H184" i="12" s="1"/>
  <c r="I184" i="12" s="1"/>
  <c r="J185" i="25" s="1"/>
  <c r="G293" i="25"/>
  <c r="G131" i="39"/>
  <c r="H131" i="39" s="1"/>
  <c r="I131" i="39" s="1"/>
  <c r="J131" i="39" s="1"/>
  <c r="I132" i="25" s="1"/>
  <c r="G318" i="25"/>
  <c r="G125" i="25"/>
  <c r="G10" i="39"/>
  <c r="H10" i="39" s="1"/>
  <c r="I10" i="39" s="1"/>
  <c r="J10" i="39" s="1"/>
  <c r="I11" i="25" s="1"/>
  <c r="G80" i="39"/>
  <c r="H80" i="39" s="1"/>
  <c r="I80" i="39" s="1"/>
  <c r="J80" i="39" s="1"/>
  <c r="I81" i="25" s="1"/>
  <c r="G202" i="39"/>
  <c r="H202" i="39" s="1"/>
  <c r="I202" i="39" s="1"/>
  <c r="J202" i="39" s="1"/>
  <c r="I203" i="25" s="1"/>
  <c r="G28" i="39"/>
  <c r="H28" i="39" s="1"/>
  <c r="I28" i="39" s="1"/>
  <c r="J28" i="39" s="1"/>
  <c r="I29" i="25" s="1"/>
  <c r="G250" i="25"/>
  <c r="G261" i="25"/>
  <c r="G187" i="12"/>
  <c r="H187" i="12" s="1"/>
  <c r="I187" i="12" s="1"/>
  <c r="J188" i="25" s="1"/>
  <c r="G235" i="25"/>
  <c r="G89" i="39"/>
  <c r="H89" i="39" s="1"/>
  <c r="I89" i="39" s="1"/>
  <c r="J89" i="39" s="1"/>
  <c r="I90" i="25" s="1"/>
  <c r="G300" i="39"/>
  <c r="H300" i="39" s="1"/>
  <c r="I300" i="39" s="1"/>
  <c r="J300" i="39" s="1"/>
  <c r="I301" i="25" s="1"/>
  <c r="G68" i="39"/>
  <c r="H68" i="39" s="1"/>
  <c r="I68" i="39" s="1"/>
  <c r="J68" i="39" s="1"/>
  <c r="I69" i="25" s="1"/>
  <c r="G179" i="39"/>
  <c r="H179" i="39" s="1"/>
  <c r="I179" i="39" s="1"/>
  <c r="J179" i="39" s="1"/>
  <c r="I180" i="25" s="1"/>
  <c r="G217" i="39"/>
  <c r="H217" i="39" s="1"/>
  <c r="I217" i="39" s="1"/>
  <c r="J217" i="39" s="1"/>
  <c r="I218" i="25" s="1"/>
  <c r="G43" i="12"/>
  <c r="H43" i="12" s="1"/>
  <c r="I43" i="12" s="1"/>
  <c r="J44" i="25" s="1"/>
  <c r="G49" i="25"/>
  <c r="G240" i="39"/>
  <c r="H240" i="39" s="1"/>
  <c r="I240" i="39" s="1"/>
  <c r="J240" i="39" s="1"/>
  <c r="I241" i="25" s="1"/>
  <c r="G17" i="25"/>
  <c r="G16" i="25"/>
  <c r="G276" i="39"/>
  <c r="H276" i="39" s="1"/>
  <c r="I276" i="39" s="1"/>
  <c r="J276" i="39" s="1"/>
  <c r="I277" i="25" s="1"/>
  <c r="G228" i="39"/>
  <c r="H228" i="39" s="1"/>
  <c r="I228" i="39" s="1"/>
  <c r="J228" i="39" s="1"/>
  <c r="I229" i="25" s="1"/>
  <c r="G93" i="39"/>
  <c r="H93" i="39" s="1"/>
  <c r="I93" i="39" s="1"/>
  <c r="J93" i="39" s="1"/>
  <c r="I94" i="25" s="1"/>
  <c r="G221" i="39"/>
  <c r="H221" i="39" s="1"/>
  <c r="I221" i="39" s="1"/>
  <c r="J221" i="39" s="1"/>
  <c r="I222" i="25" s="1"/>
  <c r="G221" i="25"/>
  <c r="G291" i="12"/>
  <c r="H291" i="12" s="1"/>
  <c r="I291" i="12" s="1"/>
  <c r="J292" i="25" s="1"/>
  <c r="G80" i="12"/>
  <c r="H80" i="12" s="1"/>
  <c r="I80" i="12" s="1"/>
  <c r="J81" i="25" s="1"/>
  <c r="G75" i="25"/>
  <c r="G154" i="39"/>
  <c r="H154" i="39" s="1"/>
  <c r="I154" i="39" s="1"/>
  <c r="J154" i="39" s="1"/>
  <c r="I155" i="25" s="1"/>
  <c r="G192" i="25"/>
  <c r="G317" i="25"/>
  <c r="G112" i="12"/>
  <c r="H112" i="12" s="1"/>
  <c r="I112" i="12" s="1"/>
  <c r="J113" i="25" s="1"/>
  <c r="G91" i="25"/>
  <c r="G267" i="25"/>
  <c r="G111" i="25"/>
  <c r="G41" i="39"/>
  <c r="H41" i="39" s="1"/>
  <c r="I41" i="39" s="1"/>
  <c r="J41" i="39" s="1"/>
  <c r="I42" i="25" s="1"/>
  <c r="G156" i="39"/>
  <c r="H156" i="39" s="1"/>
  <c r="I156" i="39" s="1"/>
  <c r="J156" i="39" s="1"/>
  <c r="I157" i="25" s="1"/>
  <c r="G137" i="39"/>
  <c r="H137" i="39" s="1"/>
  <c r="I137" i="39" s="1"/>
  <c r="J137" i="39" s="1"/>
  <c r="I138" i="25" s="1"/>
  <c r="G20" i="39"/>
  <c r="H20" i="39" s="1"/>
  <c r="I20" i="39" s="1"/>
  <c r="J20" i="39" s="1"/>
  <c r="I21" i="25" s="1"/>
  <c r="G15" i="12"/>
  <c r="H15" i="12" s="1"/>
  <c r="I15" i="12" s="1"/>
  <c r="J16" i="25" s="1"/>
  <c r="G301" i="12"/>
  <c r="G164" i="39"/>
  <c r="H164" i="39" s="1"/>
  <c r="I164" i="39" s="1"/>
  <c r="J164" i="39" s="1"/>
  <c r="I165" i="25" s="1"/>
  <c r="G296" i="25"/>
  <c r="G94" i="39"/>
  <c r="H94" i="39" s="1"/>
  <c r="I94" i="39" s="1"/>
  <c r="J94" i="39" s="1"/>
  <c r="I95" i="25" s="1"/>
  <c r="G159" i="25"/>
  <c r="G191" i="25"/>
  <c r="G313" i="39"/>
  <c r="H313" i="39" s="1"/>
  <c r="I313" i="39" s="1"/>
  <c r="J313" i="39" s="1"/>
  <c r="I314" i="25" s="1"/>
  <c r="G292" i="12"/>
  <c r="H292" i="12" s="1"/>
  <c r="I292" i="12" s="1"/>
  <c r="J293" i="25" s="1"/>
  <c r="G104" i="25"/>
  <c r="G238" i="25"/>
  <c r="G233" i="39"/>
  <c r="H233" i="39" s="1"/>
  <c r="I233" i="39" s="1"/>
  <c r="J233" i="39" s="1"/>
  <c r="I234" i="25" s="1"/>
  <c r="G236" i="25"/>
  <c r="G302" i="39"/>
  <c r="H302" i="39" s="1"/>
  <c r="I302" i="39" s="1"/>
  <c r="J302" i="39" s="1"/>
  <c r="I303" i="25" s="1"/>
  <c r="G282" i="39"/>
  <c r="H282" i="39" s="1"/>
  <c r="I282" i="39" s="1"/>
  <c r="J282" i="39" s="1"/>
  <c r="I283" i="25" s="1"/>
  <c r="G78" i="25"/>
  <c r="G220" i="12"/>
  <c r="H220" i="12" s="1"/>
  <c r="I220" i="12" s="1"/>
  <c r="J221" i="25" s="1"/>
  <c r="G58" i="25"/>
  <c r="G309" i="25"/>
  <c r="G62" i="25"/>
  <c r="G315" i="25"/>
  <c r="G135" i="39"/>
  <c r="H135" i="39" s="1"/>
  <c r="I135" i="39" s="1"/>
  <c r="J135" i="39" s="1"/>
  <c r="I136" i="25" s="1"/>
  <c r="G106" i="39"/>
  <c r="H106" i="39" s="1"/>
  <c r="I106" i="39" s="1"/>
  <c r="J106" i="39" s="1"/>
  <c r="I107" i="25" s="1"/>
  <c r="G174" i="25"/>
  <c r="G121" i="39"/>
  <c r="H121" i="39" s="1"/>
  <c r="I121" i="39" s="1"/>
  <c r="J121" i="39" s="1"/>
  <c r="I122" i="25" s="1"/>
  <c r="G249" i="12"/>
  <c r="H249" i="12" s="1"/>
  <c r="I249" i="12" s="1"/>
  <c r="J250" i="25" s="1"/>
  <c r="G154" i="12"/>
  <c r="H154" i="12" s="1"/>
  <c r="I154" i="12" s="1"/>
  <c r="J155" i="25" s="1"/>
  <c r="G121" i="25"/>
  <c r="G100" i="25"/>
  <c r="G191" i="39"/>
  <c r="H191" i="39" s="1"/>
  <c r="I191" i="39" s="1"/>
  <c r="J191" i="39" s="1"/>
  <c r="I192" i="25" s="1"/>
  <c r="G254" i="25"/>
  <c r="G142" i="12"/>
  <c r="H142" i="12" s="1"/>
  <c r="I142" i="12" s="1"/>
  <c r="J143" i="25" s="1"/>
  <c r="G139" i="25"/>
  <c r="G285" i="12"/>
  <c r="H285" i="12" s="1"/>
  <c r="I285" i="12" s="1"/>
  <c r="J286" i="25" s="1"/>
  <c r="G201" i="39"/>
  <c r="H201" i="39" s="1"/>
  <c r="I201" i="39" s="1"/>
  <c r="J201" i="39" s="1"/>
  <c r="I202" i="25" s="1"/>
  <c r="G298" i="39"/>
  <c r="H298" i="39" s="1"/>
  <c r="I298" i="39" s="1"/>
  <c r="J298" i="39" s="1"/>
  <c r="I299" i="25" s="1"/>
  <c r="G144" i="12"/>
  <c r="H144" i="12" s="1"/>
  <c r="I144" i="12" s="1"/>
  <c r="J145" i="25" s="1"/>
  <c r="G16" i="39"/>
  <c r="H16" i="39" s="1"/>
  <c r="I16" i="39" s="1"/>
  <c r="J16" i="39" s="1"/>
  <c r="I17" i="25" s="1"/>
  <c r="G223" i="39"/>
  <c r="H223" i="39" s="1"/>
  <c r="I223" i="39" s="1"/>
  <c r="J223" i="39" s="1"/>
  <c r="I224" i="25" s="1"/>
  <c r="G95" i="39"/>
  <c r="H95" i="39" s="1"/>
  <c r="I95" i="39" s="1"/>
  <c r="J95" i="39" s="1"/>
  <c r="I96" i="25" s="1"/>
  <c r="G92" i="39"/>
  <c r="H92" i="39" s="1"/>
  <c r="I92" i="39" s="1"/>
  <c r="J92" i="39" s="1"/>
  <c r="I93" i="25" s="1"/>
  <c r="G106" i="25"/>
  <c r="G138" i="25"/>
  <c r="G159" i="12"/>
  <c r="H159" i="12" s="1"/>
  <c r="I159" i="12" s="1"/>
  <c r="J160" i="25" s="1"/>
  <c r="G29" i="39"/>
  <c r="H29" i="39" s="1"/>
  <c r="I29" i="39" s="1"/>
  <c r="J29" i="39" s="1"/>
  <c r="I30" i="25" s="1"/>
  <c r="G208" i="39"/>
  <c r="H208" i="39" s="1"/>
  <c r="I208" i="39" s="1"/>
  <c r="J208" i="39" s="1"/>
  <c r="I209" i="25" s="1"/>
  <c r="G206" i="39"/>
  <c r="H206" i="39" s="1"/>
  <c r="I206" i="39" s="1"/>
  <c r="J206" i="39" s="1"/>
  <c r="I207" i="25" s="1"/>
  <c r="G56" i="39"/>
  <c r="H56" i="39" s="1"/>
  <c r="I56" i="39" s="1"/>
  <c r="J56" i="39" s="1"/>
  <c r="I57" i="25" s="1"/>
  <c r="G108" i="25"/>
  <c r="G270" i="12"/>
  <c r="H270" i="12" s="1"/>
  <c r="I270" i="12" s="1"/>
  <c r="J271" i="25" s="1"/>
  <c r="G14" i="25"/>
  <c r="G205" i="39"/>
  <c r="H205" i="39" s="1"/>
  <c r="I205" i="39" s="1"/>
  <c r="J205" i="39" s="1"/>
  <c r="I206" i="25" s="1"/>
  <c r="G250" i="12"/>
  <c r="H250" i="12" s="1"/>
  <c r="I250" i="12" s="1"/>
  <c r="J251" i="25" s="1"/>
  <c r="G315" i="39"/>
  <c r="H315" i="39" s="1"/>
  <c r="I315" i="39" s="1"/>
  <c r="J315" i="39" s="1"/>
  <c r="I316" i="25" s="1"/>
  <c r="G67" i="12"/>
  <c r="H67" i="12" s="1"/>
  <c r="I67" i="12" s="1"/>
  <c r="J68" i="25" s="1"/>
  <c r="G169" i="39"/>
  <c r="H169" i="39" s="1"/>
  <c r="I169" i="39" s="1"/>
  <c r="J169" i="39" s="1"/>
  <c r="I170" i="25" s="1"/>
  <c r="G307" i="39"/>
  <c r="H307" i="39" s="1"/>
  <c r="I307" i="39" s="1"/>
  <c r="J307" i="39" s="1"/>
  <c r="I308" i="25" s="1"/>
  <c r="G304" i="39"/>
  <c r="H304" i="39" s="1"/>
  <c r="I304" i="39" s="1"/>
  <c r="J304" i="39" s="1"/>
  <c r="I305" i="25" s="1"/>
  <c r="G109" i="12"/>
  <c r="H109" i="12" s="1"/>
  <c r="I109" i="12" s="1"/>
  <c r="J110" i="25" s="1"/>
  <c r="G73" i="39"/>
  <c r="H73" i="39" s="1"/>
  <c r="I73" i="39" s="1"/>
  <c r="J73" i="39" s="1"/>
  <c r="I74" i="25" s="1"/>
  <c r="G266" i="25"/>
  <c r="G27" i="25"/>
  <c r="G10" i="12"/>
  <c r="H10" i="12" s="1"/>
  <c r="I10" i="12" s="1"/>
  <c r="J11" i="25" s="1"/>
  <c r="G204" i="25"/>
  <c r="G45" i="39"/>
  <c r="H45" i="39" s="1"/>
  <c r="I45" i="39" s="1"/>
  <c r="J45" i="39" s="1"/>
  <c r="I46" i="25" s="1"/>
  <c r="G227" i="12"/>
  <c r="H227" i="12" s="1"/>
  <c r="I227" i="12" s="1"/>
  <c r="J228" i="25" s="1"/>
  <c r="G312" i="39"/>
  <c r="H312" i="39" s="1"/>
  <c r="I312" i="39" s="1"/>
  <c r="J312" i="39" s="1"/>
  <c r="I313" i="25" s="1"/>
  <c r="G74" i="39"/>
  <c r="H74" i="39" s="1"/>
  <c r="I74" i="39" s="1"/>
  <c r="J74" i="39" s="1"/>
  <c r="I75" i="25" s="1"/>
  <c r="G255" i="39"/>
  <c r="H255" i="39" s="1"/>
  <c r="I255" i="39" s="1"/>
  <c r="J255" i="39" s="1"/>
  <c r="I256" i="25" s="1"/>
  <c r="G212" i="25"/>
  <c r="G234" i="39"/>
  <c r="H234" i="39" s="1"/>
  <c r="I234" i="39" s="1"/>
  <c r="J234" i="39" s="1"/>
  <c r="I235" i="25" s="1"/>
  <c r="G25" i="39"/>
  <c r="H25" i="39" s="1"/>
  <c r="I25" i="39" s="1"/>
  <c r="J25" i="39" s="1"/>
  <c r="I26" i="25" s="1"/>
  <c r="G63" i="39"/>
  <c r="H63" i="39" s="1"/>
  <c r="I63" i="39" s="1"/>
  <c r="J63" i="39" s="1"/>
  <c r="I64" i="25" s="1"/>
  <c r="G248" i="12"/>
  <c r="H248" i="12" s="1"/>
  <c r="I248" i="12" s="1"/>
  <c r="J249" i="25" s="1"/>
  <c r="G175" i="25"/>
  <c r="G260" i="25"/>
  <c r="G202" i="25"/>
  <c r="G100" i="12"/>
  <c r="H100" i="12" s="1"/>
  <c r="I100" i="12" s="1"/>
  <c r="J101" i="25" s="1"/>
  <c r="G298" i="12"/>
  <c r="H298" i="12" s="1"/>
  <c r="I298" i="12" s="1"/>
  <c r="J299" i="25" s="1"/>
  <c r="G30" i="39"/>
  <c r="H30" i="39" s="1"/>
  <c r="I30" i="39" s="1"/>
  <c r="J30" i="39" s="1"/>
  <c r="I31" i="25" s="1"/>
  <c r="G71" i="12"/>
  <c r="H71" i="12" s="1"/>
  <c r="I71" i="12" s="1"/>
  <c r="J72" i="25" s="1"/>
  <c r="G240" i="12"/>
  <c r="H240" i="12" s="1"/>
  <c r="I240" i="12" s="1"/>
  <c r="J241" i="25" s="1"/>
  <c r="G176" i="39"/>
  <c r="H176" i="39" s="1"/>
  <c r="I176" i="39" s="1"/>
  <c r="J176" i="39" s="1"/>
  <c r="I177" i="25" s="1"/>
  <c r="G157" i="25"/>
  <c r="G287" i="39"/>
  <c r="H287" i="39" s="1"/>
  <c r="I287" i="39" s="1"/>
  <c r="J287" i="39" s="1"/>
  <c r="I288" i="25" s="1"/>
  <c r="G298" i="25"/>
  <c r="G219" i="25"/>
  <c r="G253" i="25"/>
  <c r="G61" i="25"/>
  <c r="G88" i="39"/>
  <c r="H88" i="39" s="1"/>
  <c r="I88" i="39" s="1"/>
  <c r="J88" i="39" s="1"/>
  <c r="I89" i="25" s="1"/>
  <c r="G157" i="39"/>
  <c r="H157" i="39" s="1"/>
  <c r="I157" i="39" s="1"/>
  <c r="J157" i="39" s="1"/>
  <c r="I158" i="25" s="1"/>
  <c r="G219" i="39"/>
  <c r="H219" i="39" s="1"/>
  <c r="I219" i="39" s="1"/>
  <c r="J219" i="39" s="1"/>
  <c r="I220" i="25" s="1"/>
  <c r="G231" i="39"/>
  <c r="H231" i="39" s="1"/>
  <c r="I231" i="39" s="1"/>
  <c r="J231" i="39" s="1"/>
  <c r="I232" i="25" s="1"/>
  <c r="G307" i="12"/>
  <c r="H307" i="12" s="1"/>
  <c r="I307" i="12" s="1"/>
  <c r="J308" i="25" s="1"/>
  <c r="G103" i="39"/>
  <c r="H103" i="39" s="1"/>
  <c r="I103" i="39" s="1"/>
  <c r="J103" i="39" s="1"/>
  <c r="I104" i="25" s="1"/>
  <c r="G237" i="12"/>
  <c r="H237" i="12" s="1"/>
  <c r="I237" i="12" s="1"/>
  <c r="J238" i="25" s="1"/>
  <c r="G109" i="39"/>
  <c r="H109" i="39" s="1"/>
  <c r="I109" i="39" s="1"/>
  <c r="J109" i="39" s="1"/>
  <c r="I110" i="25" s="1"/>
  <c r="G20" i="25"/>
  <c r="G216" i="12"/>
  <c r="H216" i="12" s="1"/>
  <c r="I216" i="12" s="1"/>
  <c r="J217" i="25" s="1"/>
  <c r="G131" i="12"/>
  <c r="H131" i="12" s="1"/>
  <c r="I131" i="12" s="1"/>
  <c r="J132" i="25" s="1"/>
  <c r="G152" i="12"/>
  <c r="H152" i="12" s="1"/>
  <c r="I152" i="12" s="1"/>
  <c r="J153" i="25" s="1"/>
  <c r="G317" i="12"/>
  <c r="H317" i="12" s="1"/>
  <c r="I317" i="12" s="1"/>
  <c r="J318" i="25" s="1"/>
  <c r="G196" i="39"/>
  <c r="H196" i="39" s="1"/>
  <c r="I196" i="39" s="1"/>
  <c r="J196" i="39" s="1"/>
  <c r="I197" i="25" s="1"/>
  <c r="G184" i="39"/>
  <c r="H184" i="39" s="1"/>
  <c r="I184" i="39" s="1"/>
  <c r="J184" i="39" s="1"/>
  <c r="I185" i="25" s="1"/>
  <c r="G308" i="39"/>
  <c r="H308" i="39" s="1"/>
  <c r="I308" i="39" s="1"/>
  <c r="J308" i="39" s="1"/>
  <c r="I309" i="25" s="1"/>
  <c r="G93" i="12"/>
  <c r="H93" i="12" s="1"/>
  <c r="I93" i="12" s="1"/>
  <c r="J94" i="25" s="1"/>
  <c r="G37" i="25"/>
  <c r="G286" i="39"/>
  <c r="H286" i="39" s="1"/>
  <c r="I286" i="39" s="1"/>
  <c r="J286" i="39" s="1"/>
  <c r="I287" i="25" s="1"/>
  <c r="G211" i="12"/>
  <c r="H211" i="12" s="1"/>
  <c r="J211" i="12" s="1"/>
  <c r="G168" i="25"/>
  <c r="G120" i="39"/>
  <c r="H120" i="39" s="1"/>
  <c r="I120" i="39" s="1"/>
  <c r="J120" i="39" s="1"/>
  <c r="I121" i="25" s="1"/>
  <c r="G8" i="39"/>
  <c r="H8" i="39" s="1"/>
  <c r="I8" i="39" s="1"/>
  <c r="J8" i="39" s="1"/>
  <c r="I9" i="25" s="1"/>
  <c r="G253" i="39"/>
  <c r="H253" i="39" s="1"/>
  <c r="I253" i="39" s="1"/>
  <c r="J253" i="39" s="1"/>
  <c r="I254" i="25" s="1"/>
  <c r="G101" i="25"/>
  <c r="G200" i="25"/>
  <c r="G271" i="25"/>
  <c r="G13" i="39"/>
  <c r="H13" i="39" s="1"/>
  <c r="I13" i="39" s="1"/>
  <c r="J13" i="39" s="1"/>
  <c r="I14" i="25" s="1"/>
  <c r="G223" i="25"/>
  <c r="G280" i="12"/>
  <c r="H280" i="12" s="1"/>
  <c r="I280" i="12" s="1"/>
  <c r="J281" i="25" s="1"/>
  <c r="G14" i="39"/>
  <c r="H14" i="39" s="1"/>
  <c r="I14" i="39" s="1"/>
  <c r="J14" i="39" s="1"/>
  <c r="I15" i="25" s="1"/>
  <c r="G205" i="12"/>
  <c r="H205" i="12" s="1"/>
  <c r="I205" i="12" s="1"/>
  <c r="J206" i="25" s="1"/>
  <c r="G132" i="12"/>
  <c r="H132" i="12" s="1"/>
  <c r="I132" i="12" s="1"/>
  <c r="J133" i="25" s="1"/>
  <c r="G89" i="25"/>
  <c r="G220" i="25"/>
  <c r="G165" i="25"/>
  <c r="G251" i="25"/>
  <c r="G24" i="25"/>
  <c r="G67" i="39"/>
  <c r="H67" i="39" s="1"/>
  <c r="I67" i="39" s="1"/>
  <c r="J67" i="39" s="1"/>
  <c r="I68" i="25" s="1"/>
  <c r="G301" i="39"/>
  <c r="H301" i="39" s="1"/>
  <c r="I301" i="39" s="1"/>
  <c r="J301" i="39" s="1"/>
  <c r="I302" i="25" s="1"/>
  <c r="G79" i="25"/>
  <c r="G255" i="25"/>
  <c r="G320" i="25"/>
  <c r="G127" i="39"/>
  <c r="H127" i="39" s="1"/>
  <c r="I127" i="39" s="1"/>
  <c r="J127" i="39" s="1"/>
  <c r="I128" i="25" s="1"/>
  <c r="G305" i="25"/>
  <c r="G19" i="12"/>
  <c r="H19" i="12" s="1"/>
  <c r="I19" i="12" s="1"/>
  <c r="J20" i="25" s="1"/>
  <c r="G9" i="39"/>
  <c r="H9" i="39" s="1"/>
  <c r="I9" i="39" s="1"/>
  <c r="J9" i="39" s="1"/>
  <c r="I10" i="25" s="1"/>
  <c r="G235" i="39"/>
  <c r="H235" i="39" s="1"/>
  <c r="I235" i="39" s="1"/>
  <c r="J235" i="39" s="1"/>
  <c r="I236" i="25" s="1"/>
  <c r="G265" i="39"/>
  <c r="H265" i="39" s="1"/>
  <c r="I265" i="39" s="1"/>
  <c r="J265" i="39" s="1"/>
  <c r="I266" i="25" s="1"/>
  <c r="G295" i="39"/>
  <c r="H295" i="39" s="1"/>
  <c r="I295" i="39" s="1"/>
  <c r="J295" i="39" s="1"/>
  <c r="I296" i="25" s="1"/>
  <c r="G47" i="25"/>
  <c r="G152" i="39"/>
  <c r="H152" i="39" s="1"/>
  <c r="I152" i="39" s="1"/>
  <c r="J152" i="39" s="1"/>
  <c r="I153" i="25" s="1"/>
  <c r="G124" i="39"/>
  <c r="H124" i="39" s="1"/>
  <c r="I124" i="39" s="1"/>
  <c r="J124" i="39" s="1"/>
  <c r="I125" i="25" s="1"/>
  <c r="G207" i="25"/>
  <c r="G26" i="39"/>
  <c r="H26" i="39" s="1"/>
  <c r="I26" i="39" s="1"/>
  <c r="J26" i="39" s="1"/>
  <c r="I27" i="25" s="1"/>
  <c r="G57" i="12"/>
  <c r="H57" i="12" s="1"/>
  <c r="I57" i="12" s="1"/>
  <c r="J58" i="25" s="1"/>
  <c r="G12" i="25"/>
  <c r="G292" i="25"/>
  <c r="G57" i="25"/>
  <c r="G203" i="25"/>
  <c r="G122" i="12"/>
  <c r="H122" i="12" s="1"/>
  <c r="I122" i="12" s="1"/>
  <c r="J123" i="25" s="1"/>
  <c r="G227" i="39"/>
  <c r="H227" i="39" s="1"/>
  <c r="I227" i="39" s="1"/>
  <c r="J227" i="39" s="1"/>
  <c r="I228" i="25" s="1"/>
  <c r="G312" i="12"/>
  <c r="H312" i="12" s="1"/>
  <c r="I312" i="12" s="1"/>
  <c r="J313" i="25" s="1"/>
  <c r="G135" i="12"/>
  <c r="H135" i="12" s="1"/>
  <c r="I135" i="12" s="1"/>
  <c r="J136" i="25" s="1"/>
  <c r="G42" i="39"/>
  <c r="H42" i="39" s="1"/>
  <c r="I42" i="39" s="1"/>
  <c r="J42" i="39" s="1"/>
  <c r="I43" i="25" s="1"/>
  <c r="G36" i="12"/>
  <c r="H36" i="12" s="1"/>
  <c r="I36" i="12" s="1"/>
  <c r="J37" i="25" s="1"/>
  <c r="G256" i="25"/>
  <c r="G286" i="12"/>
  <c r="H286" i="12" s="1"/>
  <c r="I286" i="12" s="1"/>
  <c r="J287" i="25" s="1"/>
  <c r="G167" i="39"/>
  <c r="H167" i="39" s="1"/>
  <c r="I167" i="39" s="1"/>
  <c r="J167" i="39" s="1"/>
  <c r="I168" i="25" s="1"/>
  <c r="G190" i="25"/>
  <c r="G260" i="39"/>
  <c r="H260" i="39" s="1"/>
  <c r="I260" i="39" s="1"/>
  <c r="J260" i="39" s="1"/>
  <c r="I261" i="25" s="1"/>
  <c r="G188" i="25"/>
  <c r="G99" i="39"/>
  <c r="H99" i="39" s="1"/>
  <c r="I99" i="39" s="1"/>
  <c r="J99" i="39" s="1"/>
  <c r="I100" i="25" s="1"/>
  <c r="G316" i="39"/>
  <c r="H316" i="39" s="1"/>
  <c r="I316" i="39" s="1"/>
  <c r="J316" i="39" s="1"/>
  <c r="I317" i="25" s="1"/>
  <c r="G8" i="12"/>
  <c r="H8" i="12" s="1"/>
  <c r="I8" i="12" s="1"/>
  <c r="J9" i="25" s="1"/>
  <c r="G26" i="25"/>
  <c r="G142" i="39"/>
  <c r="H142" i="39" s="1"/>
  <c r="I142" i="39" s="1"/>
  <c r="J142" i="39" s="1"/>
  <c r="I143" i="25" s="1"/>
  <c r="G90" i="25"/>
  <c r="G112" i="39"/>
  <c r="H112" i="39" s="1"/>
  <c r="I112" i="39" s="1"/>
  <c r="J112" i="39" s="1"/>
  <c r="I113" i="25" s="1"/>
  <c r="G126" i="39"/>
  <c r="H126" i="39" s="1"/>
  <c r="I126" i="39" s="1"/>
  <c r="J126" i="39" s="1"/>
  <c r="I127" i="25" s="1"/>
  <c r="G32" i="12"/>
  <c r="H32" i="12" s="1"/>
  <c r="I32" i="12" s="1"/>
  <c r="J33" i="25" s="1"/>
  <c r="G286" i="25"/>
  <c r="G270" i="25"/>
  <c r="G301" i="25"/>
  <c r="G59" i="25"/>
  <c r="G259" i="39"/>
  <c r="H259" i="39" s="1"/>
  <c r="I259" i="39" s="1"/>
  <c r="J259" i="39" s="1"/>
  <c r="I260" i="25" s="1"/>
  <c r="G68" i="12"/>
  <c r="H68" i="12" s="1"/>
  <c r="I68" i="12" s="1"/>
  <c r="J69" i="25" s="1"/>
  <c r="G221" i="12"/>
  <c r="H221" i="12" s="1"/>
  <c r="I221" i="12" s="1"/>
  <c r="J222" i="25" s="1"/>
  <c r="G180" i="25"/>
  <c r="G218" i="25"/>
  <c r="G263" i="39"/>
  <c r="H263" i="39" s="1"/>
  <c r="I263" i="39" s="1"/>
  <c r="J263" i="39" s="1"/>
  <c r="I264" i="25" s="1"/>
  <c r="G72" i="25"/>
  <c r="G144" i="39"/>
  <c r="H144" i="39" s="1"/>
  <c r="I144" i="39" s="1"/>
  <c r="J144" i="39" s="1"/>
  <c r="I145" i="25" s="1"/>
  <c r="G48" i="12"/>
  <c r="H48" i="12" s="1"/>
  <c r="J48" i="12" s="1"/>
  <c r="G177" i="25"/>
  <c r="G42" i="25"/>
  <c r="G142" i="25"/>
  <c r="G288" i="25"/>
  <c r="G75" i="39"/>
  <c r="H75" i="39" s="1"/>
  <c r="I75" i="39" s="1"/>
  <c r="J75" i="39" s="1"/>
  <c r="I76" i="25" s="1"/>
  <c r="G297" i="39"/>
  <c r="H297" i="39" s="1"/>
  <c r="I297" i="39" s="1"/>
  <c r="J297" i="39" s="1"/>
  <c r="I298" i="25" s="1"/>
  <c r="G252" i="39"/>
  <c r="H252" i="39" s="1"/>
  <c r="I252" i="39" s="1"/>
  <c r="J252" i="39" s="1"/>
  <c r="I253" i="25" s="1"/>
  <c r="G92" i="12"/>
  <c r="H92" i="12" s="1"/>
  <c r="I92" i="12" s="1"/>
  <c r="J93" i="25" s="1"/>
  <c r="G105" i="39"/>
  <c r="H105" i="39" s="1"/>
  <c r="I105" i="39" s="1"/>
  <c r="J105" i="39" s="1"/>
  <c r="I106" i="25" s="1"/>
  <c r="G21" i="25"/>
  <c r="G125" i="39"/>
  <c r="H125" i="39" s="1"/>
  <c r="I125" i="39" s="1"/>
  <c r="J125" i="39" s="1"/>
  <c r="I126" i="25" s="1"/>
  <c r="G281" i="25"/>
  <c r="G14" i="12"/>
  <c r="H14" i="12" s="1"/>
  <c r="I14" i="12" s="1"/>
  <c r="J15" i="25" s="1"/>
  <c r="G133" i="25"/>
  <c r="G272" i="39"/>
  <c r="H272" i="39" s="1"/>
  <c r="I272" i="39" s="1"/>
  <c r="J272" i="39" s="1"/>
  <c r="I273" i="25" s="1"/>
  <c r="G188" i="12"/>
  <c r="H188" i="12" s="1"/>
  <c r="I188" i="12" s="1"/>
  <c r="J189" i="25" s="1"/>
  <c r="G23" i="39"/>
  <c r="H23" i="39" s="1"/>
  <c r="I23" i="39" s="1"/>
  <c r="J23" i="39" s="1"/>
  <c r="I24" i="25" s="1"/>
  <c r="G78" i="12"/>
  <c r="H78" i="12" s="1"/>
  <c r="I78" i="12" s="1"/>
  <c r="J79" i="25" s="1"/>
  <c r="G302" i="12"/>
  <c r="H302" i="12" s="1"/>
  <c r="I302" i="12" s="1"/>
  <c r="J303" i="25" s="1"/>
  <c r="G46" i="39"/>
  <c r="H46" i="39" s="1"/>
  <c r="I46" i="39" s="1"/>
  <c r="J46" i="39" s="1"/>
  <c r="I47" i="25" s="1"/>
  <c r="G94" i="12"/>
  <c r="H94" i="12" s="1"/>
  <c r="I94" i="12" s="1"/>
  <c r="J95" i="25" s="1"/>
  <c r="G77" i="39"/>
  <c r="H77" i="39" s="1"/>
  <c r="I77" i="39" s="1"/>
  <c r="J77" i="39" s="1"/>
  <c r="I78" i="25" s="1"/>
  <c r="G158" i="39"/>
  <c r="H158" i="39" s="1"/>
  <c r="I158" i="39" s="1"/>
  <c r="J158" i="39" s="1"/>
  <c r="I159" i="25" s="1"/>
  <c r="G61" i="12"/>
  <c r="H61" i="12" s="1"/>
  <c r="I61" i="12" s="1"/>
  <c r="J62" i="25" s="1"/>
  <c r="G45" i="12"/>
  <c r="H45" i="12" s="1"/>
  <c r="I45" i="12" s="1"/>
  <c r="J46" i="25" s="1"/>
  <c r="G107" i="12"/>
  <c r="H107" i="12" s="1"/>
  <c r="I107" i="12" s="1"/>
  <c r="J108" i="25" s="1"/>
  <c r="G229" i="25"/>
  <c r="G63" i="25"/>
  <c r="G126" i="12"/>
  <c r="H126" i="12" s="1"/>
  <c r="I126" i="12" s="1"/>
  <c r="J127" i="25" s="1"/>
  <c r="G33" i="25"/>
  <c r="G248" i="39"/>
  <c r="H248" i="39" s="1"/>
  <c r="I248" i="39" s="1"/>
  <c r="J248" i="39" s="1"/>
  <c r="I249" i="25" s="1"/>
  <c r="G43" i="39"/>
  <c r="H43" i="39" s="1"/>
  <c r="I43" i="39" s="1"/>
  <c r="J43" i="39" s="1"/>
  <c r="I44" i="25" s="1"/>
  <c r="G263" i="12"/>
  <c r="H263" i="12" s="1"/>
  <c r="I263" i="12" s="1"/>
  <c r="J264" i="25" s="1"/>
  <c r="G31" i="25"/>
  <c r="G110" i="39"/>
  <c r="H110" i="39" s="1"/>
  <c r="I110" i="39" s="1"/>
  <c r="J110" i="39" s="1"/>
  <c r="I111" i="25" s="1"/>
  <c r="G318" i="39"/>
  <c r="H318" i="39" s="1"/>
  <c r="I318" i="39" s="1"/>
  <c r="J318" i="39" s="1"/>
  <c r="I319" i="25" s="1"/>
  <c r="G158" i="25"/>
  <c r="H301" i="12"/>
  <c r="I301" i="12" s="1"/>
  <c r="J302" i="25" s="1"/>
  <c r="H256" i="12"/>
  <c r="I256" i="12" s="1"/>
  <c r="J257" i="25" s="1"/>
  <c r="H296" i="12"/>
  <c r="I296" i="12" s="1"/>
  <c r="J297" i="25" s="1"/>
  <c r="H85" i="12"/>
  <c r="I85" i="12" s="1"/>
  <c r="J86" i="25" s="1"/>
  <c r="H259" i="12"/>
  <c r="I259" i="12" s="1"/>
  <c r="J260" i="25" s="1"/>
  <c r="H217" i="12"/>
  <c r="I217" i="12" s="1"/>
  <c r="J218" i="25" s="1"/>
  <c r="H176" i="12"/>
  <c r="I176" i="12" s="1"/>
  <c r="J177" i="25" s="1"/>
  <c r="H16" i="12"/>
  <c r="I16" i="12" s="1"/>
  <c r="J17" i="25" s="1"/>
  <c r="H110" i="12"/>
  <c r="I110" i="12" s="1"/>
  <c r="J111" i="25" s="1"/>
  <c r="H315" i="12"/>
  <c r="I315" i="12" s="1"/>
  <c r="J316" i="25" s="1"/>
  <c r="H164" i="12"/>
  <c r="I164" i="12" s="1"/>
  <c r="J165" i="25" s="1"/>
  <c r="H103" i="12"/>
  <c r="I103" i="12" s="1"/>
  <c r="J104" i="25" s="1"/>
  <c r="H299" i="12"/>
  <c r="I299" i="12" s="1"/>
  <c r="J300" i="25" s="1"/>
  <c r="H233" i="12"/>
  <c r="I233" i="12" s="1"/>
  <c r="J234" i="25" s="1"/>
  <c r="H21" i="12"/>
  <c r="I21" i="12" s="1"/>
  <c r="J22" i="25" s="1"/>
  <c r="H37" i="12"/>
  <c r="I37" i="12" s="1"/>
  <c r="J38" i="25" s="1"/>
  <c r="H120" i="12"/>
  <c r="I120" i="12" s="1"/>
  <c r="J121" i="25" s="1"/>
  <c r="H87" i="12"/>
  <c r="I87" i="12" s="1"/>
  <c r="J88" i="25" s="1"/>
  <c r="H201" i="12"/>
  <c r="I201" i="12" s="1"/>
  <c r="J202" i="25" s="1"/>
  <c r="H119" i="12"/>
  <c r="I119" i="12" s="1"/>
  <c r="J120" i="25" s="1"/>
  <c r="H165" i="12"/>
  <c r="I165" i="12" s="1"/>
  <c r="J166" i="25" s="1"/>
  <c r="H193" i="12"/>
  <c r="I193" i="12" s="1"/>
  <c r="J194" i="25" s="1"/>
  <c r="H309" i="12"/>
  <c r="I309" i="12" s="1"/>
  <c r="J310" i="25" s="1"/>
  <c r="H277" i="12"/>
  <c r="I277" i="12" s="1"/>
  <c r="J278" i="25" s="1"/>
  <c r="H209" i="12"/>
  <c r="I209" i="12" s="1"/>
  <c r="J210" i="25" s="1"/>
  <c r="H177" i="12"/>
  <c r="I177" i="12" s="1"/>
  <c r="J178" i="25" s="1"/>
  <c r="H295" i="12"/>
  <c r="I295" i="12" s="1"/>
  <c r="J296" i="25" s="1"/>
  <c r="H275" i="12"/>
  <c r="I275" i="12" s="1"/>
  <c r="J276" i="25" s="1"/>
  <c r="H287" i="12"/>
  <c r="H297" i="12"/>
  <c r="I297" i="12" s="1"/>
  <c r="J298" i="25" s="1"/>
  <c r="H252" i="12"/>
  <c r="I252" i="12" s="1"/>
  <c r="J253" i="25" s="1"/>
  <c r="H13" i="12"/>
  <c r="I13" i="12" s="1"/>
  <c r="J14" i="25" s="1"/>
  <c r="H88" i="12"/>
  <c r="I88" i="12" s="1"/>
  <c r="J89" i="25" s="1"/>
  <c r="H157" i="12"/>
  <c r="I157" i="12" s="1"/>
  <c r="J158" i="25" s="1"/>
  <c r="H219" i="12"/>
  <c r="I219" i="12" s="1"/>
  <c r="J220" i="25" s="1"/>
  <c r="H23" i="12"/>
  <c r="I23" i="12" s="1"/>
  <c r="J24" i="25" s="1"/>
  <c r="H127" i="12"/>
  <c r="I127" i="12" s="1"/>
  <c r="J128" i="25" s="1"/>
  <c r="H304" i="12"/>
  <c r="I304" i="12" s="1"/>
  <c r="J305" i="25" s="1"/>
  <c r="H35" i="12"/>
  <c r="I35" i="12" s="1"/>
  <c r="J36" i="25" s="1"/>
  <c r="H235" i="12"/>
  <c r="H265" i="12"/>
  <c r="I265" i="12" s="1"/>
  <c r="J266" i="25" s="1"/>
  <c r="H46" i="12"/>
  <c r="I46" i="12" s="1"/>
  <c r="J47" i="25" s="1"/>
  <c r="H117" i="12"/>
  <c r="I117" i="12" s="1"/>
  <c r="J118" i="25" s="1"/>
  <c r="H77" i="12"/>
  <c r="I77" i="12" s="1"/>
  <c r="J78" i="25" s="1"/>
  <c r="H206" i="12"/>
  <c r="I206" i="12" s="1"/>
  <c r="J207" i="25" s="1"/>
  <c r="H229" i="12"/>
  <c r="I229" i="12" s="1"/>
  <c r="J230" i="25" s="1"/>
  <c r="H308" i="12"/>
  <c r="I308" i="12" s="1"/>
  <c r="J309" i="25" s="1"/>
  <c r="H91" i="12"/>
  <c r="I91" i="12" s="1"/>
  <c r="J92" i="25" s="1"/>
  <c r="H158" i="12"/>
  <c r="I158" i="12" s="1"/>
  <c r="J159" i="25" s="1"/>
  <c r="H56" i="12"/>
  <c r="I56" i="12" s="1"/>
  <c r="J57" i="25" s="1"/>
  <c r="H146" i="12"/>
  <c r="I146" i="12" s="1"/>
  <c r="J147" i="25" s="1"/>
  <c r="H230" i="12"/>
  <c r="I230" i="12" s="1"/>
  <c r="J231" i="25" s="1"/>
  <c r="H228" i="12"/>
  <c r="I228" i="12" s="1"/>
  <c r="J229" i="25" s="1"/>
  <c r="H42" i="12"/>
  <c r="I42" i="12" s="1"/>
  <c r="J43" i="25" s="1"/>
  <c r="H167" i="12"/>
  <c r="I167" i="12" s="1"/>
  <c r="J168" i="25" s="1"/>
  <c r="H62" i="12"/>
  <c r="I62" i="12" s="1"/>
  <c r="J63" i="25" s="1"/>
  <c r="H260" i="12"/>
  <c r="I260" i="12" s="1"/>
  <c r="J261" i="25" s="1"/>
  <c r="H99" i="12"/>
  <c r="H191" i="12"/>
  <c r="I191" i="12" s="1"/>
  <c r="J192" i="25" s="1"/>
  <c r="H316" i="12"/>
  <c r="I316" i="12" s="1"/>
  <c r="J317" i="25" s="1"/>
  <c r="H253" i="12"/>
  <c r="I253" i="12" s="1"/>
  <c r="J254" i="25" s="1"/>
  <c r="H63" i="12"/>
  <c r="I63" i="12" s="1"/>
  <c r="J64" i="25" s="1"/>
  <c r="H300" i="12"/>
  <c r="I300" i="12" s="1"/>
  <c r="J301" i="25" s="1"/>
  <c r="H179" i="12"/>
  <c r="I179" i="12" s="1"/>
  <c r="J180" i="25" s="1"/>
  <c r="H27" i="12"/>
  <c r="I27" i="12" s="1"/>
  <c r="J28" i="25" s="1"/>
  <c r="H156" i="12"/>
  <c r="I156" i="12" s="1"/>
  <c r="J157" i="25" s="1"/>
  <c r="H262" i="12"/>
  <c r="I262" i="12" s="1"/>
  <c r="J263" i="25" s="1"/>
  <c r="H306" i="12"/>
  <c r="I306" i="12" s="1"/>
  <c r="J307" i="25" s="1"/>
  <c r="H137" i="12"/>
  <c r="I137" i="12" s="1"/>
  <c r="J138" i="25" s="1"/>
  <c r="H40" i="12"/>
  <c r="I40" i="12" s="1"/>
  <c r="J41" i="25" s="1"/>
  <c r="H22" i="12"/>
  <c r="I22" i="12" s="1"/>
  <c r="J23" i="25" s="1"/>
  <c r="H276" i="12"/>
  <c r="I276" i="12" s="1"/>
  <c r="J277" i="25" s="1"/>
  <c r="H289" i="12"/>
  <c r="I289" i="12" s="1"/>
  <c r="J290" i="25" s="1"/>
  <c r="N171" i="13" l="1"/>
  <c r="O171" i="13" s="1"/>
  <c r="P171" i="13" s="1"/>
  <c r="Q171" i="13" s="1"/>
  <c r="K171" i="25" s="1"/>
  <c r="N163" i="13"/>
  <c r="O163" i="13" s="1"/>
  <c r="G5" i="39"/>
  <c r="H5" i="39" s="1"/>
  <c r="I5" i="39" s="1"/>
  <c r="J5" i="39" s="1"/>
  <c r="I6" i="25" s="1"/>
  <c r="E5" i="12"/>
  <c r="C4" i="34"/>
  <c r="C10" i="34" s="1"/>
  <c r="C11" i="34" s="1"/>
  <c r="E323" i="39"/>
  <c r="G323" i="39" s="1"/>
  <c r="H323" i="39" s="1"/>
  <c r="G324" i="25"/>
  <c r="G5" i="12"/>
  <c r="H5" i="12" s="1"/>
  <c r="I5" i="12" s="1"/>
  <c r="G6" i="25"/>
  <c r="N262" i="13"/>
  <c r="O262" i="13" s="1"/>
  <c r="P262" i="13" s="1"/>
  <c r="Q262" i="13" s="1"/>
  <c r="K262" i="25" s="1"/>
  <c r="N97" i="13"/>
  <c r="O97" i="13" s="1"/>
  <c r="P97" i="13" s="1"/>
  <c r="Q97" i="13" s="1"/>
  <c r="K97" i="25" s="1"/>
  <c r="N244" i="13"/>
  <c r="O244" i="13" s="1"/>
  <c r="P244" i="13" s="1"/>
  <c r="Q244" i="13" s="1"/>
  <c r="K244" i="25" s="1"/>
  <c r="N100" i="13"/>
  <c r="O100" i="13" s="1"/>
  <c r="P100" i="13" s="1"/>
  <c r="Q100" i="13" s="1"/>
  <c r="K100" i="25" s="1"/>
  <c r="N90" i="13"/>
  <c r="O90" i="13" s="1"/>
  <c r="P90" i="13" s="1"/>
  <c r="Q90" i="13" s="1"/>
  <c r="K90" i="25" s="1"/>
  <c r="N288" i="13"/>
  <c r="O288" i="13" s="1"/>
  <c r="P288" i="13" s="1"/>
  <c r="Q288" i="13" s="1"/>
  <c r="K288" i="25" s="1"/>
  <c r="N293" i="13"/>
  <c r="O293" i="13" s="1"/>
  <c r="P293" i="13" s="1"/>
  <c r="Q293" i="13" s="1"/>
  <c r="K293" i="25" s="1"/>
  <c r="J141" i="12"/>
  <c r="J147" i="12"/>
  <c r="N316" i="13"/>
  <c r="O316" i="13" s="1"/>
  <c r="P316" i="13" s="1"/>
  <c r="Q316" i="13" s="1"/>
  <c r="K316" i="25" s="1"/>
  <c r="N193" i="13"/>
  <c r="O193" i="13" s="1"/>
  <c r="P193" i="13" s="1"/>
  <c r="Q193" i="13" s="1"/>
  <c r="K193" i="25" s="1"/>
  <c r="J289" i="12"/>
  <c r="N239" i="13"/>
  <c r="O239" i="13" s="1"/>
  <c r="P239" i="13" s="1"/>
  <c r="Q239" i="13" s="1"/>
  <c r="K239" i="25" s="1"/>
  <c r="N27" i="13"/>
  <c r="O27" i="13" s="1"/>
  <c r="P27" i="13" s="1"/>
  <c r="Q27" i="13" s="1"/>
  <c r="K27" i="25" s="1"/>
  <c r="N74" i="13"/>
  <c r="O74" i="13" s="1"/>
  <c r="P74" i="13" s="1"/>
  <c r="Q74" i="13" s="1"/>
  <c r="K74" i="25" s="1"/>
  <c r="J285" i="12"/>
  <c r="N56" i="13"/>
  <c r="O56" i="13" s="1"/>
  <c r="P56" i="13" s="1"/>
  <c r="Q56" i="13" s="1"/>
  <c r="K56" i="25" s="1"/>
  <c r="N315" i="13"/>
  <c r="O315" i="13" s="1"/>
  <c r="P315" i="13" s="1"/>
  <c r="Q315" i="13" s="1"/>
  <c r="K315" i="25" s="1"/>
  <c r="N114" i="13"/>
  <c r="O114" i="13" s="1"/>
  <c r="P114" i="13" s="1"/>
  <c r="Q114" i="13" s="1"/>
  <c r="K114" i="25" s="1"/>
  <c r="J36" i="12"/>
  <c r="N123" i="13"/>
  <c r="O123" i="13" s="1"/>
  <c r="P123" i="13" s="1"/>
  <c r="Q123" i="13" s="1"/>
  <c r="K123" i="25" s="1"/>
  <c r="N95" i="13"/>
  <c r="O95" i="13" s="1"/>
  <c r="P95" i="13" s="1"/>
  <c r="Q95" i="13" s="1"/>
  <c r="K95" i="25" s="1"/>
  <c r="J20" i="12"/>
  <c r="J297" i="12"/>
  <c r="J198" i="12"/>
  <c r="J95" i="12"/>
  <c r="N200" i="13"/>
  <c r="O200" i="13" s="1"/>
  <c r="P200" i="13" s="1"/>
  <c r="Q200" i="13" s="1"/>
  <c r="K200" i="25" s="1"/>
  <c r="J269" i="12"/>
  <c r="J122" i="12"/>
  <c r="N127" i="13"/>
  <c r="O127" i="13" s="1"/>
  <c r="P127" i="13" s="1"/>
  <c r="Q127" i="13" s="1"/>
  <c r="K127" i="25" s="1"/>
  <c r="N257" i="13"/>
  <c r="O257" i="13" s="1"/>
  <c r="P257" i="13" s="1"/>
  <c r="Q257" i="13" s="1"/>
  <c r="K257" i="25" s="1"/>
  <c r="N180" i="13"/>
  <c r="O180" i="13" s="1"/>
  <c r="P180" i="13" s="1"/>
  <c r="Q180" i="13" s="1"/>
  <c r="K180" i="25" s="1"/>
  <c r="J191" i="12"/>
  <c r="N261" i="13"/>
  <c r="O261" i="13" s="1"/>
  <c r="P261" i="13" s="1"/>
  <c r="Q261" i="13" s="1"/>
  <c r="K261" i="25" s="1"/>
  <c r="N318" i="13"/>
  <c r="O318" i="13" s="1"/>
  <c r="P318" i="13" s="1"/>
  <c r="Q318" i="13" s="1"/>
  <c r="K318" i="25" s="1"/>
  <c r="N166" i="13"/>
  <c r="O166" i="13" s="1"/>
  <c r="P166" i="13" s="1"/>
  <c r="Q166" i="13" s="1"/>
  <c r="K166" i="25" s="1"/>
  <c r="J82" i="12"/>
  <c r="N98" i="13"/>
  <c r="O98" i="13" s="1"/>
  <c r="P98" i="13" s="1"/>
  <c r="Q98" i="13" s="1"/>
  <c r="K98" i="25" s="1"/>
  <c r="N29" i="13"/>
  <c r="O29" i="13" s="1"/>
  <c r="P29" i="13" s="1"/>
  <c r="Q29" i="13" s="1"/>
  <c r="K29" i="25" s="1"/>
  <c r="N66" i="13"/>
  <c r="O66" i="13" s="1"/>
  <c r="P66" i="13" s="1"/>
  <c r="Q66" i="13" s="1"/>
  <c r="K66" i="25" s="1"/>
  <c r="J259" i="12"/>
  <c r="J263" i="12"/>
  <c r="J27" i="12"/>
  <c r="J290" i="12"/>
  <c r="N26" i="13"/>
  <c r="O26" i="13" s="1"/>
  <c r="P26" i="13" s="1"/>
  <c r="Q26" i="13" s="1"/>
  <c r="K26" i="25" s="1"/>
  <c r="J224" i="12"/>
  <c r="N305" i="13"/>
  <c r="O305" i="13" s="1"/>
  <c r="P305" i="13" s="1"/>
  <c r="Q305" i="13" s="1"/>
  <c r="K305" i="25" s="1"/>
  <c r="N243" i="13"/>
  <c r="O243" i="13" s="1"/>
  <c r="P243" i="13" s="1"/>
  <c r="Q243" i="13" s="1"/>
  <c r="K243" i="25" s="1"/>
  <c r="N62" i="13"/>
  <c r="O62" i="13" s="1"/>
  <c r="P62" i="13" s="1"/>
  <c r="Q62" i="13" s="1"/>
  <c r="K62" i="25" s="1"/>
  <c r="J73" i="12"/>
  <c r="J264" i="12"/>
  <c r="J201" i="12"/>
  <c r="N279" i="13"/>
  <c r="O279" i="13" s="1"/>
  <c r="P279" i="13" s="1"/>
  <c r="Q279" i="13" s="1"/>
  <c r="K279" i="25" s="1"/>
  <c r="N313" i="13"/>
  <c r="O313" i="13" s="1"/>
  <c r="P313" i="13" s="1"/>
  <c r="Q313" i="13" s="1"/>
  <c r="K313" i="25" s="1"/>
  <c r="J244" i="12"/>
  <c r="N20" i="13"/>
  <c r="O20" i="13" s="1"/>
  <c r="P20" i="13" s="1"/>
  <c r="Q20" i="13" s="1"/>
  <c r="K20" i="25" s="1"/>
  <c r="J176" i="12"/>
  <c r="N260" i="13"/>
  <c r="O260" i="13" s="1"/>
  <c r="P260" i="13" s="1"/>
  <c r="Q260" i="13" s="1"/>
  <c r="K260" i="25" s="1"/>
  <c r="J319" i="12"/>
  <c r="J248" i="12"/>
  <c r="N113" i="13"/>
  <c r="O113" i="13" s="1"/>
  <c r="P113" i="13" s="1"/>
  <c r="Q113" i="13" s="1"/>
  <c r="K113" i="25" s="1"/>
  <c r="J247" i="12"/>
  <c r="N184" i="13"/>
  <c r="O184" i="13" s="1"/>
  <c r="P184" i="13" s="1"/>
  <c r="Q184" i="13" s="1"/>
  <c r="K184" i="25" s="1"/>
  <c r="J230" i="12"/>
  <c r="J246" i="12"/>
  <c r="J275" i="12"/>
  <c r="N153" i="13"/>
  <c r="O153" i="13" s="1"/>
  <c r="P153" i="13" s="1"/>
  <c r="Q153" i="13" s="1"/>
  <c r="K153" i="25" s="1"/>
  <c r="N268" i="13"/>
  <c r="O268" i="13" s="1"/>
  <c r="P268" i="13" s="1"/>
  <c r="Q268" i="13" s="1"/>
  <c r="K268" i="25" s="1"/>
  <c r="N281" i="13"/>
  <c r="O281" i="13" s="1"/>
  <c r="P281" i="13" s="1"/>
  <c r="Q281" i="13" s="1"/>
  <c r="K281" i="25" s="1"/>
  <c r="N140" i="13"/>
  <c r="O140" i="13" s="1"/>
  <c r="P140" i="13" s="1"/>
  <c r="Q140" i="13" s="1"/>
  <c r="K140" i="25" s="1"/>
  <c r="N286" i="13"/>
  <c r="O286" i="13" s="1"/>
  <c r="P286" i="13" s="1"/>
  <c r="Q286" i="13" s="1"/>
  <c r="K286" i="25" s="1"/>
  <c r="N120" i="13"/>
  <c r="O120" i="13" s="1"/>
  <c r="P120" i="13" s="1"/>
  <c r="Q120" i="13" s="1"/>
  <c r="K120" i="25" s="1"/>
  <c r="J159" i="12"/>
  <c r="N151" i="13"/>
  <c r="O151" i="13" s="1"/>
  <c r="P151" i="13" s="1"/>
  <c r="Q151" i="13" s="1"/>
  <c r="K151" i="25" s="1"/>
  <c r="N202" i="13"/>
  <c r="O202" i="13" s="1"/>
  <c r="P202" i="13" s="1"/>
  <c r="Q202" i="13" s="1"/>
  <c r="K202" i="25" s="1"/>
  <c r="N240" i="13"/>
  <c r="O240" i="13" s="1"/>
  <c r="P240" i="13" s="1"/>
  <c r="Q240" i="13" s="1"/>
  <c r="K240" i="25" s="1"/>
  <c r="N121" i="13"/>
  <c r="O121" i="13" s="1"/>
  <c r="P121" i="13" s="1"/>
  <c r="Q121" i="13" s="1"/>
  <c r="K121" i="25" s="1"/>
  <c r="J232" i="12"/>
  <c r="J223" i="12"/>
  <c r="N272" i="13"/>
  <c r="O272" i="13" s="1"/>
  <c r="P272" i="13" s="1"/>
  <c r="Q272" i="13" s="1"/>
  <c r="K272" i="25" s="1"/>
  <c r="J92" i="12"/>
  <c r="N291" i="13"/>
  <c r="O291" i="13" s="1"/>
  <c r="P291" i="13" s="1"/>
  <c r="Q291" i="13" s="1"/>
  <c r="K291" i="25" s="1"/>
  <c r="J179" i="12"/>
  <c r="N148" i="13"/>
  <c r="O148" i="13" s="1"/>
  <c r="P148" i="13" s="1"/>
  <c r="Q148" i="13" s="1"/>
  <c r="K148" i="25" s="1"/>
  <c r="J255" i="12"/>
  <c r="N92" i="13"/>
  <c r="O92" i="13" s="1"/>
  <c r="P92" i="13" s="1"/>
  <c r="Q92" i="13" s="1"/>
  <c r="K92" i="25" s="1"/>
  <c r="J282" i="12"/>
  <c r="N273" i="13"/>
  <c r="O273" i="13" s="1"/>
  <c r="P273" i="13" s="1"/>
  <c r="Q273" i="13" s="1"/>
  <c r="K273" i="25" s="1"/>
  <c r="J90" i="12"/>
  <c r="J212" i="12"/>
  <c r="J45" i="12"/>
  <c r="J288" i="12"/>
  <c r="J317" i="12"/>
  <c r="N115" i="13"/>
  <c r="O115" i="13" s="1"/>
  <c r="P115" i="13" s="1"/>
  <c r="Q115" i="13" s="1"/>
  <c r="K115" i="25" s="1"/>
  <c r="J267" i="12"/>
  <c r="J49" i="12"/>
  <c r="N96" i="13"/>
  <c r="O96" i="13" s="1"/>
  <c r="P96" i="13" s="1"/>
  <c r="Q96" i="13" s="1"/>
  <c r="K96" i="25" s="1"/>
  <c r="J139" i="12"/>
  <c r="N101" i="13"/>
  <c r="O101" i="13" s="1"/>
  <c r="P101" i="13" s="1"/>
  <c r="Q101" i="13" s="1"/>
  <c r="K101" i="25" s="1"/>
  <c r="N270" i="13"/>
  <c r="O270" i="13" s="1"/>
  <c r="P270" i="13" s="1"/>
  <c r="Q270" i="13" s="1"/>
  <c r="K270" i="25" s="1"/>
  <c r="N155" i="13"/>
  <c r="O155" i="13" s="1"/>
  <c r="P155" i="13" s="1"/>
  <c r="Q155" i="13" s="1"/>
  <c r="K155" i="25" s="1"/>
  <c r="N265" i="13"/>
  <c r="O265" i="13" s="1"/>
  <c r="P265" i="13" s="1"/>
  <c r="Q265" i="13" s="1"/>
  <c r="K265" i="25" s="1"/>
  <c r="J160" i="12"/>
  <c r="N284" i="13"/>
  <c r="O284" i="13" s="1"/>
  <c r="P284" i="13" s="1"/>
  <c r="Q284" i="13" s="1"/>
  <c r="K284" i="25" s="1"/>
  <c r="J214" i="12"/>
  <c r="J298" i="12"/>
  <c r="J113" i="12"/>
  <c r="N40" i="13"/>
  <c r="O40" i="13" s="1"/>
  <c r="P40" i="13" s="1"/>
  <c r="Q40" i="13" s="1"/>
  <c r="K40" i="25" s="1"/>
  <c r="J213" i="12"/>
  <c r="J54" i="12"/>
  <c r="J28" i="12"/>
  <c r="J195" i="12"/>
  <c r="N245" i="13"/>
  <c r="O245" i="13" s="1"/>
  <c r="P245" i="13" s="1"/>
  <c r="Q245" i="13" s="1"/>
  <c r="K245" i="25" s="1"/>
  <c r="J57" i="12"/>
  <c r="N233" i="13"/>
  <c r="O233" i="13" s="1"/>
  <c r="P233" i="13" s="1"/>
  <c r="Q233" i="13" s="1"/>
  <c r="K233" i="25" s="1"/>
  <c r="J65" i="12"/>
  <c r="N152" i="13"/>
  <c r="O152" i="13" s="1"/>
  <c r="P152" i="13" s="1"/>
  <c r="J131" i="12"/>
  <c r="J200" i="12"/>
  <c r="J129" i="12"/>
  <c r="N145" i="13"/>
  <c r="O145" i="13" s="1"/>
  <c r="N264" i="13"/>
  <c r="O264" i="13" s="1"/>
  <c r="J274" i="12"/>
  <c r="J109" i="12"/>
  <c r="J276" i="12"/>
  <c r="N93" i="13"/>
  <c r="O93" i="13" s="1"/>
  <c r="P93" i="13" s="1"/>
  <c r="Q93" i="13" s="1"/>
  <c r="K93" i="25" s="1"/>
  <c r="J207" i="12"/>
  <c r="N192" i="13"/>
  <c r="O192" i="13" s="1"/>
  <c r="P192" i="13" s="1"/>
  <c r="Q192" i="13" s="1"/>
  <c r="K192" i="25" s="1"/>
  <c r="J62" i="12"/>
  <c r="N256" i="13"/>
  <c r="O256" i="13" s="1"/>
  <c r="P256" i="13" s="1"/>
  <c r="Q256" i="13" s="1"/>
  <c r="K256" i="25" s="1"/>
  <c r="J26" i="12"/>
  <c r="N125" i="13"/>
  <c r="O125" i="13" s="1"/>
  <c r="P125" i="13" s="1"/>
  <c r="Q125" i="13" s="1"/>
  <c r="K125" i="25" s="1"/>
  <c r="N7" i="13"/>
  <c r="O7" i="13" s="1"/>
  <c r="J272" i="12"/>
  <c r="J111" i="12"/>
  <c r="N21" i="13"/>
  <c r="O21" i="13" s="1"/>
  <c r="P21" i="13" s="1"/>
  <c r="Q21" i="13" s="1"/>
  <c r="K21" i="25" s="1"/>
  <c r="N247" i="13"/>
  <c r="O247" i="13" s="1"/>
  <c r="P247" i="13" s="1"/>
  <c r="Q247" i="13" s="1"/>
  <c r="K247" i="25" s="1"/>
  <c r="N59" i="13"/>
  <c r="O59" i="13" s="1"/>
  <c r="P59" i="13" s="1"/>
  <c r="Q59" i="13" s="1"/>
  <c r="K59" i="25" s="1"/>
  <c r="N91" i="13"/>
  <c r="O91" i="13" s="1"/>
  <c r="P91" i="13" s="1"/>
  <c r="Q91" i="13" s="1"/>
  <c r="K91" i="25" s="1"/>
  <c r="N46" i="13"/>
  <c r="O46" i="13" s="1"/>
  <c r="P46" i="13" s="1"/>
  <c r="Q46" i="13" s="1"/>
  <c r="K46" i="25" s="1"/>
  <c r="J148" i="12"/>
  <c r="J209" i="12"/>
  <c r="N221" i="13"/>
  <c r="O221" i="13" s="1"/>
  <c r="P221" i="13" s="1"/>
  <c r="Q221" i="13" s="1"/>
  <c r="K221" i="25" s="1"/>
  <c r="N255" i="13"/>
  <c r="O255" i="13" s="1"/>
  <c r="P255" i="13" s="1"/>
  <c r="Q255" i="13" s="1"/>
  <c r="K255" i="25" s="1"/>
  <c r="N160" i="13"/>
  <c r="O160" i="13" s="1"/>
  <c r="P160" i="13" s="1"/>
  <c r="Q160" i="13" s="1"/>
  <c r="K160" i="25" s="1"/>
  <c r="N215" i="13"/>
  <c r="O215" i="13" s="1"/>
  <c r="J192" i="12"/>
  <c r="N9" i="13"/>
  <c r="O9" i="13" s="1"/>
  <c r="P9" i="13" s="1"/>
  <c r="Q9" i="13" s="1"/>
  <c r="K9" i="25" s="1"/>
  <c r="J39" i="12"/>
  <c r="N214" i="13"/>
  <c r="O214" i="13" s="1"/>
  <c r="P214" i="13" s="1"/>
  <c r="Q214" i="13" s="1"/>
  <c r="K214" i="25" s="1"/>
  <c r="N22" i="13"/>
  <c r="O22" i="13" s="1"/>
  <c r="P22" i="13" s="1"/>
  <c r="Q22" i="13" s="1"/>
  <c r="K22" i="25" s="1"/>
  <c r="J273" i="12"/>
  <c r="J94" i="12"/>
  <c r="N320" i="13"/>
  <c r="O320" i="13" s="1"/>
  <c r="P320" i="13" s="1"/>
  <c r="Q320" i="13" s="1"/>
  <c r="K320" i="25" s="1"/>
  <c r="J172" i="12"/>
  <c r="N130" i="13"/>
  <c r="O130" i="13" s="1"/>
  <c r="P130" i="13" s="1"/>
  <c r="Q130" i="13" s="1"/>
  <c r="K130" i="25" s="1"/>
  <c r="N241" i="13"/>
  <c r="O241" i="13" s="1"/>
  <c r="P241" i="13" s="1"/>
  <c r="Q241" i="13" s="1"/>
  <c r="K241" i="25" s="1"/>
  <c r="J144" i="12"/>
  <c r="J256" i="12"/>
  <c r="J187" i="12"/>
  <c r="N275" i="13"/>
  <c r="O275" i="13" s="1"/>
  <c r="P275" i="13" s="1"/>
  <c r="Q275" i="13" s="1"/>
  <c r="K275" i="25" s="1"/>
  <c r="N110" i="13"/>
  <c r="O110" i="13" s="1"/>
  <c r="P110" i="13" s="1"/>
  <c r="Q110" i="13" s="1"/>
  <c r="K110" i="25" s="1"/>
  <c r="J281" i="12"/>
  <c r="J306" i="12"/>
  <c r="N280" i="13"/>
  <c r="O280" i="13" s="1"/>
  <c r="P280" i="13" s="1"/>
  <c r="Q280" i="13" s="1"/>
  <c r="K280" i="25" s="1"/>
  <c r="N301" i="13"/>
  <c r="O301" i="13" s="1"/>
  <c r="N150" i="13"/>
  <c r="O150" i="13" s="1"/>
  <c r="P150" i="13" s="1"/>
  <c r="Q150" i="13" s="1"/>
  <c r="K150" i="25" s="1"/>
  <c r="N170" i="13"/>
  <c r="O170" i="13" s="1"/>
  <c r="P170" i="13" s="1"/>
  <c r="Q170" i="13" s="1"/>
  <c r="K170" i="25" s="1"/>
  <c r="J157" i="12"/>
  <c r="J47" i="12"/>
  <c r="N282" i="13"/>
  <c r="O282" i="13" s="1"/>
  <c r="P282" i="13" s="1"/>
  <c r="Q282" i="13" s="1"/>
  <c r="K282" i="25" s="1"/>
  <c r="N41" i="13"/>
  <c r="O41" i="13" s="1"/>
  <c r="P41" i="13" s="1"/>
  <c r="Q41" i="13" s="1"/>
  <c r="K41" i="25" s="1"/>
  <c r="J123" i="12"/>
  <c r="J137" i="12"/>
  <c r="N307" i="13"/>
  <c r="O307" i="13" s="1"/>
  <c r="P307" i="13" s="1"/>
  <c r="Q307" i="13" s="1"/>
  <c r="K307" i="25" s="1"/>
  <c r="N28" i="13"/>
  <c r="O28" i="13" s="1"/>
  <c r="P28" i="13" s="1"/>
  <c r="Q28" i="13" s="1"/>
  <c r="K28" i="25" s="1"/>
  <c r="N208" i="13"/>
  <c r="O208" i="13" s="1"/>
  <c r="P208" i="13" s="1"/>
  <c r="Q208" i="13" s="1"/>
  <c r="K208" i="25" s="1"/>
  <c r="J279" i="12"/>
  <c r="N248" i="13"/>
  <c r="O248" i="13" s="1"/>
  <c r="P248" i="13" s="1"/>
  <c r="Q248" i="13" s="1"/>
  <c r="K248" i="25" s="1"/>
  <c r="J321" i="12"/>
  <c r="J300" i="12"/>
  <c r="N254" i="13"/>
  <c r="O254" i="13" s="1"/>
  <c r="P254" i="13" s="1"/>
  <c r="Q254" i="13" s="1"/>
  <c r="K254" i="25" s="1"/>
  <c r="J204" i="12"/>
  <c r="J202" i="12"/>
  <c r="N159" i="13"/>
  <c r="O159" i="13" s="1"/>
  <c r="P159" i="13" s="1"/>
  <c r="N309" i="13"/>
  <c r="O309" i="13" s="1"/>
  <c r="P309" i="13" s="1"/>
  <c r="Q309" i="13" s="1"/>
  <c r="K309" i="25" s="1"/>
  <c r="N230" i="13"/>
  <c r="O230" i="13" s="1"/>
  <c r="J55" i="12"/>
  <c r="J149" i="12"/>
  <c r="N54" i="13"/>
  <c r="O54" i="13" s="1"/>
  <c r="P54" i="13" s="1"/>
  <c r="Q54" i="13" s="1"/>
  <c r="K54" i="25" s="1"/>
  <c r="J169" i="12"/>
  <c r="J23" i="12"/>
  <c r="N158" i="13"/>
  <c r="O158" i="13" s="1"/>
  <c r="P158" i="13" s="1"/>
  <c r="Q158" i="13" s="1"/>
  <c r="K158" i="25" s="1"/>
  <c r="N48" i="13"/>
  <c r="O48" i="13" s="1"/>
  <c r="P48" i="13" s="1"/>
  <c r="Q48" i="13" s="1"/>
  <c r="K48" i="25" s="1"/>
  <c r="J166" i="12"/>
  <c r="N199" i="13"/>
  <c r="O199" i="13" s="1"/>
  <c r="P199" i="13" s="1"/>
  <c r="Q199" i="13" s="1"/>
  <c r="K199" i="25" s="1"/>
  <c r="J41" i="12"/>
  <c r="N144" i="13"/>
  <c r="O144" i="13" s="1"/>
  <c r="P144" i="13" s="1"/>
  <c r="Q144" i="13" s="1"/>
  <c r="K144" i="25" s="1"/>
  <c r="J138" i="12"/>
  <c r="N292" i="13"/>
  <c r="O292" i="13" s="1"/>
  <c r="P292" i="13" s="1"/>
  <c r="Q292" i="13" s="1"/>
  <c r="K292" i="25" s="1"/>
  <c r="J237" i="12"/>
  <c r="N68" i="13"/>
  <c r="O68" i="13" s="1"/>
  <c r="P68" i="13" s="1"/>
  <c r="Q68" i="13" s="1"/>
  <c r="K68" i="25" s="1"/>
  <c r="N133" i="13"/>
  <c r="O133" i="13" s="1"/>
  <c r="P133" i="13" s="1"/>
  <c r="Q133" i="13" s="1"/>
  <c r="K133" i="25" s="1"/>
  <c r="J64" i="12"/>
  <c r="N183" i="13"/>
  <c r="O183" i="13" s="1"/>
  <c r="P183" i="13" s="1"/>
  <c r="Q183" i="13" s="1"/>
  <c r="K183" i="25" s="1"/>
  <c r="N195" i="13"/>
  <c r="O195" i="13" s="1"/>
  <c r="P195" i="13" s="1"/>
  <c r="Q195" i="13" s="1"/>
  <c r="K195" i="25" s="1"/>
  <c r="J118" i="12"/>
  <c r="J309" i="12"/>
  <c r="N194" i="13"/>
  <c r="O194" i="13" s="1"/>
  <c r="P194" i="13" s="1"/>
  <c r="Q194" i="13" s="1"/>
  <c r="K194" i="25" s="1"/>
  <c r="N70" i="13"/>
  <c r="O70" i="13" s="1"/>
  <c r="P70" i="13" s="1"/>
  <c r="Q70" i="13" s="1"/>
  <c r="K70" i="25" s="1"/>
  <c r="J220" i="12"/>
  <c r="N161" i="13"/>
  <c r="O161" i="13" s="1"/>
  <c r="P161" i="13" s="1"/>
  <c r="Q161" i="13" s="1"/>
  <c r="K161" i="25" s="1"/>
  <c r="J97" i="12"/>
  <c r="J257" i="12"/>
  <c r="N146" i="13"/>
  <c r="O146" i="13" s="1"/>
  <c r="P146" i="13" s="1"/>
  <c r="J150" i="12"/>
  <c r="J71" i="12"/>
  <c r="N88" i="13"/>
  <c r="O88" i="13" s="1"/>
  <c r="P88" i="13" s="1"/>
  <c r="Q88" i="13" s="1"/>
  <c r="K88" i="25" s="1"/>
  <c r="N304" i="13"/>
  <c r="O304" i="13" s="1"/>
  <c r="P304" i="13" s="1"/>
  <c r="Q304" i="13" s="1"/>
  <c r="K304" i="25" s="1"/>
  <c r="J120" i="12"/>
  <c r="J74" i="12"/>
  <c r="J163" i="12"/>
  <c r="J76" i="12"/>
  <c r="N84" i="13"/>
  <c r="O84" i="13" s="1"/>
  <c r="N234" i="13"/>
  <c r="O234" i="13" s="1"/>
  <c r="P234" i="13" s="1"/>
  <c r="Q234" i="13" s="1"/>
  <c r="K234" i="25" s="1"/>
  <c r="N312" i="13"/>
  <c r="O312" i="13" s="1"/>
  <c r="P312" i="13" s="1"/>
  <c r="Q312" i="13" s="1"/>
  <c r="K312" i="25" s="1"/>
  <c r="N274" i="13"/>
  <c r="O274" i="13" s="1"/>
  <c r="P274" i="13" s="1"/>
  <c r="Q274" i="13" s="1"/>
  <c r="K274" i="25" s="1"/>
  <c r="N45" i="13"/>
  <c r="O45" i="13" s="1"/>
  <c r="P45" i="13" s="1"/>
  <c r="Q45" i="13" s="1"/>
  <c r="K45" i="25" s="1"/>
  <c r="J52" i="12"/>
  <c r="N311" i="13"/>
  <c r="O311" i="13" s="1"/>
  <c r="P311" i="13" s="1"/>
  <c r="Q311" i="13" s="1"/>
  <c r="K311" i="25" s="1"/>
  <c r="N132" i="13"/>
  <c r="O132" i="13" s="1"/>
  <c r="P132" i="13" s="1"/>
  <c r="Q132" i="13" s="1"/>
  <c r="K132" i="25" s="1"/>
  <c r="J313" i="12"/>
  <c r="J24" i="12"/>
  <c r="N294" i="13"/>
  <c r="O294" i="13" s="1"/>
  <c r="P294" i="13" s="1"/>
  <c r="Q294" i="13" s="1"/>
  <c r="K294" i="25" s="1"/>
  <c r="J271" i="12"/>
  <c r="N124" i="13"/>
  <c r="O124" i="13" s="1"/>
  <c r="P124" i="13" s="1"/>
  <c r="Q124" i="13" s="1"/>
  <c r="K124" i="25" s="1"/>
  <c r="N205" i="13"/>
  <c r="O205" i="13" s="1"/>
  <c r="P205" i="13" s="1"/>
  <c r="Q205" i="13" s="1"/>
  <c r="K205" i="25" s="1"/>
  <c r="J158" i="12"/>
  <c r="J229" i="12"/>
  <c r="N42" i="13"/>
  <c r="O42" i="13" s="1"/>
  <c r="P42" i="13" s="1"/>
  <c r="Q42" i="13" s="1"/>
  <c r="K42" i="25" s="1"/>
  <c r="N238" i="13"/>
  <c r="O238" i="13" s="1"/>
  <c r="P238" i="13" s="1"/>
  <c r="Q238" i="13" s="1"/>
  <c r="K238" i="25" s="1"/>
  <c r="J132" i="12"/>
  <c r="J182" i="12"/>
  <c r="J194" i="12"/>
  <c r="N310" i="13"/>
  <c r="O310" i="13" s="1"/>
  <c r="J69" i="12"/>
  <c r="N258" i="13"/>
  <c r="O258" i="13" s="1"/>
  <c r="P258" i="13" s="1"/>
  <c r="N164" i="13"/>
  <c r="O164" i="13" s="1"/>
  <c r="P164" i="13" s="1"/>
  <c r="Q164" i="13" s="1"/>
  <c r="K164" i="25" s="1"/>
  <c r="J83" i="12"/>
  <c r="J311" i="12"/>
  <c r="J44" i="12"/>
  <c r="N25" i="13"/>
  <c r="O25" i="13" s="1"/>
  <c r="P25" i="13" s="1"/>
  <c r="Q25" i="13" s="1"/>
  <c r="K25" i="25" s="1"/>
  <c r="J31" i="12"/>
  <c r="J22" i="12"/>
  <c r="J284" i="12"/>
  <c r="J197" i="12"/>
  <c r="N209" i="13"/>
  <c r="O209" i="13" s="1"/>
  <c r="P209" i="13" s="1"/>
  <c r="Q209" i="13" s="1"/>
  <c r="K209" i="25" s="1"/>
  <c r="N32" i="13"/>
  <c r="O32" i="13" s="1"/>
  <c r="P32" i="13" s="1"/>
  <c r="N277" i="13"/>
  <c r="O277" i="13" s="1"/>
  <c r="P277" i="13" s="1"/>
  <c r="Q277" i="13" s="1"/>
  <c r="K277" i="25" s="1"/>
  <c r="N23" i="13"/>
  <c r="O23" i="13" s="1"/>
  <c r="J238" i="12"/>
  <c r="J262" i="12"/>
  <c r="N285" i="13"/>
  <c r="O285" i="13" s="1"/>
  <c r="P285" i="13" s="1"/>
  <c r="Q285" i="13" s="1"/>
  <c r="K285" i="25" s="1"/>
  <c r="J140" i="12"/>
  <c r="J236" i="12"/>
  <c r="N135" i="13"/>
  <c r="O135" i="13" s="1"/>
  <c r="P135" i="13" s="1"/>
  <c r="Q135" i="13" s="1"/>
  <c r="K135" i="25" s="1"/>
  <c r="J183" i="12"/>
  <c r="N64" i="13"/>
  <c r="O64" i="13" s="1"/>
  <c r="P64" i="13" s="1"/>
  <c r="Q64" i="13" s="1"/>
  <c r="K64" i="25" s="1"/>
  <c r="J253" i="12"/>
  <c r="J260" i="12"/>
  <c r="N198" i="13"/>
  <c r="O198" i="13" s="1"/>
  <c r="P198" i="13" s="1"/>
  <c r="Q198" i="13" s="1"/>
  <c r="K198" i="25" s="1"/>
  <c r="N229" i="13"/>
  <c r="O229" i="13" s="1"/>
  <c r="P229" i="13" s="1"/>
  <c r="Q229" i="13" s="1"/>
  <c r="K229" i="25" s="1"/>
  <c r="N225" i="13"/>
  <c r="O225" i="13" s="1"/>
  <c r="P225" i="13" s="1"/>
  <c r="Q225" i="13" s="1"/>
  <c r="K225" i="25" s="1"/>
  <c r="J146" i="12"/>
  <c r="J91" i="12"/>
  <c r="N207" i="13"/>
  <c r="O207" i="13" s="1"/>
  <c r="N118" i="13"/>
  <c r="O118" i="13" s="1"/>
  <c r="P118" i="13" s="1"/>
  <c r="Q118" i="13" s="1"/>
  <c r="K118" i="25" s="1"/>
  <c r="N283" i="13"/>
  <c r="O283" i="13" s="1"/>
  <c r="P283" i="13" s="1"/>
  <c r="Q283" i="13" s="1"/>
  <c r="K283" i="25" s="1"/>
  <c r="J265" i="12"/>
  <c r="N36" i="13"/>
  <c r="O36" i="13" s="1"/>
  <c r="J6" i="12"/>
  <c r="N172" i="13"/>
  <c r="O172" i="13" s="1"/>
  <c r="P172" i="13" s="1"/>
  <c r="Q172" i="13" s="1"/>
  <c r="K172" i="25" s="1"/>
  <c r="J242" i="12"/>
  <c r="J88" i="12"/>
  <c r="J180" i="12"/>
  <c r="N18" i="13"/>
  <c r="O18" i="13" s="1"/>
  <c r="P18" i="13" s="1"/>
  <c r="Q18" i="13" s="1"/>
  <c r="K18" i="25" s="1"/>
  <c r="N14" i="13"/>
  <c r="O14" i="13" s="1"/>
  <c r="N298" i="13"/>
  <c r="O298" i="13" s="1"/>
  <c r="P298" i="13" s="1"/>
  <c r="Q298" i="13" s="1"/>
  <c r="K298" i="25" s="1"/>
  <c r="N295" i="13"/>
  <c r="O295" i="13" s="1"/>
  <c r="P295" i="13" s="1"/>
  <c r="Q295" i="13" s="1"/>
  <c r="K295" i="25" s="1"/>
  <c r="N31" i="13"/>
  <c r="O31" i="13" s="1"/>
  <c r="P31" i="13" s="1"/>
  <c r="N276" i="13"/>
  <c r="O276" i="13" s="1"/>
  <c r="P276" i="13" s="1"/>
  <c r="Q276" i="13" s="1"/>
  <c r="K276" i="25" s="1"/>
  <c r="N85" i="13"/>
  <c r="O85" i="13" s="1"/>
  <c r="P85" i="13" s="1"/>
  <c r="Q85" i="13" s="1"/>
  <c r="K85" i="25" s="1"/>
  <c r="N139" i="13"/>
  <c r="O139" i="13" s="1"/>
  <c r="P139" i="13" s="1"/>
  <c r="Q139" i="13" s="1"/>
  <c r="K139" i="25" s="1"/>
  <c r="J93" i="12"/>
  <c r="J227" i="12"/>
  <c r="J291" i="12"/>
  <c r="N8" i="13"/>
  <c r="O8" i="13" s="1"/>
  <c r="P8" i="13" s="1"/>
  <c r="Q8" i="13" s="1"/>
  <c r="K8" i="25" s="1"/>
  <c r="J152" i="12"/>
  <c r="N129" i="13"/>
  <c r="O129" i="13" s="1"/>
  <c r="N178" i="13"/>
  <c r="O178" i="13" s="1"/>
  <c r="P178" i="13" s="1"/>
  <c r="N50" i="13"/>
  <c r="O50" i="13" s="1"/>
  <c r="P50" i="13" s="1"/>
  <c r="Q50" i="13" s="1"/>
  <c r="K50" i="25" s="1"/>
  <c r="N306" i="13"/>
  <c r="O306" i="13" s="1"/>
  <c r="P306" i="13" s="1"/>
  <c r="Q306" i="13" s="1"/>
  <c r="K306" i="25" s="1"/>
  <c r="J280" i="12"/>
  <c r="J199" i="12"/>
  <c r="N246" i="13"/>
  <c r="O246" i="13" s="1"/>
  <c r="P246" i="13" s="1"/>
  <c r="Q246" i="13" s="1"/>
  <c r="K246" i="25" s="1"/>
  <c r="J142" i="12"/>
  <c r="J154" i="12"/>
  <c r="N82" i="13"/>
  <c r="O82" i="13" s="1"/>
  <c r="J314" i="12"/>
  <c r="J80" i="12"/>
  <c r="N12" i="13"/>
  <c r="O12" i="13" s="1"/>
  <c r="J119" i="12"/>
  <c r="N10" i="13"/>
  <c r="O10" i="13" s="1"/>
  <c r="N83" i="13"/>
  <c r="O83" i="13" s="1"/>
  <c r="P83" i="13" s="1"/>
  <c r="Q83" i="13" s="1"/>
  <c r="K83" i="25" s="1"/>
  <c r="N61" i="13"/>
  <c r="O61" i="13" s="1"/>
  <c r="J222" i="12"/>
  <c r="J218" i="12"/>
  <c r="N169" i="13"/>
  <c r="O169" i="13" s="1"/>
  <c r="N72" i="13"/>
  <c r="O72" i="13" s="1"/>
  <c r="P72" i="13" s="1"/>
  <c r="Q72" i="13" s="1"/>
  <c r="K72" i="25" s="1"/>
  <c r="N269" i="13"/>
  <c r="O269" i="13" s="1"/>
  <c r="J221" i="12"/>
  <c r="J239" i="12"/>
  <c r="N191" i="13"/>
  <c r="O191" i="13" s="1"/>
  <c r="J303" i="12"/>
  <c r="N52" i="13"/>
  <c r="O52" i="13" s="1"/>
  <c r="P52" i="13" s="1"/>
  <c r="Q52" i="13" s="1"/>
  <c r="K52" i="25" s="1"/>
  <c r="N287" i="13"/>
  <c r="O287" i="13" s="1"/>
  <c r="N75" i="13"/>
  <c r="O75" i="13" s="1"/>
  <c r="N107" i="13"/>
  <c r="O107" i="13" s="1"/>
  <c r="P107" i="13" s="1"/>
  <c r="Q107" i="13" s="1"/>
  <c r="K107" i="25" s="1"/>
  <c r="J312" i="12"/>
  <c r="N116" i="13"/>
  <c r="O116" i="13" s="1"/>
  <c r="P116" i="13" s="1"/>
  <c r="Q116" i="13" s="1"/>
  <c r="K116" i="25" s="1"/>
  <c r="N38" i="13"/>
  <c r="O38" i="13" s="1"/>
  <c r="N58" i="13"/>
  <c r="O58" i="13" s="1"/>
  <c r="P58" i="13" s="1"/>
  <c r="Q58" i="13" s="1"/>
  <c r="K58" i="25" s="1"/>
  <c r="J196" i="12"/>
  <c r="J19" i="12"/>
  <c r="N39" i="13"/>
  <c r="O39" i="13" s="1"/>
  <c r="P39" i="13" s="1"/>
  <c r="Q39" i="13" s="1"/>
  <c r="K39" i="25" s="1"/>
  <c r="N165" i="13"/>
  <c r="O165" i="13" s="1"/>
  <c r="P165" i="13" s="1"/>
  <c r="Q165" i="13" s="1"/>
  <c r="K165" i="25" s="1"/>
  <c r="N106" i="13"/>
  <c r="O106" i="13" s="1"/>
  <c r="P106" i="13" s="1"/>
  <c r="Q106" i="13" s="1"/>
  <c r="K106" i="25" s="1"/>
  <c r="N252" i="13"/>
  <c r="O252" i="13" s="1"/>
  <c r="J151" i="12"/>
  <c r="J16" i="12"/>
  <c r="J310" i="12"/>
  <c r="J302" i="12"/>
  <c r="J216" i="12"/>
  <c r="N314" i="13"/>
  <c r="O314" i="13" s="1"/>
  <c r="P314" i="13" s="1"/>
  <c r="Q314" i="13" s="1"/>
  <c r="K314" i="25" s="1"/>
  <c r="J29" i="12"/>
  <c r="N224" i="13"/>
  <c r="O224" i="13" s="1"/>
  <c r="P224" i="13" s="1"/>
  <c r="Q224" i="13" s="1"/>
  <c r="K224" i="25" s="1"/>
  <c r="J258" i="12"/>
  <c r="J86" i="12"/>
  <c r="J293" i="12"/>
  <c r="J186" i="12"/>
  <c r="J50" i="12"/>
  <c r="N237" i="13"/>
  <c r="O237" i="13" s="1"/>
  <c r="P237" i="13" s="1"/>
  <c r="Q237" i="13" s="1"/>
  <c r="K237" i="25" s="1"/>
  <c r="J228" i="12"/>
  <c r="N147" i="13"/>
  <c r="O147" i="13" s="1"/>
  <c r="P147" i="13" s="1"/>
  <c r="Q147" i="13" s="1"/>
  <c r="K147" i="25" s="1"/>
  <c r="J117" i="12"/>
  <c r="N266" i="13"/>
  <c r="O266" i="13" s="1"/>
  <c r="P266" i="13" s="1"/>
  <c r="Q266" i="13" s="1"/>
  <c r="K266" i="25" s="1"/>
  <c r="J35" i="12"/>
  <c r="J171" i="12"/>
  <c r="N181" i="13"/>
  <c r="O181" i="13" s="1"/>
  <c r="J13" i="12"/>
  <c r="J30" i="12"/>
  <c r="J84" i="12"/>
  <c r="N228" i="13"/>
  <c r="O228" i="13" s="1"/>
  <c r="P228" i="13" s="1"/>
  <c r="Q228" i="13" s="1"/>
  <c r="K228" i="25" s="1"/>
  <c r="J7" i="12"/>
  <c r="J177" i="12"/>
  <c r="J305" i="12"/>
  <c r="N143" i="13"/>
  <c r="O143" i="13" s="1"/>
  <c r="P143" i="13" s="1"/>
  <c r="Q143" i="13" s="1"/>
  <c r="K143" i="25" s="1"/>
  <c r="J81" i="12"/>
  <c r="J11" i="12"/>
  <c r="J9" i="12"/>
  <c r="N223" i="13"/>
  <c r="O223" i="13" s="1"/>
  <c r="J168" i="12"/>
  <c r="J268" i="12"/>
  <c r="N222" i="13"/>
  <c r="O222" i="13" s="1"/>
  <c r="P222" i="13" s="1"/>
  <c r="J190" i="12"/>
  <c r="J286" i="12"/>
  <c r="J106" i="12"/>
  <c r="J37" i="12"/>
  <c r="N197" i="13"/>
  <c r="O197" i="13" s="1"/>
  <c r="P197" i="13" s="1"/>
  <c r="J164" i="12"/>
  <c r="J251" i="12"/>
  <c r="N17" i="13"/>
  <c r="O17" i="13" s="1"/>
  <c r="P17" i="13" s="1"/>
  <c r="Q17" i="13" s="1"/>
  <c r="K17" i="25" s="1"/>
  <c r="N217" i="13"/>
  <c r="O217" i="13" s="1"/>
  <c r="N30" i="13"/>
  <c r="O30" i="13" s="1"/>
  <c r="P30" i="13" s="1"/>
  <c r="Q30" i="13" s="1"/>
  <c r="K30" i="25" s="1"/>
  <c r="N87" i="13"/>
  <c r="O87" i="13" s="1"/>
  <c r="P87" i="13" s="1"/>
  <c r="Q87" i="13" s="1"/>
  <c r="K87" i="25" s="1"/>
  <c r="N51" i="13"/>
  <c r="O51" i="13" s="1"/>
  <c r="P51" i="13" s="1"/>
  <c r="Q51" i="13" s="1"/>
  <c r="K51" i="25" s="1"/>
  <c r="P19" i="13"/>
  <c r="Q19" i="13" s="1"/>
  <c r="K19" i="25" s="1"/>
  <c r="J235" i="12"/>
  <c r="I235" i="12"/>
  <c r="J236" i="25" s="1"/>
  <c r="J99" i="12"/>
  <c r="I99" i="12"/>
  <c r="J100" i="25" s="1"/>
  <c r="J287" i="12"/>
  <c r="I287" i="12"/>
  <c r="J288" i="25" s="1"/>
  <c r="J188" i="12"/>
  <c r="N15" i="13"/>
  <c r="O15" i="13" s="1"/>
  <c r="J208" i="12"/>
  <c r="J231" i="12"/>
  <c r="N290" i="13"/>
  <c r="O290" i="13" s="1"/>
  <c r="N189" i="13"/>
  <c r="O189" i="13" s="1"/>
  <c r="J40" i="12"/>
  <c r="J14" i="12"/>
  <c r="N138" i="13"/>
  <c r="O138" i="13" s="1"/>
  <c r="J175" i="12"/>
  <c r="N263" i="13"/>
  <c r="O263" i="13" s="1"/>
  <c r="N157" i="13"/>
  <c r="O157" i="13" s="1"/>
  <c r="N141" i="13"/>
  <c r="O141" i="13" s="1"/>
  <c r="J130" i="12"/>
  <c r="J134" i="12"/>
  <c r="N211" i="13"/>
  <c r="O211" i="13" s="1"/>
  <c r="I210" i="12"/>
  <c r="J211" i="25" s="1"/>
  <c r="N322" i="13"/>
  <c r="O322" i="13" s="1"/>
  <c r="J66" i="12"/>
  <c r="J63" i="12"/>
  <c r="J89" i="12"/>
  <c r="I89" i="12"/>
  <c r="J90" i="25" s="1"/>
  <c r="J25" i="12"/>
  <c r="J316" i="12"/>
  <c r="J234" i="12"/>
  <c r="N63" i="13"/>
  <c r="O63" i="13" s="1"/>
  <c r="N168" i="13"/>
  <c r="O168" i="13" s="1"/>
  <c r="N43" i="13"/>
  <c r="O43" i="13" s="1"/>
  <c r="N231" i="13"/>
  <c r="O231" i="13" s="1"/>
  <c r="J98" i="12"/>
  <c r="N203" i="13"/>
  <c r="O203" i="13" s="1"/>
  <c r="N57" i="13"/>
  <c r="O57" i="13" s="1"/>
  <c r="J308" i="12"/>
  <c r="J225" i="12"/>
  <c r="J206" i="12"/>
  <c r="N78" i="13"/>
  <c r="O78" i="13" s="1"/>
  <c r="J124" i="12"/>
  <c r="N47" i="13"/>
  <c r="O47" i="13" s="1"/>
  <c r="N236" i="13"/>
  <c r="O236" i="13" s="1"/>
  <c r="J304" i="12"/>
  <c r="J127" i="12"/>
  <c r="J53" i="12"/>
  <c r="J102" i="12"/>
  <c r="N24" i="13"/>
  <c r="O24" i="13" s="1"/>
  <c r="N220" i="13"/>
  <c r="O220" i="13" s="1"/>
  <c r="N89" i="13"/>
  <c r="O89" i="13" s="1"/>
  <c r="J70" i="12"/>
  <c r="N112" i="13"/>
  <c r="O112" i="13" s="1"/>
  <c r="N73" i="13"/>
  <c r="O73" i="13" s="1"/>
  <c r="I72" i="12"/>
  <c r="J73" i="25" s="1"/>
  <c r="J17" i="12"/>
  <c r="N105" i="13"/>
  <c r="O105" i="13" s="1"/>
  <c r="N167" i="13"/>
  <c r="O167" i="13" s="1"/>
  <c r="N253" i="13"/>
  <c r="O253" i="13" s="1"/>
  <c r="N80" i="13"/>
  <c r="O80" i="13" s="1"/>
  <c r="J294" i="12"/>
  <c r="J320" i="12"/>
  <c r="J143" i="12"/>
  <c r="J155" i="12"/>
  <c r="J58" i="12"/>
  <c r="J174" i="12"/>
  <c r="N213" i="13"/>
  <c r="O213" i="13" s="1"/>
  <c r="N190" i="13"/>
  <c r="O190" i="13" s="1"/>
  <c r="N94" i="13"/>
  <c r="O94" i="13" s="1"/>
  <c r="N134" i="13"/>
  <c r="O134" i="13" s="1"/>
  <c r="J61" i="12"/>
  <c r="N216" i="13"/>
  <c r="O216" i="13" s="1"/>
  <c r="N289" i="13"/>
  <c r="O289" i="13" s="1"/>
  <c r="N11" i="13"/>
  <c r="O11" i="13" s="1"/>
  <c r="J114" i="12"/>
  <c r="J295" i="12"/>
  <c r="J128" i="12"/>
  <c r="N179" i="13"/>
  <c r="O179" i="13" s="1"/>
  <c r="N149" i="13"/>
  <c r="O149" i="13" s="1"/>
  <c r="N79" i="13"/>
  <c r="O79" i="13" s="1"/>
  <c r="J67" i="12"/>
  <c r="J59" i="12"/>
  <c r="N65" i="13"/>
  <c r="O65" i="13" s="1"/>
  <c r="N102" i="13"/>
  <c r="O102" i="13" s="1"/>
  <c r="J100" i="12"/>
  <c r="N186" i="13"/>
  <c r="O186" i="13" s="1"/>
  <c r="J245" i="12"/>
  <c r="J241" i="12"/>
  <c r="N210" i="13"/>
  <c r="O210" i="13" s="1"/>
  <c r="N154" i="13"/>
  <c r="O154" i="13" s="1"/>
  <c r="N119" i="13"/>
  <c r="O119" i="13" s="1"/>
  <c r="J277" i="12"/>
  <c r="J193" i="12"/>
  <c r="J33" i="12"/>
  <c r="N81" i="13"/>
  <c r="O81" i="13" s="1"/>
  <c r="J116" i="12"/>
  <c r="J165" i="12"/>
  <c r="N227" i="13"/>
  <c r="O227" i="13" s="1"/>
  <c r="J254" i="12"/>
  <c r="J250" i="12"/>
  <c r="J283" i="12"/>
  <c r="J15" i="12"/>
  <c r="J60" i="12"/>
  <c r="J125" i="12"/>
  <c r="J145" i="12"/>
  <c r="J162" i="12"/>
  <c r="I162" i="12"/>
  <c r="J163" i="25" s="1"/>
  <c r="N219" i="13"/>
  <c r="O219" i="13" s="1"/>
  <c r="J75" i="12"/>
  <c r="N142" i="13"/>
  <c r="O142" i="13" s="1"/>
  <c r="J270" i="12"/>
  <c r="N299" i="13"/>
  <c r="O299" i="13" s="1"/>
  <c r="J43" i="12"/>
  <c r="N267" i="13"/>
  <c r="O267" i="13" s="1"/>
  <c r="J87" i="12"/>
  <c r="J68" i="12"/>
  <c r="J278" i="12"/>
  <c r="J32" i="12"/>
  <c r="J8" i="12"/>
  <c r="J161" i="12"/>
  <c r="J51" i="12"/>
  <c r="N122" i="13"/>
  <c r="O122" i="13" s="1"/>
  <c r="N37" i="13"/>
  <c r="O37" i="13" s="1"/>
  <c r="J173" i="12"/>
  <c r="N55" i="13"/>
  <c r="O55" i="13" s="1"/>
  <c r="N136" i="13"/>
  <c r="O136" i="13" s="1"/>
  <c r="N196" i="13"/>
  <c r="O196" i="13" s="1"/>
  <c r="J136" i="12"/>
  <c r="J115" i="12"/>
  <c r="N204" i="13"/>
  <c r="O204" i="13" s="1"/>
  <c r="J21" i="12"/>
  <c r="J322" i="12"/>
  <c r="N77" i="13"/>
  <c r="O77" i="13" s="1"/>
  <c r="J12" i="12"/>
  <c r="J233" i="12"/>
  <c r="N300" i="13"/>
  <c r="O300" i="13" s="1"/>
  <c r="J38" i="12"/>
  <c r="J103" i="12"/>
  <c r="J315" i="12"/>
  <c r="J96" i="12"/>
  <c r="I96" i="12"/>
  <c r="J97" i="25" s="1"/>
  <c r="J105" i="12"/>
  <c r="J318" i="12"/>
  <c r="N53" i="13"/>
  <c r="O53" i="13" s="1"/>
  <c r="J110" i="12"/>
  <c r="N177" i="13"/>
  <c r="O177" i="13" s="1"/>
  <c r="N218" i="13"/>
  <c r="O218" i="13" s="1"/>
  <c r="J126" i="12"/>
  <c r="J107" i="12"/>
  <c r="N303" i="13"/>
  <c r="O303" i="13" s="1"/>
  <c r="N182" i="13"/>
  <c r="O182" i="13" s="1"/>
  <c r="N201" i="13"/>
  <c r="O201" i="13" s="1"/>
  <c r="N308" i="13"/>
  <c r="O308" i="13" s="1"/>
  <c r="N173" i="13"/>
  <c r="O173" i="13" s="1"/>
  <c r="J205" i="12"/>
  <c r="J240" i="12"/>
  <c r="N109" i="13"/>
  <c r="O109" i="13" s="1"/>
  <c r="N259" i="13"/>
  <c r="O259" i="13" s="1"/>
  <c r="N35" i="13"/>
  <c r="O35" i="13" s="1"/>
  <c r="N249" i="13"/>
  <c r="O249" i="13" s="1"/>
  <c r="J85" i="12"/>
  <c r="J112" i="12"/>
  <c r="N297" i="13"/>
  <c r="O297" i="13" s="1"/>
  <c r="N188" i="13"/>
  <c r="O188" i="13" s="1"/>
  <c r="N250" i="13"/>
  <c r="O250" i="13" s="1"/>
  <c r="N187" i="13"/>
  <c r="O187" i="13" s="1"/>
  <c r="J184" i="12"/>
  <c r="J292" i="12"/>
  <c r="N302" i="13"/>
  <c r="O302" i="13" s="1"/>
  <c r="N49" i="13"/>
  <c r="O49" i="13" s="1"/>
  <c r="I48" i="12"/>
  <c r="J49" i="25" s="1"/>
  <c r="J170" i="12"/>
  <c r="I170" i="12"/>
  <c r="J171" i="25" s="1"/>
  <c r="J18" i="12"/>
  <c r="I18" i="12"/>
  <c r="J19" i="25" s="1"/>
  <c r="J261" i="12"/>
  <c r="I261" i="12"/>
  <c r="J262" i="25" s="1"/>
  <c r="E38" i="48"/>
  <c r="J323" i="39"/>
  <c r="N232" i="13"/>
  <c r="O232" i="13" s="1"/>
  <c r="N176" i="13"/>
  <c r="O176" i="13" s="1"/>
  <c r="J156" i="12"/>
  <c r="N131" i="13"/>
  <c r="O131" i="13" s="1"/>
  <c r="N67" i="13"/>
  <c r="O67" i="13" s="1"/>
  <c r="N317" i="13"/>
  <c r="O317" i="13" s="1"/>
  <c r="N235" i="13"/>
  <c r="O235" i="13" s="1"/>
  <c r="J167" i="12"/>
  <c r="J42" i="12"/>
  <c r="N99" i="13"/>
  <c r="O99" i="13" s="1"/>
  <c r="J56" i="12"/>
  <c r="N226" i="13"/>
  <c r="O226" i="13" s="1"/>
  <c r="J77" i="12"/>
  <c r="J46" i="12"/>
  <c r="N128" i="13"/>
  <c r="O128" i="13" s="1"/>
  <c r="N103" i="13"/>
  <c r="O103" i="13" s="1"/>
  <c r="J219" i="12"/>
  <c r="N71" i="13"/>
  <c r="O71" i="13" s="1"/>
  <c r="J104" i="12"/>
  <c r="J252" i="12"/>
  <c r="J79" i="12"/>
  <c r="N321" i="13"/>
  <c r="O321" i="13" s="1"/>
  <c r="N156" i="13"/>
  <c r="O156" i="13" s="1"/>
  <c r="N175" i="13"/>
  <c r="O175" i="13" s="1"/>
  <c r="J189" i="12"/>
  <c r="N212" i="13"/>
  <c r="O212" i="13" s="1"/>
  <c r="I211" i="12"/>
  <c r="J212" i="25" s="1"/>
  <c r="J133" i="12"/>
  <c r="J215" i="12"/>
  <c r="J10" i="12"/>
  <c r="N296" i="13"/>
  <c r="O296" i="13" s="1"/>
  <c r="J178" i="12"/>
  <c r="J78" i="12"/>
  <c r="N60" i="13"/>
  <c r="O60" i="13" s="1"/>
  <c r="J101" i="12"/>
  <c r="J185" i="12"/>
  <c r="N242" i="13"/>
  <c r="O242" i="13" s="1"/>
  <c r="J153" i="12"/>
  <c r="N278" i="13"/>
  <c r="O278" i="13" s="1"/>
  <c r="N34" i="13"/>
  <c r="O34" i="13" s="1"/>
  <c r="N117" i="13"/>
  <c r="O117" i="13" s="1"/>
  <c r="J226" i="12"/>
  <c r="N251" i="13"/>
  <c r="O251" i="13" s="1"/>
  <c r="N16" i="13"/>
  <c r="O16" i="13" s="1"/>
  <c r="N126" i="13"/>
  <c r="O126" i="13" s="1"/>
  <c r="P163" i="13"/>
  <c r="Q163" i="13" s="1"/>
  <c r="K163" i="25" s="1"/>
  <c r="G163" i="52" s="1"/>
  <c r="H163" i="52" s="1"/>
  <c r="N76" i="13"/>
  <c r="O76" i="13" s="1"/>
  <c r="N271" i="13"/>
  <c r="O271" i="13" s="1"/>
  <c r="N44" i="13"/>
  <c r="O44" i="13" s="1"/>
  <c r="J266" i="12"/>
  <c r="N69" i="13"/>
  <c r="O69" i="13" s="1"/>
  <c r="N33" i="13"/>
  <c r="O33" i="13" s="1"/>
  <c r="N162" i="13"/>
  <c r="O162" i="13" s="1"/>
  <c r="J121" i="12"/>
  <c r="N174" i="13"/>
  <c r="O174" i="13" s="1"/>
  <c r="J135" i="12"/>
  <c r="N137" i="13"/>
  <c r="O137" i="13" s="1"/>
  <c r="J203" i="12"/>
  <c r="N323" i="13"/>
  <c r="O323" i="13" s="1"/>
  <c r="N13" i="13"/>
  <c r="O13" i="13" s="1"/>
  <c r="J299" i="12"/>
  <c r="N104" i="13"/>
  <c r="O104" i="13" s="1"/>
  <c r="N319" i="13"/>
  <c r="O319" i="13" s="1"/>
  <c r="N111" i="13"/>
  <c r="O111" i="13" s="1"/>
  <c r="J217" i="12"/>
  <c r="N108" i="13"/>
  <c r="O108" i="13" s="1"/>
  <c r="J181" i="12"/>
  <c r="J307" i="12"/>
  <c r="N206" i="13"/>
  <c r="O206" i="13" s="1"/>
  <c r="J108" i="12"/>
  <c r="J34" i="12"/>
  <c r="N86" i="13"/>
  <c r="O86" i="13" s="1"/>
  <c r="J243" i="12"/>
  <c r="I243" i="12"/>
  <c r="J244" i="25" s="1"/>
  <c r="J296" i="12"/>
  <c r="J249" i="12"/>
  <c r="N185" i="13"/>
  <c r="O185" i="13" s="1"/>
  <c r="J301" i="12"/>
  <c r="G19" i="52" l="1"/>
  <c r="H19" i="52" s="1"/>
  <c r="G90" i="52"/>
  <c r="H90" i="52" s="1"/>
  <c r="G244" i="52"/>
  <c r="H244" i="52" s="1"/>
  <c r="G262" i="52"/>
  <c r="H262" i="52" s="1"/>
  <c r="G288" i="52"/>
  <c r="H288" i="52" s="1"/>
  <c r="G100" i="52"/>
  <c r="H100" i="52" s="1"/>
  <c r="G97" i="52"/>
  <c r="H97" i="52" s="1"/>
  <c r="G171" i="52"/>
  <c r="H171" i="52" s="1"/>
  <c r="L87" i="25"/>
  <c r="N87" i="25" s="1"/>
  <c r="G87" i="52"/>
  <c r="H87" i="52" s="1"/>
  <c r="L143" i="25"/>
  <c r="N143" i="25" s="1"/>
  <c r="G143" i="52"/>
  <c r="H143" i="52" s="1"/>
  <c r="L228" i="25"/>
  <c r="N228" i="25" s="1"/>
  <c r="G228" i="52"/>
  <c r="H228" i="52" s="1"/>
  <c r="L106" i="25"/>
  <c r="N106" i="25" s="1"/>
  <c r="G106" i="52"/>
  <c r="H106" i="52" s="1"/>
  <c r="L39" i="25"/>
  <c r="N39" i="25" s="1"/>
  <c r="G39" i="52"/>
  <c r="H39" i="52" s="1"/>
  <c r="L52" i="25"/>
  <c r="N52" i="25" s="1"/>
  <c r="G52" i="52"/>
  <c r="H52" i="52" s="1"/>
  <c r="L72" i="25"/>
  <c r="N72" i="25" s="1"/>
  <c r="G72" i="52"/>
  <c r="H72" i="52" s="1"/>
  <c r="L246" i="25"/>
  <c r="N246" i="25" s="1"/>
  <c r="G246" i="52"/>
  <c r="H246" i="52" s="1"/>
  <c r="L50" i="25"/>
  <c r="G50" i="52"/>
  <c r="H50" i="52" s="1"/>
  <c r="L8" i="25"/>
  <c r="N8" i="25" s="1"/>
  <c r="G8" i="52"/>
  <c r="H8" i="52" s="1"/>
  <c r="L139" i="25"/>
  <c r="N139" i="25" s="1"/>
  <c r="G139" i="52"/>
  <c r="H139" i="52" s="1"/>
  <c r="L276" i="25"/>
  <c r="N276" i="25" s="1"/>
  <c r="G276" i="52"/>
  <c r="H276" i="52" s="1"/>
  <c r="L295" i="25"/>
  <c r="N295" i="25" s="1"/>
  <c r="G295" i="52"/>
  <c r="H295" i="52" s="1"/>
  <c r="L118" i="25"/>
  <c r="N118" i="25" s="1"/>
  <c r="G118" i="52"/>
  <c r="H118" i="52" s="1"/>
  <c r="L225" i="25"/>
  <c r="N225" i="25" s="1"/>
  <c r="G225" i="52"/>
  <c r="H225" i="52" s="1"/>
  <c r="L198" i="25"/>
  <c r="N198" i="25" s="1"/>
  <c r="G198" i="52"/>
  <c r="H198" i="52" s="1"/>
  <c r="L285" i="25"/>
  <c r="N285" i="25" s="1"/>
  <c r="G285" i="52"/>
  <c r="H285" i="52" s="1"/>
  <c r="L277" i="25"/>
  <c r="N277" i="25" s="1"/>
  <c r="G277" i="52"/>
  <c r="H277" i="52" s="1"/>
  <c r="L209" i="25"/>
  <c r="N209" i="25" s="1"/>
  <c r="G209" i="52"/>
  <c r="H209" i="52" s="1"/>
  <c r="L238" i="25"/>
  <c r="N238" i="25" s="1"/>
  <c r="G238" i="52"/>
  <c r="H238" i="52" s="1"/>
  <c r="L205" i="25"/>
  <c r="N205" i="25" s="1"/>
  <c r="G205" i="52"/>
  <c r="H205" i="52" s="1"/>
  <c r="L132" i="25"/>
  <c r="G132" i="52"/>
  <c r="H132" i="52" s="1"/>
  <c r="L274" i="25"/>
  <c r="N274" i="25" s="1"/>
  <c r="G274" i="52"/>
  <c r="H274" i="52" s="1"/>
  <c r="L234" i="25"/>
  <c r="N234" i="25" s="1"/>
  <c r="G234" i="52"/>
  <c r="H234" i="52" s="1"/>
  <c r="L304" i="25"/>
  <c r="N304" i="25" s="1"/>
  <c r="G304" i="52"/>
  <c r="H304" i="52" s="1"/>
  <c r="L194" i="25"/>
  <c r="N194" i="25" s="1"/>
  <c r="G194" i="52"/>
  <c r="H194" i="52" s="1"/>
  <c r="L183" i="25"/>
  <c r="G183" i="52"/>
  <c r="H183" i="52" s="1"/>
  <c r="L133" i="25"/>
  <c r="N133" i="25" s="1"/>
  <c r="G133" i="52"/>
  <c r="H133" i="52" s="1"/>
  <c r="L158" i="25"/>
  <c r="N158" i="25" s="1"/>
  <c r="G158" i="52"/>
  <c r="H158" i="52" s="1"/>
  <c r="L248" i="25"/>
  <c r="G248" i="52"/>
  <c r="H248" i="52" s="1"/>
  <c r="L208" i="25"/>
  <c r="N208" i="25" s="1"/>
  <c r="G208" i="52"/>
  <c r="H208" i="52" s="1"/>
  <c r="L307" i="25"/>
  <c r="N307" i="25" s="1"/>
  <c r="G307" i="52"/>
  <c r="H307" i="52" s="1"/>
  <c r="L282" i="25"/>
  <c r="N282" i="25" s="1"/>
  <c r="G282" i="52"/>
  <c r="H282" i="52" s="1"/>
  <c r="L150" i="25"/>
  <c r="N150" i="25" s="1"/>
  <c r="G150" i="52"/>
  <c r="H150" i="52" s="1"/>
  <c r="L280" i="25"/>
  <c r="N280" i="25" s="1"/>
  <c r="G280" i="52"/>
  <c r="H280" i="52" s="1"/>
  <c r="L275" i="25"/>
  <c r="N275" i="25" s="1"/>
  <c r="G275" i="52"/>
  <c r="H275" i="52" s="1"/>
  <c r="L241" i="25"/>
  <c r="N241" i="25" s="1"/>
  <c r="G241" i="52"/>
  <c r="H241" i="52" s="1"/>
  <c r="L22" i="25"/>
  <c r="N22" i="25" s="1"/>
  <c r="G22" i="52"/>
  <c r="H22" i="52" s="1"/>
  <c r="L160" i="25"/>
  <c r="N160" i="25" s="1"/>
  <c r="G160" i="52"/>
  <c r="H160" i="52" s="1"/>
  <c r="L221" i="25"/>
  <c r="G221" i="52"/>
  <c r="H221" i="52" s="1"/>
  <c r="L91" i="25"/>
  <c r="N91" i="25" s="1"/>
  <c r="G91" i="52"/>
  <c r="H91" i="52" s="1"/>
  <c r="L247" i="25"/>
  <c r="N247" i="25" s="1"/>
  <c r="G247" i="52"/>
  <c r="H247" i="52" s="1"/>
  <c r="L233" i="25"/>
  <c r="N233" i="25" s="1"/>
  <c r="G233" i="52"/>
  <c r="H233" i="52" s="1"/>
  <c r="L245" i="25"/>
  <c r="N245" i="25" s="1"/>
  <c r="G245" i="52"/>
  <c r="H245" i="52" s="1"/>
  <c r="L155" i="25"/>
  <c r="N155" i="25" s="1"/>
  <c r="G155" i="52"/>
  <c r="H155" i="52" s="1"/>
  <c r="L101" i="25"/>
  <c r="N101" i="25" s="1"/>
  <c r="G101" i="52"/>
  <c r="H101" i="52" s="1"/>
  <c r="L96" i="25"/>
  <c r="N96" i="25" s="1"/>
  <c r="G96" i="52"/>
  <c r="H96" i="52" s="1"/>
  <c r="L121" i="25"/>
  <c r="N121" i="25" s="1"/>
  <c r="G121" i="52"/>
  <c r="H121" i="52" s="1"/>
  <c r="L202" i="25"/>
  <c r="N202" i="25" s="1"/>
  <c r="G202" i="52"/>
  <c r="H202" i="52" s="1"/>
  <c r="L286" i="25"/>
  <c r="N286" i="25" s="1"/>
  <c r="G286" i="52"/>
  <c r="H286" i="52" s="1"/>
  <c r="L281" i="25"/>
  <c r="N281" i="25" s="1"/>
  <c r="G281" i="52"/>
  <c r="H281" i="52" s="1"/>
  <c r="L153" i="25"/>
  <c r="N153" i="25" s="1"/>
  <c r="G153" i="52"/>
  <c r="H153" i="52" s="1"/>
  <c r="L184" i="25"/>
  <c r="N184" i="25" s="1"/>
  <c r="G184" i="52"/>
  <c r="H184" i="52" s="1"/>
  <c r="L113" i="25"/>
  <c r="N113" i="25" s="1"/>
  <c r="G113" i="52"/>
  <c r="H113" i="52" s="1"/>
  <c r="L279" i="25"/>
  <c r="G279" i="52"/>
  <c r="H279" i="52" s="1"/>
  <c r="L62" i="25"/>
  <c r="N62" i="25" s="1"/>
  <c r="G62" i="52"/>
  <c r="H62" i="52" s="1"/>
  <c r="L305" i="25"/>
  <c r="N305" i="25" s="1"/>
  <c r="G305" i="52"/>
  <c r="H305" i="52" s="1"/>
  <c r="L26" i="25"/>
  <c r="N26" i="25" s="1"/>
  <c r="G26" i="52"/>
  <c r="L29" i="25"/>
  <c r="N29" i="25" s="1"/>
  <c r="G29" i="52"/>
  <c r="H29" i="52" s="1"/>
  <c r="L318" i="25"/>
  <c r="G318" i="52"/>
  <c r="H318" i="52" s="1"/>
  <c r="L257" i="25"/>
  <c r="N257" i="25" s="1"/>
  <c r="G257" i="52"/>
  <c r="H257" i="52" s="1"/>
  <c r="L200" i="25"/>
  <c r="N200" i="25" s="1"/>
  <c r="G200" i="52"/>
  <c r="H200" i="52" s="1"/>
  <c r="L123" i="25"/>
  <c r="N123" i="25" s="1"/>
  <c r="G123" i="52"/>
  <c r="H123" i="52" s="1"/>
  <c r="L114" i="25"/>
  <c r="N114" i="25" s="1"/>
  <c r="G114" i="52"/>
  <c r="H114" i="52" s="1"/>
  <c r="L56" i="25"/>
  <c r="N56" i="25" s="1"/>
  <c r="G56" i="52"/>
  <c r="H56" i="52" s="1"/>
  <c r="L74" i="25"/>
  <c r="N74" i="25" s="1"/>
  <c r="G74" i="52"/>
  <c r="H74" i="52" s="1"/>
  <c r="L239" i="25"/>
  <c r="N239" i="25" s="1"/>
  <c r="G239" i="52"/>
  <c r="H239" i="52" s="1"/>
  <c r="L193" i="25"/>
  <c r="N193" i="25" s="1"/>
  <c r="G193" i="52"/>
  <c r="H193" i="52" s="1"/>
  <c r="L293" i="25"/>
  <c r="N293" i="25" s="1"/>
  <c r="G293" i="52"/>
  <c r="H293" i="52" s="1"/>
  <c r="L51" i="25"/>
  <c r="N51" i="25" s="1"/>
  <c r="G51" i="52"/>
  <c r="H51" i="52" s="1"/>
  <c r="L30" i="25"/>
  <c r="N30" i="25" s="1"/>
  <c r="G30" i="52"/>
  <c r="H30" i="52" s="1"/>
  <c r="L17" i="25"/>
  <c r="N17" i="25" s="1"/>
  <c r="G17" i="52"/>
  <c r="H17" i="52" s="1"/>
  <c r="L266" i="25"/>
  <c r="N266" i="25" s="1"/>
  <c r="G266" i="52"/>
  <c r="H266" i="52" s="1"/>
  <c r="L147" i="25"/>
  <c r="N147" i="25" s="1"/>
  <c r="G147" i="52"/>
  <c r="H147" i="52" s="1"/>
  <c r="L237" i="25"/>
  <c r="N237" i="25" s="1"/>
  <c r="G237" i="52"/>
  <c r="H237" i="52" s="1"/>
  <c r="L224" i="25"/>
  <c r="N224" i="25" s="1"/>
  <c r="G224" i="52"/>
  <c r="H224" i="52" s="1"/>
  <c r="L314" i="25"/>
  <c r="N314" i="25" s="1"/>
  <c r="G314" i="52"/>
  <c r="H314" i="52" s="1"/>
  <c r="L165" i="25"/>
  <c r="N165" i="25" s="1"/>
  <c r="G165" i="52"/>
  <c r="H165" i="52" s="1"/>
  <c r="L58" i="25"/>
  <c r="N58" i="25" s="1"/>
  <c r="G58" i="52"/>
  <c r="H58" i="52" s="1"/>
  <c r="L116" i="25"/>
  <c r="N116" i="25" s="1"/>
  <c r="G116" i="52"/>
  <c r="H116" i="52" s="1"/>
  <c r="L107" i="25"/>
  <c r="N107" i="25" s="1"/>
  <c r="G107" i="52"/>
  <c r="H107" i="52" s="1"/>
  <c r="L83" i="25"/>
  <c r="N83" i="25" s="1"/>
  <c r="G83" i="52"/>
  <c r="H83" i="52" s="1"/>
  <c r="L306" i="25"/>
  <c r="N306" i="25" s="1"/>
  <c r="G306" i="52"/>
  <c r="H306" i="52" s="1"/>
  <c r="L85" i="25"/>
  <c r="N85" i="25" s="1"/>
  <c r="G85" i="52"/>
  <c r="H85" i="52" s="1"/>
  <c r="L298" i="25"/>
  <c r="N298" i="25" s="1"/>
  <c r="G298" i="52"/>
  <c r="H298" i="52" s="1"/>
  <c r="L18" i="25"/>
  <c r="N18" i="25" s="1"/>
  <c r="G18" i="52"/>
  <c r="H18" i="52" s="1"/>
  <c r="L172" i="25"/>
  <c r="N172" i="25" s="1"/>
  <c r="G172" i="52"/>
  <c r="H172" i="52" s="1"/>
  <c r="L283" i="25"/>
  <c r="N283" i="25" s="1"/>
  <c r="G283" i="52"/>
  <c r="H283" i="52" s="1"/>
  <c r="L229" i="25"/>
  <c r="N229" i="25" s="1"/>
  <c r="G229" i="52"/>
  <c r="H229" i="52" s="1"/>
  <c r="L64" i="25"/>
  <c r="N64" i="25" s="1"/>
  <c r="G64" i="52"/>
  <c r="H64" i="52" s="1"/>
  <c r="L135" i="25"/>
  <c r="N135" i="25" s="1"/>
  <c r="G135" i="52"/>
  <c r="H135" i="52" s="1"/>
  <c r="L25" i="25"/>
  <c r="N25" i="25" s="1"/>
  <c r="G25" i="52"/>
  <c r="H25" i="52" s="1"/>
  <c r="L164" i="25"/>
  <c r="N164" i="25" s="1"/>
  <c r="G164" i="52"/>
  <c r="H164" i="52" s="1"/>
  <c r="L42" i="25"/>
  <c r="N42" i="25" s="1"/>
  <c r="G42" i="52"/>
  <c r="H42" i="52" s="1"/>
  <c r="L124" i="25"/>
  <c r="N124" i="25" s="1"/>
  <c r="G124" i="52"/>
  <c r="H124" i="52" s="1"/>
  <c r="L294" i="25"/>
  <c r="N294" i="25" s="1"/>
  <c r="G294" i="52"/>
  <c r="H294" i="52" s="1"/>
  <c r="L311" i="25"/>
  <c r="N311" i="25" s="1"/>
  <c r="G311" i="52"/>
  <c r="H311" i="52" s="1"/>
  <c r="L45" i="25"/>
  <c r="N45" i="25" s="1"/>
  <c r="G45" i="52"/>
  <c r="H45" i="52" s="1"/>
  <c r="L312" i="25"/>
  <c r="N312" i="25" s="1"/>
  <c r="G312" i="52"/>
  <c r="H312" i="52" s="1"/>
  <c r="L88" i="25"/>
  <c r="N88" i="25" s="1"/>
  <c r="G88" i="52"/>
  <c r="H88" i="52" s="1"/>
  <c r="L161" i="25"/>
  <c r="N161" i="25" s="1"/>
  <c r="G161" i="52"/>
  <c r="H161" i="52" s="1"/>
  <c r="L70" i="25"/>
  <c r="N70" i="25" s="1"/>
  <c r="G70" i="52"/>
  <c r="H70" i="52" s="1"/>
  <c r="L195" i="25"/>
  <c r="N195" i="25" s="1"/>
  <c r="G195" i="52"/>
  <c r="H195" i="52" s="1"/>
  <c r="L68" i="25"/>
  <c r="N68" i="25" s="1"/>
  <c r="G68" i="52"/>
  <c r="H68" i="52" s="1"/>
  <c r="L292" i="25"/>
  <c r="N292" i="25" s="1"/>
  <c r="G292" i="52"/>
  <c r="H292" i="52" s="1"/>
  <c r="L144" i="25"/>
  <c r="N144" i="25" s="1"/>
  <c r="G144" i="52"/>
  <c r="H144" i="52" s="1"/>
  <c r="L199" i="25"/>
  <c r="G199" i="52"/>
  <c r="H199" i="52" s="1"/>
  <c r="L48" i="25"/>
  <c r="N48" i="25" s="1"/>
  <c r="G48" i="52"/>
  <c r="H48" i="52" s="1"/>
  <c r="L54" i="25"/>
  <c r="N54" i="25" s="1"/>
  <c r="G54" i="52"/>
  <c r="H54" i="52" s="1"/>
  <c r="L309" i="25"/>
  <c r="N309" i="25" s="1"/>
  <c r="G309" i="52"/>
  <c r="H309" i="52" s="1"/>
  <c r="L254" i="25"/>
  <c r="N254" i="25" s="1"/>
  <c r="G254" i="52"/>
  <c r="H254" i="52" s="1"/>
  <c r="L28" i="25"/>
  <c r="N28" i="25" s="1"/>
  <c r="G28" i="52"/>
  <c r="H28" i="52" s="1"/>
  <c r="L41" i="25"/>
  <c r="N41" i="25" s="1"/>
  <c r="G41" i="52"/>
  <c r="H41" i="52" s="1"/>
  <c r="L170" i="25"/>
  <c r="G170" i="52"/>
  <c r="H170" i="52" s="1"/>
  <c r="L110" i="25"/>
  <c r="N110" i="25" s="1"/>
  <c r="G110" i="52"/>
  <c r="H110" i="52" s="1"/>
  <c r="L130" i="25"/>
  <c r="N130" i="25" s="1"/>
  <c r="G130" i="52"/>
  <c r="H130" i="52" s="1"/>
  <c r="L320" i="25"/>
  <c r="N320" i="25" s="1"/>
  <c r="G320" i="52"/>
  <c r="H320" i="52" s="1"/>
  <c r="L214" i="25"/>
  <c r="N214" i="25" s="1"/>
  <c r="G214" i="52"/>
  <c r="H214" i="52" s="1"/>
  <c r="L9" i="25"/>
  <c r="N9" i="25" s="1"/>
  <c r="G9" i="52"/>
  <c r="H9" i="52" s="1"/>
  <c r="L255" i="25"/>
  <c r="N255" i="25" s="1"/>
  <c r="G255" i="52"/>
  <c r="H255" i="52" s="1"/>
  <c r="L46" i="25"/>
  <c r="N46" i="25" s="1"/>
  <c r="G46" i="52"/>
  <c r="H46" i="52" s="1"/>
  <c r="L59" i="25"/>
  <c r="N59" i="25" s="1"/>
  <c r="G59" i="52"/>
  <c r="H59" i="52" s="1"/>
  <c r="L21" i="25"/>
  <c r="N21" i="25" s="1"/>
  <c r="G21" i="52"/>
  <c r="H21" i="52" s="1"/>
  <c r="L125" i="25"/>
  <c r="N125" i="25" s="1"/>
  <c r="G125" i="52"/>
  <c r="H125" i="52" s="1"/>
  <c r="L256" i="25"/>
  <c r="N256" i="25" s="1"/>
  <c r="G256" i="52"/>
  <c r="H256" i="52" s="1"/>
  <c r="L192" i="25"/>
  <c r="G192" i="52"/>
  <c r="H192" i="52" s="1"/>
  <c r="L93" i="25"/>
  <c r="G93" i="52"/>
  <c r="H93" i="52" s="1"/>
  <c r="L40" i="25"/>
  <c r="N40" i="25" s="1"/>
  <c r="G40" i="52"/>
  <c r="H40" i="52" s="1"/>
  <c r="L284" i="25"/>
  <c r="N284" i="25" s="1"/>
  <c r="G284" i="52"/>
  <c r="H284" i="52" s="1"/>
  <c r="L265" i="25"/>
  <c r="N265" i="25" s="1"/>
  <c r="G265" i="52"/>
  <c r="H265" i="52" s="1"/>
  <c r="L270" i="25"/>
  <c r="N270" i="25" s="1"/>
  <c r="G270" i="52"/>
  <c r="H270" i="52" s="1"/>
  <c r="L115" i="25"/>
  <c r="N115" i="25" s="1"/>
  <c r="G115" i="52"/>
  <c r="H115" i="52" s="1"/>
  <c r="L273" i="25"/>
  <c r="N273" i="25" s="1"/>
  <c r="G273" i="52"/>
  <c r="H273" i="52" s="1"/>
  <c r="L92" i="25"/>
  <c r="N92" i="25" s="1"/>
  <c r="G92" i="52"/>
  <c r="H92" i="52" s="1"/>
  <c r="L148" i="25"/>
  <c r="N148" i="25" s="1"/>
  <c r="G148" i="52"/>
  <c r="H148" i="52" s="1"/>
  <c r="L291" i="25"/>
  <c r="N291" i="25" s="1"/>
  <c r="G291" i="52"/>
  <c r="H291" i="52" s="1"/>
  <c r="L272" i="25"/>
  <c r="N272" i="25" s="1"/>
  <c r="G272" i="52"/>
  <c r="H272" i="52" s="1"/>
  <c r="L240" i="25"/>
  <c r="N240" i="25" s="1"/>
  <c r="G240" i="52"/>
  <c r="H240" i="52" s="1"/>
  <c r="L151" i="25"/>
  <c r="N151" i="25" s="1"/>
  <c r="G151" i="52"/>
  <c r="H151" i="52" s="1"/>
  <c r="L120" i="25"/>
  <c r="N120" i="25" s="1"/>
  <c r="G120" i="52"/>
  <c r="H120" i="52" s="1"/>
  <c r="L140" i="25"/>
  <c r="N140" i="25" s="1"/>
  <c r="G140" i="52"/>
  <c r="H140" i="52" s="1"/>
  <c r="L268" i="25"/>
  <c r="N268" i="25" s="1"/>
  <c r="G268" i="52"/>
  <c r="H268" i="52" s="1"/>
  <c r="L260" i="25"/>
  <c r="N260" i="25" s="1"/>
  <c r="G260" i="52"/>
  <c r="H260" i="52" s="1"/>
  <c r="L20" i="25"/>
  <c r="N20" i="25" s="1"/>
  <c r="G20" i="52"/>
  <c r="H20" i="52" s="1"/>
  <c r="L313" i="25"/>
  <c r="N313" i="25" s="1"/>
  <c r="G313" i="52"/>
  <c r="H313" i="52" s="1"/>
  <c r="L243" i="25"/>
  <c r="G243" i="52"/>
  <c r="H243" i="52" s="1"/>
  <c r="L66" i="25"/>
  <c r="N66" i="25" s="1"/>
  <c r="G66" i="52"/>
  <c r="H66" i="52" s="1"/>
  <c r="L98" i="25"/>
  <c r="N98" i="25" s="1"/>
  <c r="G98" i="52"/>
  <c r="H98" i="52" s="1"/>
  <c r="L166" i="25"/>
  <c r="N166" i="25" s="1"/>
  <c r="G166" i="52"/>
  <c r="H166" i="52" s="1"/>
  <c r="L261" i="25"/>
  <c r="N261" i="25" s="1"/>
  <c r="G261" i="52"/>
  <c r="H261" i="52" s="1"/>
  <c r="L180" i="25"/>
  <c r="G180" i="52"/>
  <c r="H180" i="52" s="1"/>
  <c r="L127" i="25"/>
  <c r="N127" i="25" s="1"/>
  <c r="G127" i="52"/>
  <c r="H127" i="52" s="1"/>
  <c r="L95" i="25"/>
  <c r="N95" i="25" s="1"/>
  <c r="G95" i="52"/>
  <c r="H95" i="52" s="1"/>
  <c r="L315" i="25"/>
  <c r="G315" i="52"/>
  <c r="H315" i="52" s="1"/>
  <c r="L27" i="25"/>
  <c r="N27" i="25" s="1"/>
  <c r="G27" i="52"/>
  <c r="H27" i="52" s="1"/>
  <c r="L316" i="25"/>
  <c r="N316" i="25" s="1"/>
  <c r="G316" i="52"/>
  <c r="H316" i="52" s="1"/>
  <c r="D10" i="34"/>
  <c r="D11" i="34" s="1"/>
  <c r="L90" i="25"/>
  <c r="N90" i="25" s="1"/>
  <c r="R90" i="13"/>
  <c r="S90" i="13" s="1"/>
  <c r="N93" i="25"/>
  <c r="N50" i="25"/>
  <c r="N279" i="25"/>
  <c r="N199" i="25"/>
  <c r="N170" i="25"/>
  <c r="N192" i="25"/>
  <c r="N243" i="25"/>
  <c r="N180" i="25"/>
  <c r="N315" i="25"/>
  <c r="N183" i="25"/>
  <c r="N132" i="25"/>
  <c r="N248" i="25"/>
  <c r="N221" i="25"/>
  <c r="N318" i="25"/>
  <c r="R272" i="13"/>
  <c r="S272" i="13" s="1"/>
  <c r="R288" i="13"/>
  <c r="S288" i="13" s="1"/>
  <c r="R18" i="13"/>
  <c r="S18" i="13" s="1"/>
  <c r="R74" i="13"/>
  <c r="S74" i="13" s="1"/>
  <c r="R315" i="13"/>
  <c r="S315" i="13" s="1"/>
  <c r="R273" i="13"/>
  <c r="S273" i="13" s="1"/>
  <c r="R180" i="13"/>
  <c r="S180" i="13" s="1"/>
  <c r="R153" i="13"/>
  <c r="S153" i="13" s="1"/>
  <c r="R123" i="13"/>
  <c r="S123" i="13" s="1"/>
  <c r="R311" i="13"/>
  <c r="S311" i="13" s="1"/>
  <c r="Q146" i="13"/>
  <c r="K146" i="25" s="1"/>
  <c r="R146" i="13"/>
  <c r="S146" i="13" s="1"/>
  <c r="R307" i="13"/>
  <c r="S307" i="13" s="1"/>
  <c r="R132" i="13"/>
  <c r="S132" i="13" s="1"/>
  <c r="R248" i="13"/>
  <c r="S248" i="13" s="1"/>
  <c r="R318" i="13"/>
  <c r="S318" i="13" s="1"/>
  <c r="R72" i="13"/>
  <c r="S72" i="13" s="1"/>
  <c r="R239" i="13"/>
  <c r="S239" i="13" s="1"/>
  <c r="R221" i="13"/>
  <c r="S221" i="13" s="1"/>
  <c r="R166" i="13"/>
  <c r="S166" i="13" s="1"/>
  <c r="L288" i="25"/>
  <c r="N288" i="25" s="1"/>
  <c r="R97" i="13"/>
  <c r="S97" i="13" s="1"/>
  <c r="R113" i="13"/>
  <c r="S113" i="13" s="1"/>
  <c r="R54" i="13"/>
  <c r="S54" i="13" s="1"/>
  <c r="R205" i="13"/>
  <c r="S205" i="13" s="1"/>
  <c r="R50" i="13"/>
  <c r="S50" i="13" s="1"/>
  <c r="R29" i="13"/>
  <c r="S29" i="13" s="1"/>
  <c r="R184" i="13"/>
  <c r="S184" i="13" s="1"/>
  <c r="R295" i="13"/>
  <c r="S295" i="13" s="1"/>
  <c r="R192" i="13"/>
  <c r="S192" i="13" s="1"/>
  <c r="R64" i="13"/>
  <c r="S64" i="13" s="1"/>
  <c r="P207" i="13"/>
  <c r="Q207" i="13" s="1"/>
  <c r="K207" i="25" s="1"/>
  <c r="R312" i="13"/>
  <c r="S312" i="13" s="1"/>
  <c r="R133" i="13"/>
  <c r="S133" i="13" s="1"/>
  <c r="R91" i="13"/>
  <c r="S91" i="13" s="1"/>
  <c r="P7" i="13"/>
  <c r="Q7" i="13" s="1"/>
  <c r="K7" i="25" s="1"/>
  <c r="R243" i="13"/>
  <c r="S243" i="13" s="1"/>
  <c r="R87" i="13"/>
  <c r="S87" i="13" s="1"/>
  <c r="R255" i="13"/>
  <c r="S255" i="13" s="1"/>
  <c r="P145" i="13"/>
  <c r="Q145" i="13" s="1"/>
  <c r="K145" i="25" s="1"/>
  <c r="J5" i="12"/>
  <c r="R170" i="13"/>
  <c r="S170" i="13" s="1"/>
  <c r="R214" i="13"/>
  <c r="S214" i="13" s="1"/>
  <c r="P269" i="13"/>
  <c r="Q269" i="13" s="1"/>
  <c r="K269" i="25" s="1"/>
  <c r="R70" i="13"/>
  <c r="S70" i="13" s="1"/>
  <c r="R233" i="13"/>
  <c r="S233" i="13" s="1"/>
  <c r="R279" i="13"/>
  <c r="S279" i="13" s="1"/>
  <c r="R40" i="13"/>
  <c r="S40" i="13" s="1"/>
  <c r="N6" i="13"/>
  <c r="O6" i="13" s="1"/>
  <c r="P6" i="13" s="1"/>
  <c r="Q6" i="13" s="1"/>
  <c r="Q32" i="13"/>
  <c r="K32" i="25" s="1"/>
  <c r="R32" i="13"/>
  <c r="S32" i="13" s="1"/>
  <c r="Q222" i="13"/>
  <c r="K222" i="25" s="1"/>
  <c r="R222" i="13"/>
  <c r="S222" i="13" s="1"/>
  <c r="Q178" i="13"/>
  <c r="K178" i="25" s="1"/>
  <c r="R178" i="13"/>
  <c r="S178" i="13" s="1"/>
  <c r="Q152" i="13"/>
  <c r="K152" i="25" s="1"/>
  <c r="R152" i="13"/>
  <c r="S152" i="13" s="1"/>
  <c r="P215" i="13"/>
  <c r="Q215" i="13" s="1"/>
  <c r="K215" i="25" s="1"/>
  <c r="P264" i="13"/>
  <c r="Q264" i="13" s="1"/>
  <c r="K264" i="25" s="1"/>
  <c r="R266" i="13"/>
  <c r="S266" i="13" s="1"/>
  <c r="R155" i="13"/>
  <c r="S155" i="13" s="1"/>
  <c r="R256" i="13"/>
  <c r="S256" i="13" s="1"/>
  <c r="R314" i="13"/>
  <c r="S314" i="13" s="1"/>
  <c r="R139" i="13"/>
  <c r="S139" i="13" s="1"/>
  <c r="R118" i="13"/>
  <c r="S118" i="13" s="1"/>
  <c r="R241" i="13"/>
  <c r="S241" i="13" s="1"/>
  <c r="R58" i="13"/>
  <c r="S58" i="13" s="1"/>
  <c r="R228" i="13"/>
  <c r="S228" i="13" s="1"/>
  <c r="R316" i="13"/>
  <c r="S316" i="13" s="1"/>
  <c r="R171" i="13"/>
  <c r="S171" i="13" s="1"/>
  <c r="R237" i="13"/>
  <c r="S237" i="13" s="1"/>
  <c r="R194" i="13"/>
  <c r="S194" i="13" s="1"/>
  <c r="R225" i="13"/>
  <c r="S225" i="13" s="1"/>
  <c r="R202" i="13"/>
  <c r="S202" i="13" s="1"/>
  <c r="R148" i="13"/>
  <c r="S148" i="13" s="1"/>
  <c r="R9" i="13"/>
  <c r="S9" i="13" s="1"/>
  <c r="R286" i="13"/>
  <c r="S286" i="13" s="1"/>
  <c r="R209" i="13"/>
  <c r="S209" i="13" s="1"/>
  <c r="P10" i="13"/>
  <c r="Q10" i="13" s="1"/>
  <c r="K10" i="25" s="1"/>
  <c r="R281" i="13"/>
  <c r="S281" i="13" s="1"/>
  <c r="P181" i="13"/>
  <c r="Q181" i="13" s="1"/>
  <c r="K181" i="25" s="1"/>
  <c r="R282" i="13"/>
  <c r="S282" i="13" s="1"/>
  <c r="R26" i="13"/>
  <c r="S26" i="13" s="1"/>
  <c r="Q159" i="13"/>
  <c r="K159" i="25" s="1"/>
  <c r="R159" i="13"/>
  <c r="S159" i="13" s="1"/>
  <c r="Q258" i="13"/>
  <c r="K258" i="25" s="1"/>
  <c r="R258" i="13"/>
  <c r="S258" i="13" s="1"/>
  <c r="R283" i="13"/>
  <c r="S283" i="13" s="1"/>
  <c r="P84" i="13"/>
  <c r="Q84" i="13" s="1"/>
  <c r="K84" i="25" s="1"/>
  <c r="R183" i="13"/>
  <c r="S183" i="13" s="1"/>
  <c r="R158" i="13"/>
  <c r="S158" i="13" s="1"/>
  <c r="R275" i="13"/>
  <c r="S275" i="13" s="1"/>
  <c r="R257" i="13"/>
  <c r="S257" i="13" s="1"/>
  <c r="R130" i="13"/>
  <c r="S130" i="13" s="1"/>
  <c r="P169" i="13"/>
  <c r="Q169" i="13" s="1"/>
  <c r="K169" i="25" s="1"/>
  <c r="R98" i="13"/>
  <c r="S98" i="13" s="1"/>
  <c r="R270" i="13"/>
  <c r="S270" i="13" s="1"/>
  <c r="R261" i="13"/>
  <c r="S261" i="13" s="1"/>
  <c r="R199" i="13"/>
  <c r="S199" i="13" s="1"/>
  <c r="R110" i="13"/>
  <c r="S110" i="13" s="1"/>
  <c r="R304" i="13"/>
  <c r="S304" i="13" s="1"/>
  <c r="R320" i="13"/>
  <c r="S320" i="13" s="1"/>
  <c r="R160" i="13"/>
  <c r="S160" i="13" s="1"/>
  <c r="R284" i="13"/>
  <c r="S284" i="13" s="1"/>
  <c r="R101" i="13"/>
  <c r="S101" i="13" s="1"/>
  <c r="R68" i="13"/>
  <c r="S68" i="13" s="1"/>
  <c r="R124" i="13"/>
  <c r="S124" i="13" s="1"/>
  <c r="R20" i="13"/>
  <c r="S20" i="13" s="1"/>
  <c r="R313" i="13"/>
  <c r="S313" i="13" s="1"/>
  <c r="R107" i="13"/>
  <c r="S107" i="13" s="1"/>
  <c r="R114" i="13"/>
  <c r="S114" i="13" s="1"/>
  <c r="R151" i="13"/>
  <c r="S151" i="13" s="1"/>
  <c r="R140" i="13"/>
  <c r="S140" i="13" s="1"/>
  <c r="R268" i="13"/>
  <c r="S268" i="13" s="1"/>
  <c r="R293" i="13"/>
  <c r="S293" i="13" s="1"/>
  <c r="R66" i="13"/>
  <c r="S66" i="13" s="1"/>
  <c r="R115" i="13"/>
  <c r="S115" i="13" s="1"/>
  <c r="R247" i="13"/>
  <c r="S247" i="13" s="1"/>
  <c r="R292" i="13"/>
  <c r="S292" i="13" s="1"/>
  <c r="P310" i="13"/>
  <c r="Q310" i="13" s="1"/>
  <c r="K310" i="25" s="1"/>
  <c r="P301" i="13"/>
  <c r="Q301" i="13" s="1"/>
  <c r="K301" i="25" s="1"/>
  <c r="R164" i="13"/>
  <c r="S164" i="13" s="1"/>
  <c r="R277" i="13"/>
  <c r="S277" i="13" s="1"/>
  <c r="L244" i="25"/>
  <c r="R45" i="13"/>
  <c r="S45" i="13" s="1"/>
  <c r="R28" i="13"/>
  <c r="S28" i="13" s="1"/>
  <c r="R30" i="13"/>
  <c r="S30" i="13" s="1"/>
  <c r="P230" i="13"/>
  <c r="Q230" i="13" s="1"/>
  <c r="K230" i="25" s="1"/>
  <c r="Q197" i="13"/>
  <c r="K197" i="25" s="1"/>
  <c r="R197" i="13"/>
  <c r="S197" i="13" s="1"/>
  <c r="Q31" i="13"/>
  <c r="K31" i="25" s="1"/>
  <c r="R31" i="13"/>
  <c r="S31" i="13" s="1"/>
  <c r="P38" i="13"/>
  <c r="Q38" i="13" s="1"/>
  <c r="K38" i="25" s="1"/>
  <c r="P129" i="13"/>
  <c r="Q129" i="13" s="1"/>
  <c r="K129" i="25" s="1"/>
  <c r="R198" i="13"/>
  <c r="S198" i="13" s="1"/>
  <c r="P217" i="13"/>
  <c r="Q217" i="13" s="1"/>
  <c r="K217" i="25" s="1"/>
  <c r="P223" i="13"/>
  <c r="Q223" i="13" s="1"/>
  <c r="K223" i="25" s="1"/>
  <c r="P252" i="13"/>
  <c r="Q252" i="13" s="1"/>
  <c r="K252" i="25" s="1"/>
  <c r="R95" i="13"/>
  <c r="S95" i="13" s="1"/>
  <c r="R165" i="13"/>
  <c r="S165" i="13" s="1"/>
  <c r="R163" i="13"/>
  <c r="S163" i="13" s="1"/>
  <c r="R120" i="13"/>
  <c r="S120" i="13" s="1"/>
  <c r="P12" i="13"/>
  <c r="Q12" i="13" s="1"/>
  <c r="K12" i="25" s="1"/>
  <c r="P75" i="13"/>
  <c r="Q75" i="13" s="1"/>
  <c r="K75" i="25" s="1"/>
  <c r="P191" i="13"/>
  <c r="Q191" i="13" s="1"/>
  <c r="K191" i="25" s="1"/>
  <c r="R195" i="13"/>
  <c r="S195" i="13" s="1"/>
  <c r="R46" i="13"/>
  <c r="S46" i="13" s="1"/>
  <c r="P61" i="13"/>
  <c r="Q61" i="13" s="1"/>
  <c r="K61" i="25" s="1"/>
  <c r="R59" i="13"/>
  <c r="S59" i="13" s="1"/>
  <c r="L171" i="25"/>
  <c r="R83" i="13"/>
  <c r="S83" i="13" s="1"/>
  <c r="R51" i="13"/>
  <c r="S51" i="13" s="1"/>
  <c r="R92" i="13"/>
  <c r="S92" i="13" s="1"/>
  <c r="R127" i="13"/>
  <c r="S127" i="13" s="1"/>
  <c r="R52" i="13"/>
  <c r="S52" i="13" s="1"/>
  <c r="R246" i="13"/>
  <c r="S246" i="13" s="1"/>
  <c r="R62" i="13"/>
  <c r="S62" i="13" s="1"/>
  <c r="R305" i="13"/>
  <c r="S305" i="13" s="1"/>
  <c r="R125" i="13"/>
  <c r="S125" i="13" s="1"/>
  <c r="R309" i="13"/>
  <c r="S309" i="13" s="1"/>
  <c r="R19" i="13"/>
  <c r="S19" i="13" s="1"/>
  <c r="P82" i="13"/>
  <c r="Q82" i="13" s="1"/>
  <c r="K82" i="25" s="1"/>
  <c r="P36" i="13"/>
  <c r="Q36" i="13" s="1"/>
  <c r="K36" i="25" s="1"/>
  <c r="P14" i="13"/>
  <c r="Q14" i="13" s="1"/>
  <c r="K14" i="25" s="1"/>
  <c r="P23" i="13"/>
  <c r="Q23" i="13" s="1"/>
  <c r="K23" i="25" s="1"/>
  <c r="P287" i="13"/>
  <c r="Q287" i="13" s="1"/>
  <c r="K287" i="25" s="1"/>
  <c r="R229" i="13"/>
  <c r="S229" i="13" s="1"/>
  <c r="R121" i="13"/>
  <c r="S121" i="13" s="1"/>
  <c r="R200" i="13"/>
  <c r="S200" i="13" s="1"/>
  <c r="R48" i="13"/>
  <c r="S48" i="13" s="1"/>
  <c r="R274" i="13"/>
  <c r="S274" i="13" s="1"/>
  <c r="R88" i="13"/>
  <c r="S88" i="13" s="1"/>
  <c r="R224" i="13"/>
  <c r="S224" i="13" s="1"/>
  <c r="R306" i="13"/>
  <c r="S306" i="13" s="1"/>
  <c r="P185" i="13"/>
  <c r="Q185" i="13" s="1"/>
  <c r="K185" i="25" s="1"/>
  <c r="P111" i="13"/>
  <c r="Q111" i="13" s="1"/>
  <c r="K111" i="25" s="1"/>
  <c r="P76" i="13"/>
  <c r="Q76" i="13" s="1"/>
  <c r="K76" i="25" s="1"/>
  <c r="P321" i="13"/>
  <c r="Q321" i="13" s="1"/>
  <c r="K321" i="25" s="1"/>
  <c r="P232" i="13"/>
  <c r="Q232" i="13" s="1"/>
  <c r="K232" i="25" s="1"/>
  <c r="P173" i="13"/>
  <c r="Q173" i="13" s="1"/>
  <c r="K173" i="25" s="1"/>
  <c r="P303" i="13"/>
  <c r="Q303" i="13" s="1"/>
  <c r="K303" i="25" s="1"/>
  <c r="P53" i="13"/>
  <c r="Q53" i="13" s="1"/>
  <c r="K53" i="25" s="1"/>
  <c r="P154" i="13"/>
  <c r="Q154" i="13" s="1"/>
  <c r="K154" i="25" s="1"/>
  <c r="P213" i="13"/>
  <c r="Q213" i="13" s="1"/>
  <c r="K213" i="25" s="1"/>
  <c r="P80" i="13"/>
  <c r="Q80" i="13" s="1"/>
  <c r="K80" i="25" s="1"/>
  <c r="P319" i="13"/>
  <c r="Q319" i="13" s="1"/>
  <c r="K319" i="25" s="1"/>
  <c r="P323" i="13"/>
  <c r="Q323" i="13" s="1"/>
  <c r="K323" i="25" s="1"/>
  <c r="P137" i="13"/>
  <c r="Q137" i="13" s="1"/>
  <c r="K137" i="25" s="1"/>
  <c r="P33" i="13"/>
  <c r="Q33" i="13" s="1"/>
  <c r="K33" i="25" s="1"/>
  <c r="P271" i="13"/>
  <c r="Q271" i="13" s="1"/>
  <c r="K271" i="25" s="1"/>
  <c r="P212" i="13"/>
  <c r="Q212" i="13" s="1"/>
  <c r="K212" i="25" s="1"/>
  <c r="P49" i="13"/>
  <c r="Q49" i="13" s="1"/>
  <c r="K49" i="25" s="1"/>
  <c r="P187" i="13"/>
  <c r="Q187" i="13" s="1"/>
  <c r="K187" i="25" s="1"/>
  <c r="P249" i="13"/>
  <c r="Q249" i="13" s="1"/>
  <c r="K249" i="25" s="1"/>
  <c r="P308" i="13"/>
  <c r="Q308" i="13" s="1"/>
  <c r="K308" i="25" s="1"/>
  <c r="P210" i="13"/>
  <c r="Q210" i="13" s="1"/>
  <c r="K210" i="25" s="1"/>
  <c r="P102" i="13"/>
  <c r="Q102" i="13" s="1"/>
  <c r="K102" i="25" s="1"/>
  <c r="P134" i="13"/>
  <c r="Q134" i="13" s="1"/>
  <c r="K134" i="25" s="1"/>
  <c r="P78" i="13"/>
  <c r="Q78" i="13" s="1"/>
  <c r="K78" i="25" s="1"/>
  <c r="P43" i="13"/>
  <c r="Q43" i="13" s="1"/>
  <c r="K43" i="25" s="1"/>
  <c r="P157" i="13"/>
  <c r="Q157" i="13" s="1"/>
  <c r="K157" i="25" s="1"/>
  <c r="P189" i="13"/>
  <c r="Q189" i="13" s="1"/>
  <c r="K189" i="25" s="1"/>
  <c r="P86" i="13"/>
  <c r="Q86" i="13" s="1"/>
  <c r="K86" i="25" s="1"/>
  <c r="P108" i="13"/>
  <c r="Q108" i="13" s="1"/>
  <c r="K108" i="25" s="1"/>
  <c r="P34" i="13"/>
  <c r="Q34" i="13" s="1"/>
  <c r="K34" i="25" s="1"/>
  <c r="P60" i="13"/>
  <c r="Q60" i="13" s="1"/>
  <c r="K60" i="25" s="1"/>
  <c r="P128" i="13"/>
  <c r="Q128" i="13" s="1"/>
  <c r="K128" i="25" s="1"/>
  <c r="R260" i="13"/>
  <c r="S260" i="13" s="1"/>
  <c r="P104" i="13"/>
  <c r="Q104" i="13" s="1"/>
  <c r="K104" i="25" s="1"/>
  <c r="P13" i="13"/>
  <c r="Q13" i="13" s="1"/>
  <c r="K13" i="25" s="1"/>
  <c r="R245" i="13"/>
  <c r="S245" i="13" s="1"/>
  <c r="P174" i="13"/>
  <c r="Q174" i="13" s="1"/>
  <c r="K174" i="25" s="1"/>
  <c r="R193" i="13"/>
  <c r="S193" i="13" s="1"/>
  <c r="R240" i="13"/>
  <c r="S240" i="13" s="1"/>
  <c r="P44" i="13"/>
  <c r="Q44" i="13" s="1"/>
  <c r="K44" i="25" s="1"/>
  <c r="P126" i="13"/>
  <c r="Q126" i="13" s="1"/>
  <c r="K126" i="25" s="1"/>
  <c r="P251" i="13"/>
  <c r="Q251" i="13" s="1"/>
  <c r="K251" i="25" s="1"/>
  <c r="P278" i="13"/>
  <c r="Q278" i="13" s="1"/>
  <c r="K278" i="25" s="1"/>
  <c r="P296" i="13"/>
  <c r="Q296" i="13" s="1"/>
  <c r="K296" i="25" s="1"/>
  <c r="P71" i="13"/>
  <c r="Q71" i="13" s="1"/>
  <c r="K71" i="25" s="1"/>
  <c r="P103" i="13"/>
  <c r="Q103" i="13" s="1"/>
  <c r="K103" i="25" s="1"/>
  <c r="P317" i="13"/>
  <c r="Q317" i="13" s="1"/>
  <c r="K317" i="25" s="1"/>
  <c r="P131" i="13"/>
  <c r="Q131" i="13" s="1"/>
  <c r="K131" i="25" s="1"/>
  <c r="P176" i="13"/>
  <c r="Q176" i="13" s="1"/>
  <c r="K176" i="25" s="1"/>
  <c r="R244" i="13"/>
  <c r="S244" i="13" s="1"/>
  <c r="R96" i="13"/>
  <c r="S96" i="13" s="1"/>
  <c r="R8" i="13"/>
  <c r="S8" i="13" s="1"/>
  <c r="R85" i="13"/>
  <c r="S85" i="13" s="1"/>
  <c r="I324" i="25"/>
  <c r="R27" i="13"/>
  <c r="S27" i="13" s="1"/>
  <c r="R254" i="13"/>
  <c r="S254" i="13" s="1"/>
  <c r="R93" i="13"/>
  <c r="S93" i="13" s="1"/>
  <c r="R25" i="13"/>
  <c r="S25" i="13" s="1"/>
  <c r="R39" i="13"/>
  <c r="S39" i="13" s="1"/>
  <c r="R22" i="13"/>
  <c r="S22" i="13" s="1"/>
  <c r="R238" i="13"/>
  <c r="S238" i="13" s="1"/>
  <c r="R42" i="13"/>
  <c r="S42" i="13" s="1"/>
  <c r="R21" i="13"/>
  <c r="S21" i="13" s="1"/>
  <c r="R150" i="13"/>
  <c r="S150" i="13" s="1"/>
  <c r="R147" i="13"/>
  <c r="S147" i="13" s="1"/>
  <c r="R262" i="13"/>
  <c r="S262" i="13" s="1"/>
  <c r="R135" i="13"/>
  <c r="S135" i="13" s="1"/>
  <c r="R41" i="13"/>
  <c r="S41" i="13" s="1"/>
  <c r="P250" i="13"/>
  <c r="Q250" i="13" s="1"/>
  <c r="K250" i="25" s="1"/>
  <c r="P259" i="13"/>
  <c r="Q259" i="13" s="1"/>
  <c r="K259" i="25" s="1"/>
  <c r="P182" i="13"/>
  <c r="Q182" i="13" s="1"/>
  <c r="K182" i="25" s="1"/>
  <c r="L97" i="25"/>
  <c r="N97" i="25" s="1"/>
  <c r="P77" i="13"/>
  <c r="Q77" i="13" s="1"/>
  <c r="K77" i="25" s="1"/>
  <c r="P204" i="13"/>
  <c r="Q204" i="13" s="1"/>
  <c r="K204" i="25" s="1"/>
  <c r="P136" i="13"/>
  <c r="Q136" i="13" s="1"/>
  <c r="K136" i="25" s="1"/>
  <c r="P122" i="13"/>
  <c r="Q122" i="13" s="1"/>
  <c r="K122" i="25" s="1"/>
  <c r="P267" i="13"/>
  <c r="Q267" i="13" s="1"/>
  <c r="K267" i="25" s="1"/>
  <c r="P142" i="13"/>
  <c r="Q142" i="13" s="1"/>
  <c r="K142" i="25" s="1"/>
  <c r="L163" i="25"/>
  <c r="N163" i="25" s="1"/>
  <c r="P119" i="13"/>
  <c r="Q119" i="13" s="1"/>
  <c r="K119" i="25" s="1"/>
  <c r="P179" i="13"/>
  <c r="Q179" i="13" s="1"/>
  <c r="K179" i="25" s="1"/>
  <c r="P190" i="13"/>
  <c r="Q190" i="13" s="1"/>
  <c r="K190" i="25" s="1"/>
  <c r="P105" i="13"/>
  <c r="Q105" i="13" s="1"/>
  <c r="K105" i="25" s="1"/>
  <c r="P112" i="13"/>
  <c r="Q112" i="13" s="1"/>
  <c r="K112" i="25" s="1"/>
  <c r="P220" i="13"/>
  <c r="Q220" i="13" s="1"/>
  <c r="K220" i="25" s="1"/>
  <c r="P47" i="13"/>
  <c r="Q47" i="13" s="1"/>
  <c r="K47" i="25" s="1"/>
  <c r="P63" i="13"/>
  <c r="Q63" i="13" s="1"/>
  <c r="K63" i="25" s="1"/>
  <c r="P322" i="13"/>
  <c r="Q322" i="13" s="1"/>
  <c r="K322" i="25" s="1"/>
  <c r="R285" i="13"/>
  <c r="S285" i="13" s="1"/>
  <c r="R294" i="13"/>
  <c r="S294" i="13" s="1"/>
  <c r="R161" i="13"/>
  <c r="S161" i="13" s="1"/>
  <c r="R265" i="13"/>
  <c r="S265" i="13" s="1"/>
  <c r="R143" i="13"/>
  <c r="S143" i="13" s="1"/>
  <c r="R276" i="13"/>
  <c r="S276" i="13" s="1"/>
  <c r="R298" i="13"/>
  <c r="S298" i="13" s="1"/>
  <c r="R172" i="13"/>
  <c r="S172" i="13" s="1"/>
  <c r="R56" i="13"/>
  <c r="S56" i="13" s="1"/>
  <c r="R291" i="13"/>
  <c r="S291" i="13" s="1"/>
  <c r="R208" i="13"/>
  <c r="S208" i="13" s="1"/>
  <c r="R17" i="13"/>
  <c r="S17" i="13" s="1"/>
  <c r="R106" i="13"/>
  <c r="S106" i="13" s="1"/>
  <c r="R234" i="13"/>
  <c r="S234" i="13" s="1"/>
  <c r="R116" i="13"/>
  <c r="S116" i="13" s="1"/>
  <c r="R144" i="13"/>
  <c r="S144" i="13" s="1"/>
  <c r="J6" i="25"/>
  <c r="I323" i="12"/>
  <c r="E37" i="48"/>
  <c r="R100" i="13"/>
  <c r="S100" i="13" s="1"/>
  <c r="R280" i="13"/>
  <c r="S280" i="13" s="1"/>
  <c r="P206" i="13"/>
  <c r="Q206" i="13" s="1"/>
  <c r="K206" i="25" s="1"/>
  <c r="P242" i="13"/>
  <c r="Q242" i="13" s="1"/>
  <c r="K242" i="25" s="1"/>
  <c r="P156" i="13"/>
  <c r="Q156" i="13" s="1"/>
  <c r="K156" i="25" s="1"/>
  <c r="P188" i="13"/>
  <c r="Q188" i="13" s="1"/>
  <c r="K188" i="25" s="1"/>
  <c r="P109" i="13"/>
  <c r="Q109" i="13" s="1"/>
  <c r="K109" i="25" s="1"/>
  <c r="P218" i="13"/>
  <c r="Q218" i="13" s="1"/>
  <c r="K218" i="25" s="1"/>
  <c r="P300" i="13"/>
  <c r="Q300" i="13" s="1"/>
  <c r="K300" i="25" s="1"/>
  <c r="P55" i="13"/>
  <c r="Q55" i="13" s="1"/>
  <c r="K55" i="25" s="1"/>
  <c r="P11" i="13"/>
  <c r="Q11" i="13" s="1"/>
  <c r="K11" i="25" s="1"/>
  <c r="P24" i="13"/>
  <c r="Q24" i="13" s="1"/>
  <c r="K24" i="25" s="1"/>
  <c r="P231" i="13"/>
  <c r="Q231" i="13" s="1"/>
  <c r="K231" i="25" s="1"/>
  <c r="P141" i="13"/>
  <c r="Q141" i="13" s="1"/>
  <c r="K141" i="25" s="1"/>
  <c r="P162" i="13"/>
  <c r="Q162" i="13" s="1"/>
  <c r="K162" i="25" s="1"/>
  <c r="P69" i="13"/>
  <c r="Q69" i="13" s="1"/>
  <c r="K69" i="25" s="1"/>
  <c r="P99" i="13"/>
  <c r="Q99" i="13" s="1"/>
  <c r="K99" i="25" s="1"/>
  <c r="P67" i="13"/>
  <c r="Q67" i="13" s="1"/>
  <c r="K67" i="25" s="1"/>
  <c r="L262" i="25"/>
  <c r="N262" i="25" s="1"/>
  <c r="P302" i="13"/>
  <c r="Q302" i="13" s="1"/>
  <c r="K302" i="25" s="1"/>
  <c r="P177" i="13"/>
  <c r="Q177" i="13" s="1"/>
  <c r="K177" i="25" s="1"/>
  <c r="P299" i="13"/>
  <c r="Q299" i="13" s="1"/>
  <c r="K299" i="25" s="1"/>
  <c r="P79" i="13"/>
  <c r="Q79" i="13" s="1"/>
  <c r="K79" i="25" s="1"/>
  <c r="P289" i="13"/>
  <c r="Q289" i="13" s="1"/>
  <c r="K289" i="25" s="1"/>
  <c r="P253" i="13"/>
  <c r="Q253" i="13" s="1"/>
  <c r="K253" i="25" s="1"/>
  <c r="P57" i="13"/>
  <c r="Q57" i="13" s="1"/>
  <c r="K57" i="25" s="1"/>
  <c r="P211" i="13"/>
  <c r="Q211" i="13" s="1"/>
  <c r="K211" i="25" s="1"/>
  <c r="P138" i="13"/>
  <c r="Q138" i="13" s="1"/>
  <c r="K138" i="25" s="1"/>
  <c r="P16" i="13"/>
  <c r="Q16" i="13" s="1"/>
  <c r="K16" i="25" s="1"/>
  <c r="P117" i="13"/>
  <c r="Q117" i="13" s="1"/>
  <c r="K117" i="25" s="1"/>
  <c r="P175" i="13"/>
  <c r="Q175" i="13" s="1"/>
  <c r="K175" i="25" s="1"/>
  <c r="P226" i="13"/>
  <c r="Q226" i="13" s="1"/>
  <c r="K226" i="25" s="1"/>
  <c r="P235" i="13"/>
  <c r="Q235" i="13" s="1"/>
  <c r="K235" i="25" s="1"/>
  <c r="L19" i="25"/>
  <c r="N19" i="25" s="1"/>
  <c r="P297" i="13"/>
  <c r="Q297" i="13" s="1"/>
  <c r="K297" i="25" s="1"/>
  <c r="P35" i="13"/>
  <c r="Q35" i="13" s="1"/>
  <c r="K35" i="25" s="1"/>
  <c r="P201" i="13"/>
  <c r="Q201" i="13" s="1"/>
  <c r="K201" i="25" s="1"/>
  <c r="P196" i="13"/>
  <c r="Q196" i="13" s="1"/>
  <c r="K196" i="25" s="1"/>
  <c r="P37" i="13"/>
  <c r="Q37" i="13" s="1"/>
  <c r="K37" i="25" s="1"/>
  <c r="P219" i="13"/>
  <c r="Q219" i="13" s="1"/>
  <c r="K219" i="25" s="1"/>
  <c r="P227" i="13"/>
  <c r="Q227" i="13" s="1"/>
  <c r="K227" i="25" s="1"/>
  <c r="P81" i="13"/>
  <c r="Q81" i="13" s="1"/>
  <c r="K81" i="25" s="1"/>
  <c r="P186" i="13"/>
  <c r="Q186" i="13" s="1"/>
  <c r="K186" i="25" s="1"/>
  <c r="P65" i="13"/>
  <c r="Q65" i="13" s="1"/>
  <c r="K65" i="25" s="1"/>
  <c r="P149" i="13"/>
  <c r="Q149" i="13" s="1"/>
  <c r="K149" i="25" s="1"/>
  <c r="P216" i="13"/>
  <c r="Q216" i="13" s="1"/>
  <c r="K216" i="25" s="1"/>
  <c r="P94" i="13"/>
  <c r="Q94" i="13" s="1"/>
  <c r="K94" i="25" s="1"/>
  <c r="P167" i="13"/>
  <c r="Q167" i="13" s="1"/>
  <c r="K167" i="25" s="1"/>
  <c r="P73" i="13"/>
  <c r="Q73" i="13" s="1"/>
  <c r="K73" i="25" s="1"/>
  <c r="P89" i="13"/>
  <c r="Q89" i="13" s="1"/>
  <c r="K89" i="25" s="1"/>
  <c r="P236" i="13"/>
  <c r="Q236" i="13" s="1"/>
  <c r="K236" i="25" s="1"/>
  <c r="P203" i="13"/>
  <c r="Q203" i="13" s="1"/>
  <c r="K203" i="25" s="1"/>
  <c r="P168" i="13"/>
  <c r="Q168" i="13" s="1"/>
  <c r="K168" i="25" s="1"/>
  <c r="P263" i="13"/>
  <c r="Q263" i="13" s="1"/>
  <c r="K263" i="25" s="1"/>
  <c r="P290" i="13"/>
  <c r="Q290" i="13" s="1"/>
  <c r="K290" i="25" s="1"/>
  <c r="P15" i="13"/>
  <c r="Q15" i="13" s="1"/>
  <c r="K15" i="25" s="1"/>
  <c r="L100" i="25"/>
  <c r="N100" i="25" s="1"/>
  <c r="L168" i="25" l="1"/>
  <c r="N168" i="25" s="1"/>
  <c r="G168" i="52"/>
  <c r="H168" i="52" s="1"/>
  <c r="L73" i="25"/>
  <c r="N73" i="25" s="1"/>
  <c r="G73" i="52"/>
  <c r="H73" i="52" s="1"/>
  <c r="L149" i="25"/>
  <c r="N149" i="25" s="1"/>
  <c r="G149" i="52"/>
  <c r="H149" i="52" s="1"/>
  <c r="L227" i="25"/>
  <c r="N227" i="25" s="1"/>
  <c r="G227" i="52"/>
  <c r="H227" i="52" s="1"/>
  <c r="L201" i="25"/>
  <c r="N201" i="25" s="1"/>
  <c r="G201" i="52"/>
  <c r="H201" i="52" s="1"/>
  <c r="L175" i="25"/>
  <c r="N175" i="25" s="1"/>
  <c r="G175" i="52"/>
  <c r="H175" i="52" s="1"/>
  <c r="L211" i="25"/>
  <c r="N211" i="25" s="1"/>
  <c r="G211" i="52"/>
  <c r="H211" i="52" s="1"/>
  <c r="L79" i="25"/>
  <c r="N79" i="25" s="1"/>
  <c r="G79" i="52"/>
  <c r="H79" i="52" s="1"/>
  <c r="L162" i="25"/>
  <c r="N162" i="25" s="1"/>
  <c r="G162" i="52"/>
  <c r="H162" i="52" s="1"/>
  <c r="L11" i="25"/>
  <c r="N11" i="25" s="1"/>
  <c r="G11" i="52"/>
  <c r="H11" i="52" s="1"/>
  <c r="L109" i="25"/>
  <c r="N109" i="25" s="1"/>
  <c r="G109" i="52"/>
  <c r="H109" i="52" s="1"/>
  <c r="L206" i="25"/>
  <c r="N206" i="25" s="1"/>
  <c r="G206" i="52"/>
  <c r="H206" i="52" s="1"/>
  <c r="L322" i="25"/>
  <c r="N322" i="25" s="1"/>
  <c r="G322" i="52"/>
  <c r="H322" i="52" s="1"/>
  <c r="L47" i="25"/>
  <c r="N47" i="25" s="1"/>
  <c r="G47" i="52"/>
  <c r="H47" i="52" s="1"/>
  <c r="L112" i="25"/>
  <c r="N112" i="25" s="1"/>
  <c r="G112" i="52"/>
  <c r="H112" i="52" s="1"/>
  <c r="L190" i="25"/>
  <c r="N190" i="25" s="1"/>
  <c r="G190" i="52"/>
  <c r="H190" i="52" s="1"/>
  <c r="L119" i="25"/>
  <c r="N119" i="25" s="1"/>
  <c r="G119" i="52"/>
  <c r="H119" i="52" s="1"/>
  <c r="L142" i="25"/>
  <c r="N142" i="25" s="1"/>
  <c r="G142" i="52"/>
  <c r="H142" i="52" s="1"/>
  <c r="L122" i="25"/>
  <c r="N122" i="25" s="1"/>
  <c r="G122" i="52"/>
  <c r="H122" i="52" s="1"/>
  <c r="L204" i="25"/>
  <c r="N204" i="25" s="1"/>
  <c r="G204" i="52"/>
  <c r="H204" i="52" s="1"/>
  <c r="L259" i="25"/>
  <c r="N259" i="25" s="1"/>
  <c r="G259" i="52"/>
  <c r="H259" i="52" s="1"/>
  <c r="L131" i="25"/>
  <c r="N131" i="25" s="1"/>
  <c r="G131" i="52"/>
  <c r="H131" i="52" s="1"/>
  <c r="L103" i="25"/>
  <c r="N103" i="25" s="1"/>
  <c r="G103" i="52"/>
  <c r="H103" i="52" s="1"/>
  <c r="L296" i="25"/>
  <c r="N296" i="25" s="1"/>
  <c r="G296" i="52"/>
  <c r="H296" i="52" s="1"/>
  <c r="L251" i="25"/>
  <c r="G251" i="52"/>
  <c r="H251" i="52" s="1"/>
  <c r="L44" i="25"/>
  <c r="N44" i="25" s="1"/>
  <c r="G44" i="52"/>
  <c r="H44" i="52" s="1"/>
  <c r="L104" i="25"/>
  <c r="N104" i="25" s="1"/>
  <c r="G104" i="52"/>
  <c r="H104" i="52" s="1"/>
  <c r="L128" i="25"/>
  <c r="N128" i="25" s="1"/>
  <c r="G128" i="52"/>
  <c r="H128" i="52" s="1"/>
  <c r="L34" i="25"/>
  <c r="N34" i="25" s="1"/>
  <c r="G34" i="52"/>
  <c r="H34" i="52" s="1"/>
  <c r="L86" i="25"/>
  <c r="N86" i="25" s="1"/>
  <c r="G86" i="52"/>
  <c r="H86" i="52" s="1"/>
  <c r="L157" i="25"/>
  <c r="N157" i="25" s="1"/>
  <c r="G157" i="52"/>
  <c r="H157" i="52" s="1"/>
  <c r="L78" i="25"/>
  <c r="N78" i="25" s="1"/>
  <c r="G78" i="52"/>
  <c r="H78" i="52" s="1"/>
  <c r="L102" i="25"/>
  <c r="N102" i="25" s="1"/>
  <c r="G102" i="52"/>
  <c r="H102" i="52" s="1"/>
  <c r="L308" i="25"/>
  <c r="N308" i="25" s="1"/>
  <c r="G308" i="52"/>
  <c r="H308" i="52" s="1"/>
  <c r="L187" i="25"/>
  <c r="N187" i="25" s="1"/>
  <c r="G187" i="52"/>
  <c r="H187" i="52" s="1"/>
  <c r="L212" i="25"/>
  <c r="N212" i="25" s="1"/>
  <c r="G212" i="52"/>
  <c r="H212" i="52" s="1"/>
  <c r="L33" i="25"/>
  <c r="N33" i="25" s="1"/>
  <c r="G33" i="52"/>
  <c r="H33" i="52" s="1"/>
  <c r="L323" i="25"/>
  <c r="N323" i="25" s="1"/>
  <c r="G323" i="52"/>
  <c r="H323" i="52" s="1"/>
  <c r="L80" i="25"/>
  <c r="N80" i="25" s="1"/>
  <c r="G80" i="52"/>
  <c r="H80" i="52" s="1"/>
  <c r="L154" i="25"/>
  <c r="N154" i="25" s="1"/>
  <c r="G154" i="52"/>
  <c r="H154" i="52" s="1"/>
  <c r="L303" i="25"/>
  <c r="N303" i="25" s="1"/>
  <c r="G303" i="52"/>
  <c r="H303" i="52" s="1"/>
  <c r="L232" i="25"/>
  <c r="N232" i="25" s="1"/>
  <c r="G232" i="52"/>
  <c r="H232" i="52" s="1"/>
  <c r="L76" i="25"/>
  <c r="N76" i="25" s="1"/>
  <c r="G76" i="52"/>
  <c r="H76" i="52" s="1"/>
  <c r="L185" i="25"/>
  <c r="N185" i="25" s="1"/>
  <c r="G185" i="52"/>
  <c r="H185" i="52" s="1"/>
  <c r="L23" i="25"/>
  <c r="N23" i="25" s="1"/>
  <c r="G23" i="52"/>
  <c r="H23" i="52" s="1"/>
  <c r="L36" i="25"/>
  <c r="N36" i="25" s="1"/>
  <c r="G36" i="52"/>
  <c r="H36" i="52" s="1"/>
  <c r="L191" i="25"/>
  <c r="G191" i="52"/>
  <c r="H191" i="52" s="1"/>
  <c r="L12" i="25"/>
  <c r="N12" i="25" s="1"/>
  <c r="G12" i="52"/>
  <c r="H12" i="52" s="1"/>
  <c r="L223" i="25"/>
  <c r="N223" i="25" s="1"/>
  <c r="G223" i="52"/>
  <c r="H223" i="52" s="1"/>
  <c r="L38" i="25"/>
  <c r="N38" i="25" s="1"/>
  <c r="G38" i="52"/>
  <c r="H38" i="52" s="1"/>
  <c r="L31" i="25"/>
  <c r="N31" i="25" s="1"/>
  <c r="G31" i="52"/>
  <c r="H31" i="52" s="1"/>
  <c r="L197" i="25"/>
  <c r="G197" i="52"/>
  <c r="H197" i="52" s="1"/>
  <c r="L301" i="25"/>
  <c r="N301" i="25" s="1"/>
  <c r="G301" i="52"/>
  <c r="H301" i="52" s="1"/>
  <c r="L169" i="25"/>
  <c r="G169" i="52"/>
  <c r="H169" i="52" s="1"/>
  <c r="L84" i="25"/>
  <c r="N84" i="25" s="1"/>
  <c r="G84" i="52"/>
  <c r="H84" i="52" s="1"/>
  <c r="L181" i="25"/>
  <c r="G181" i="52"/>
  <c r="H181" i="52" s="1"/>
  <c r="L10" i="25"/>
  <c r="N10" i="25" s="1"/>
  <c r="G10" i="52"/>
  <c r="H10" i="52" s="1"/>
  <c r="L264" i="25"/>
  <c r="N264" i="25" s="1"/>
  <c r="G264" i="52"/>
  <c r="H264" i="52" s="1"/>
  <c r="L146" i="25"/>
  <c r="N146" i="25" s="1"/>
  <c r="G146" i="52"/>
  <c r="H146" i="52" s="1"/>
  <c r="H26" i="52"/>
  <c r="L290" i="25"/>
  <c r="N290" i="25" s="1"/>
  <c r="G290" i="52"/>
  <c r="H290" i="52" s="1"/>
  <c r="L236" i="25"/>
  <c r="N236" i="25" s="1"/>
  <c r="G236" i="52"/>
  <c r="H236" i="52" s="1"/>
  <c r="L94" i="25"/>
  <c r="G94" i="52"/>
  <c r="H94" i="52" s="1"/>
  <c r="L186" i="25"/>
  <c r="N186" i="25" s="1"/>
  <c r="G186" i="52"/>
  <c r="H186" i="52" s="1"/>
  <c r="L37" i="25"/>
  <c r="N37" i="25" s="1"/>
  <c r="G37" i="52"/>
  <c r="H37" i="52" s="1"/>
  <c r="L297" i="25"/>
  <c r="N297" i="25" s="1"/>
  <c r="G297" i="52"/>
  <c r="H297" i="52" s="1"/>
  <c r="L235" i="25"/>
  <c r="N235" i="25" s="1"/>
  <c r="G235" i="52"/>
  <c r="H235" i="52" s="1"/>
  <c r="L16" i="25"/>
  <c r="N16" i="25" s="1"/>
  <c r="G16" i="52"/>
  <c r="H16" i="52" s="1"/>
  <c r="L253" i="25"/>
  <c r="N253" i="25" s="1"/>
  <c r="G253" i="52"/>
  <c r="H253" i="52" s="1"/>
  <c r="L177" i="25"/>
  <c r="N177" i="25" s="1"/>
  <c r="G177" i="52"/>
  <c r="H177" i="52" s="1"/>
  <c r="L99" i="25"/>
  <c r="N99" i="25" s="1"/>
  <c r="G99" i="52"/>
  <c r="H99" i="52" s="1"/>
  <c r="L231" i="25"/>
  <c r="N231" i="25" s="1"/>
  <c r="G231" i="52"/>
  <c r="H231" i="52" s="1"/>
  <c r="L300" i="25"/>
  <c r="N300" i="25" s="1"/>
  <c r="G300" i="52"/>
  <c r="H300" i="52" s="1"/>
  <c r="L156" i="25"/>
  <c r="N156" i="25" s="1"/>
  <c r="G156" i="52"/>
  <c r="H156" i="52" s="1"/>
  <c r="L15" i="25"/>
  <c r="N15" i="25" s="1"/>
  <c r="G15" i="52"/>
  <c r="H15" i="52" s="1"/>
  <c r="L263" i="25"/>
  <c r="G263" i="52"/>
  <c r="H263" i="52" s="1"/>
  <c r="L203" i="25"/>
  <c r="N203" i="25" s="1"/>
  <c r="G203" i="52"/>
  <c r="H203" i="52" s="1"/>
  <c r="L89" i="25"/>
  <c r="N89" i="25" s="1"/>
  <c r="G89" i="52"/>
  <c r="H89" i="52" s="1"/>
  <c r="L167" i="25"/>
  <c r="N167" i="25" s="1"/>
  <c r="G167" i="52"/>
  <c r="H167" i="52" s="1"/>
  <c r="L216" i="25"/>
  <c r="N216" i="25" s="1"/>
  <c r="G216" i="52"/>
  <c r="H216" i="52" s="1"/>
  <c r="L65" i="25"/>
  <c r="N65" i="25" s="1"/>
  <c r="G65" i="52"/>
  <c r="H65" i="52" s="1"/>
  <c r="L81" i="25"/>
  <c r="N81" i="25" s="1"/>
  <c r="G81" i="52"/>
  <c r="H81" i="52" s="1"/>
  <c r="L219" i="25"/>
  <c r="N219" i="25" s="1"/>
  <c r="G219" i="52"/>
  <c r="H219" i="52" s="1"/>
  <c r="L196" i="25"/>
  <c r="N196" i="25" s="1"/>
  <c r="G196" i="52"/>
  <c r="H196" i="52" s="1"/>
  <c r="L35" i="25"/>
  <c r="N35" i="25" s="1"/>
  <c r="G35" i="52"/>
  <c r="H35" i="52" s="1"/>
  <c r="L226" i="25"/>
  <c r="N226" i="25" s="1"/>
  <c r="G226" i="52"/>
  <c r="H226" i="52" s="1"/>
  <c r="L117" i="25"/>
  <c r="N117" i="25" s="1"/>
  <c r="G117" i="52"/>
  <c r="H117" i="52" s="1"/>
  <c r="L138" i="25"/>
  <c r="N138" i="25" s="1"/>
  <c r="G138" i="52"/>
  <c r="H138" i="52" s="1"/>
  <c r="L57" i="25"/>
  <c r="N57" i="25" s="1"/>
  <c r="G57" i="52"/>
  <c r="H57" i="52" s="1"/>
  <c r="L289" i="25"/>
  <c r="N289" i="25" s="1"/>
  <c r="G289" i="52"/>
  <c r="H289" i="52" s="1"/>
  <c r="L299" i="25"/>
  <c r="N299" i="25" s="1"/>
  <c r="G299" i="52"/>
  <c r="H299" i="52" s="1"/>
  <c r="L302" i="25"/>
  <c r="N302" i="25" s="1"/>
  <c r="G302" i="52"/>
  <c r="H302" i="52" s="1"/>
  <c r="L67" i="25"/>
  <c r="N67" i="25" s="1"/>
  <c r="G67" i="52"/>
  <c r="H67" i="52" s="1"/>
  <c r="L69" i="25"/>
  <c r="N69" i="25" s="1"/>
  <c r="G69" i="52"/>
  <c r="H69" i="52" s="1"/>
  <c r="L141" i="25"/>
  <c r="N141" i="25" s="1"/>
  <c r="G141" i="52"/>
  <c r="H141" i="52" s="1"/>
  <c r="L24" i="25"/>
  <c r="N24" i="25" s="1"/>
  <c r="G24" i="52"/>
  <c r="H24" i="52" s="1"/>
  <c r="L55" i="25"/>
  <c r="N55" i="25" s="1"/>
  <c r="G55" i="52"/>
  <c r="H55" i="52" s="1"/>
  <c r="L218" i="25"/>
  <c r="N218" i="25" s="1"/>
  <c r="G218" i="52"/>
  <c r="H218" i="52" s="1"/>
  <c r="L188" i="25"/>
  <c r="N188" i="25" s="1"/>
  <c r="G188" i="52"/>
  <c r="H188" i="52" s="1"/>
  <c r="L242" i="25"/>
  <c r="N242" i="25" s="1"/>
  <c r="G242" i="52"/>
  <c r="H242" i="52" s="1"/>
  <c r="L63" i="25"/>
  <c r="N63" i="25" s="1"/>
  <c r="G63" i="52"/>
  <c r="H63" i="52" s="1"/>
  <c r="L220" i="25"/>
  <c r="N220" i="25" s="1"/>
  <c r="G220" i="52"/>
  <c r="H220" i="52" s="1"/>
  <c r="L105" i="25"/>
  <c r="N105" i="25" s="1"/>
  <c r="G105" i="52"/>
  <c r="H105" i="52" s="1"/>
  <c r="L179" i="25"/>
  <c r="N179" i="25" s="1"/>
  <c r="G179" i="52"/>
  <c r="H179" i="52" s="1"/>
  <c r="L267" i="25"/>
  <c r="N267" i="25" s="1"/>
  <c r="G267" i="52"/>
  <c r="H267" i="52" s="1"/>
  <c r="L136" i="25"/>
  <c r="N136" i="25" s="1"/>
  <c r="G136" i="52"/>
  <c r="H136" i="52" s="1"/>
  <c r="L77" i="25"/>
  <c r="N77" i="25" s="1"/>
  <c r="G77" i="52"/>
  <c r="H77" i="52" s="1"/>
  <c r="L182" i="25"/>
  <c r="N182" i="25" s="1"/>
  <c r="G182" i="52"/>
  <c r="H182" i="52" s="1"/>
  <c r="L250" i="25"/>
  <c r="N250" i="25" s="1"/>
  <c r="G250" i="52"/>
  <c r="H250" i="52" s="1"/>
  <c r="L176" i="25"/>
  <c r="N176" i="25" s="1"/>
  <c r="G176" i="52"/>
  <c r="H176" i="52" s="1"/>
  <c r="L317" i="25"/>
  <c r="N317" i="25" s="1"/>
  <c r="G317" i="52"/>
  <c r="H317" i="52" s="1"/>
  <c r="L71" i="25"/>
  <c r="N71" i="25" s="1"/>
  <c r="G71" i="52"/>
  <c r="H71" i="52" s="1"/>
  <c r="L278" i="25"/>
  <c r="N278" i="25" s="1"/>
  <c r="G278" i="52"/>
  <c r="H278" i="52" s="1"/>
  <c r="L126" i="25"/>
  <c r="N126" i="25" s="1"/>
  <c r="G126" i="52"/>
  <c r="H126" i="52" s="1"/>
  <c r="L174" i="25"/>
  <c r="N174" i="25" s="1"/>
  <c r="G174" i="52"/>
  <c r="H174" i="52" s="1"/>
  <c r="L13" i="25"/>
  <c r="N13" i="25" s="1"/>
  <c r="G13" i="52"/>
  <c r="H13" i="52" s="1"/>
  <c r="L60" i="25"/>
  <c r="N60" i="25" s="1"/>
  <c r="G60" i="52"/>
  <c r="H60" i="52" s="1"/>
  <c r="L108" i="25"/>
  <c r="N108" i="25" s="1"/>
  <c r="G108" i="52"/>
  <c r="H108" i="52" s="1"/>
  <c r="L189" i="25"/>
  <c r="N189" i="25" s="1"/>
  <c r="G189" i="52"/>
  <c r="H189" i="52" s="1"/>
  <c r="L43" i="25"/>
  <c r="N43" i="25" s="1"/>
  <c r="G43" i="52"/>
  <c r="H43" i="52" s="1"/>
  <c r="L134" i="25"/>
  <c r="N134" i="25" s="1"/>
  <c r="G134" i="52"/>
  <c r="H134" i="52" s="1"/>
  <c r="L210" i="25"/>
  <c r="N210" i="25" s="1"/>
  <c r="G210" i="52"/>
  <c r="H210" i="52" s="1"/>
  <c r="L249" i="25"/>
  <c r="N249" i="25" s="1"/>
  <c r="G249" i="52"/>
  <c r="H249" i="52" s="1"/>
  <c r="L49" i="25"/>
  <c r="N49" i="25" s="1"/>
  <c r="G49" i="52"/>
  <c r="H49" i="52" s="1"/>
  <c r="L271" i="25"/>
  <c r="N271" i="25" s="1"/>
  <c r="G271" i="52"/>
  <c r="H271" i="52" s="1"/>
  <c r="L137" i="25"/>
  <c r="N137" i="25" s="1"/>
  <c r="G137" i="52"/>
  <c r="H137" i="52" s="1"/>
  <c r="L319" i="25"/>
  <c r="N319" i="25" s="1"/>
  <c r="G319" i="52"/>
  <c r="H319" i="52" s="1"/>
  <c r="L213" i="25"/>
  <c r="N213" i="25" s="1"/>
  <c r="G213" i="52"/>
  <c r="H213" i="52" s="1"/>
  <c r="L53" i="25"/>
  <c r="N53" i="25" s="1"/>
  <c r="G53" i="52"/>
  <c r="H53" i="52" s="1"/>
  <c r="L173" i="25"/>
  <c r="N173" i="25" s="1"/>
  <c r="G173" i="52"/>
  <c r="H173" i="52" s="1"/>
  <c r="L321" i="25"/>
  <c r="N321" i="25" s="1"/>
  <c r="G321" i="52"/>
  <c r="H321" i="52" s="1"/>
  <c r="L111" i="25"/>
  <c r="N111" i="25" s="1"/>
  <c r="G111" i="52"/>
  <c r="H111" i="52" s="1"/>
  <c r="L287" i="25"/>
  <c r="N287" i="25" s="1"/>
  <c r="G287" i="52"/>
  <c r="H287" i="52" s="1"/>
  <c r="L14" i="25"/>
  <c r="N14" i="25" s="1"/>
  <c r="G14" i="52"/>
  <c r="H14" i="52" s="1"/>
  <c r="L82" i="25"/>
  <c r="N82" i="25" s="1"/>
  <c r="G82" i="52"/>
  <c r="H82" i="52" s="1"/>
  <c r="L61" i="25"/>
  <c r="N61" i="25" s="1"/>
  <c r="G61" i="52"/>
  <c r="H61" i="52" s="1"/>
  <c r="L75" i="25"/>
  <c r="N75" i="25" s="1"/>
  <c r="G75" i="52"/>
  <c r="H75" i="52" s="1"/>
  <c r="L252" i="25"/>
  <c r="G252" i="52"/>
  <c r="H252" i="52" s="1"/>
  <c r="L217" i="25"/>
  <c r="N217" i="25" s="1"/>
  <c r="G217" i="52"/>
  <c r="H217" i="52" s="1"/>
  <c r="L129" i="25"/>
  <c r="N129" i="25" s="1"/>
  <c r="G129" i="52"/>
  <c r="H129" i="52" s="1"/>
  <c r="L230" i="25"/>
  <c r="N230" i="25" s="1"/>
  <c r="G230" i="52"/>
  <c r="H230" i="52" s="1"/>
  <c r="L310" i="25"/>
  <c r="N310" i="25" s="1"/>
  <c r="G310" i="52"/>
  <c r="H310" i="52" s="1"/>
  <c r="L258" i="25"/>
  <c r="N258" i="25" s="1"/>
  <c r="G258" i="52"/>
  <c r="H258" i="52" s="1"/>
  <c r="L159" i="25"/>
  <c r="N159" i="25" s="1"/>
  <c r="G159" i="52"/>
  <c r="H159" i="52" s="1"/>
  <c r="L215" i="25"/>
  <c r="N215" i="25" s="1"/>
  <c r="G215" i="52"/>
  <c r="H215" i="52" s="1"/>
  <c r="L152" i="25"/>
  <c r="G152" i="52"/>
  <c r="H152" i="52" s="1"/>
  <c r="L178" i="25"/>
  <c r="G178" i="52"/>
  <c r="H178" i="52" s="1"/>
  <c r="L222" i="25"/>
  <c r="G222" i="52"/>
  <c r="H222" i="52" s="1"/>
  <c r="L32" i="25"/>
  <c r="G32" i="52"/>
  <c r="H32" i="52" s="1"/>
  <c r="L269" i="25"/>
  <c r="N269" i="25" s="1"/>
  <c r="G269" i="52"/>
  <c r="H269" i="52" s="1"/>
  <c r="L145" i="25"/>
  <c r="N145" i="25" s="1"/>
  <c r="G145" i="52"/>
  <c r="H145" i="52" s="1"/>
  <c r="L7" i="25"/>
  <c r="N7" i="25" s="1"/>
  <c r="G7" i="52"/>
  <c r="H7" i="52" s="1"/>
  <c r="L207" i="25"/>
  <c r="N207" i="25" s="1"/>
  <c r="G207" i="52"/>
  <c r="H207" i="52" s="1"/>
  <c r="N32" i="25"/>
  <c r="N171" i="25"/>
  <c r="N244" i="25"/>
  <c r="N181" i="25"/>
  <c r="N178" i="25"/>
  <c r="N94" i="25"/>
  <c r="N191" i="25"/>
  <c r="N252" i="25"/>
  <c r="N169" i="25"/>
  <c r="N152" i="25"/>
  <c r="N222" i="25"/>
  <c r="N251" i="25"/>
  <c r="N263" i="25"/>
  <c r="N197" i="25"/>
  <c r="R179" i="13"/>
  <c r="S179" i="13" s="1"/>
  <c r="R142" i="13"/>
  <c r="S142" i="13" s="1"/>
  <c r="R310" i="13"/>
  <c r="S310" i="13" s="1"/>
  <c r="R227" i="13"/>
  <c r="S227" i="13" s="1"/>
  <c r="R63" i="13"/>
  <c r="S63" i="13" s="1"/>
  <c r="R76" i="13"/>
  <c r="S76" i="13" s="1"/>
  <c r="R111" i="13"/>
  <c r="S111" i="13" s="1"/>
  <c r="R36" i="13"/>
  <c r="S36" i="13" s="1"/>
  <c r="R94" i="13"/>
  <c r="S94" i="13" s="1"/>
  <c r="R73" i="13"/>
  <c r="S73" i="13" s="1"/>
  <c r="R186" i="13"/>
  <c r="S186" i="13" s="1"/>
  <c r="R99" i="13"/>
  <c r="S99" i="13" s="1"/>
  <c r="R109" i="13"/>
  <c r="S109" i="13" s="1"/>
  <c r="R43" i="13"/>
  <c r="S43" i="13" s="1"/>
  <c r="R16" i="13"/>
  <c r="S16" i="13" s="1"/>
  <c r="R177" i="13"/>
  <c r="S177" i="13" s="1"/>
  <c r="R302" i="13"/>
  <c r="S302" i="13" s="1"/>
  <c r="R231" i="13"/>
  <c r="S231" i="13" s="1"/>
  <c r="R290" i="13"/>
  <c r="S290" i="13" s="1"/>
  <c r="R79" i="13"/>
  <c r="S79" i="13" s="1"/>
  <c r="R317" i="13"/>
  <c r="S317" i="13" s="1"/>
  <c r="R189" i="13"/>
  <c r="S189" i="13" s="1"/>
  <c r="R23" i="13"/>
  <c r="S23" i="13" s="1"/>
  <c r="R269" i="13"/>
  <c r="S269" i="13" s="1"/>
  <c r="R297" i="13"/>
  <c r="S297" i="13" s="1"/>
  <c r="R220" i="13"/>
  <c r="S220" i="13" s="1"/>
  <c r="R122" i="13"/>
  <c r="S122" i="13" s="1"/>
  <c r="R145" i="13"/>
  <c r="S145" i="13" s="1"/>
  <c r="R6" i="13"/>
  <c r="S6" i="13" s="1"/>
  <c r="R53" i="13"/>
  <c r="S53" i="13" s="1"/>
  <c r="R217" i="13"/>
  <c r="S217" i="13" s="1"/>
  <c r="R264" i="13"/>
  <c r="S264" i="13" s="1"/>
  <c r="R236" i="13"/>
  <c r="S236" i="13" s="1"/>
  <c r="R204" i="13"/>
  <c r="S204" i="13" s="1"/>
  <c r="R49" i="13"/>
  <c r="S49" i="13" s="1"/>
  <c r="R185" i="13"/>
  <c r="S185" i="13" s="1"/>
  <c r="R252" i="13"/>
  <c r="S252" i="13" s="1"/>
  <c r="R207" i="13"/>
  <c r="S207" i="13" s="1"/>
  <c r="R7" i="13"/>
  <c r="S7" i="13" s="1"/>
  <c r="R108" i="13"/>
  <c r="S108" i="13" s="1"/>
  <c r="R137" i="13"/>
  <c r="S137" i="13" s="1"/>
  <c r="R287" i="13"/>
  <c r="S287" i="13" s="1"/>
  <c r="R14" i="13"/>
  <c r="S14" i="13" s="1"/>
  <c r="R82" i="13"/>
  <c r="S82" i="13" s="1"/>
  <c r="R223" i="13"/>
  <c r="S223" i="13" s="1"/>
  <c r="R169" i="13"/>
  <c r="S169" i="13" s="1"/>
  <c r="R215" i="13"/>
  <c r="S215" i="13" s="1"/>
  <c r="R10" i="13"/>
  <c r="S10" i="13" s="1"/>
  <c r="R15" i="13"/>
  <c r="S15" i="13" s="1"/>
  <c r="R37" i="13"/>
  <c r="S37" i="13" s="1"/>
  <c r="R175" i="13"/>
  <c r="S175" i="13" s="1"/>
  <c r="R253" i="13"/>
  <c r="S253" i="13" s="1"/>
  <c r="R267" i="13"/>
  <c r="S267" i="13" s="1"/>
  <c r="R136" i="13"/>
  <c r="S136" i="13" s="1"/>
  <c r="R77" i="13"/>
  <c r="S77" i="13" s="1"/>
  <c r="R259" i="13"/>
  <c r="S259" i="13" s="1"/>
  <c r="R71" i="13"/>
  <c r="S71" i="13" s="1"/>
  <c r="R296" i="13"/>
  <c r="S296" i="13" s="1"/>
  <c r="R278" i="13"/>
  <c r="S278" i="13" s="1"/>
  <c r="R210" i="13"/>
  <c r="S210" i="13" s="1"/>
  <c r="R271" i="13"/>
  <c r="S271" i="13" s="1"/>
  <c r="R129" i="13"/>
  <c r="S129" i="13" s="1"/>
  <c r="R181" i="13"/>
  <c r="S181" i="13" s="1"/>
  <c r="R168" i="13"/>
  <c r="S168" i="13" s="1"/>
  <c r="R149" i="13"/>
  <c r="S149" i="13" s="1"/>
  <c r="R201" i="13"/>
  <c r="S201" i="13" s="1"/>
  <c r="R235" i="13"/>
  <c r="S235" i="13" s="1"/>
  <c r="R162" i="13"/>
  <c r="S162" i="13" s="1"/>
  <c r="R300" i="13"/>
  <c r="S300" i="13" s="1"/>
  <c r="R126" i="13"/>
  <c r="S126" i="13" s="1"/>
  <c r="R104" i="13"/>
  <c r="S104" i="13" s="1"/>
  <c r="R60" i="13"/>
  <c r="S60" i="13" s="1"/>
  <c r="R157" i="13"/>
  <c r="S157" i="13" s="1"/>
  <c r="R78" i="13"/>
  <c r="S78" i="13" s="1"/>
  <c r="R213" i="13"/>
  <c r="S213" i="13" s="1"/>
  <c r="R173" i="13"/>
  <c r="S173" i="13" s="1"/>
  <c r="R232" i="13"/>
  <c r="S232" i="13" s="1"/>
  <c r="R230" i="13"/>
  <c r="S230" i="13" s="1"/>
  <c r="R301" i="13"/>
  <c r="S301" i="13" s="1"/>
  <c r="R84" i="13"/>
  <c r="S84" i="13" s="1"/>
  <c r="R191" i="13"/>
  <c r="S191" i="13" s="1"/>
  <c r="R263" i="13"/>
  <c r="S263" i="13" s="1"/>
  <c r="R203" i="13"/>
  <c r="S203" i="13" s="1"/>
  <c r="R89" i="13"/>
  <c r="S89" i="13" s="1"/>
  <c r="R167" i="13"/>
  <c r="S167" i="13" s="1"/>
  <c r="R216" i="13"/>
  <c r="S216" i="13" s="1"/>
  <c r="R65" i="13"/>
  <c r="S65" i="13" s="1"/>
  <c r="R81" i="13"/>
  <c r="S81" i="13" s="1"/>
  <c r="R219" i="13"/>
  <c r="S219" i="13" s="1"/>
  <c r="R196" i="13"/>
  <c r="S196" i="13" s="1"/>
  <c r="R35" i="13"/>
  <c r="S35" i="13" s="1"/>
  <c r="R211" i="13"/>
  <c r="S211" i="13" s="1"/>
  <c r="R67" i="13"/>
  <c r="S67" i="13" s="1"/>
  <c r="R69" i="13"/>
  <c r="S69" i="13" s="1"/>
  <c r="R141" i="13"/>
  <c r="S141" i="13" s="1"/>
  <c r="R24" i="13"/>
  <c r="S24" i="13" s="1"/>
  <c r="R11" i="13"/>
  <c r="S11" i="13" s="1"/>
  <c r="R55" i="13"/>
  <c r="S55" i="13" s="1"/>
  <c r="R218" i="13"/>
  <c r="S218" i="13" s="1"/>
  <c r="R188" i="13"/>
  <c r="S188" i="13" s="1"/>
  <c r="R242" i="13"/>
  <c r="S242" i="13" s="1"/>
  <c r="R206" i="13"/>
  <c r="S206" i="13" s="1"/>
  <c r="R105" i="13"/>
  <c r="S105" i="13" s="1"/>
  <c r="R176" i="13"/>
  <c r="S176" i="13" s="1"/>
  <c r="R13" i="13"/>
  <c r="S13" i="13" s="1"/>
  <c r="R249" i="13"/>
  <c r="S249" i="13" s="1"/>
  <c r="R319" i="13"/>
  <c r="S319" i="13" s="1"/>
  <c r="R80" i="13"/>
  <c r="S80" i="13" s="1"/>
  <c r="R154" i="13"/>
  <c r="S154" i="13" s="1"/>
  <c r="R303" i="13"/>
  <c r="S303" i="13" s="1"/>
  <c r="R321" i="13"/>
  <c r="S321" i="13" s="1"/>
  <c r="R38" i="13"/>
  <c r="S38" i="13" s="1"/>
  <c r="R12" i="13"/>
  <c r="S12" i="13" s="1"/>
  <c r="R61" i="13"/>
  <c r="S61" i="13" s="1"/>
  <c r="R75" i="13"/>
  <c r="S75" i="13" s="1"/>
  <c r="R226" i="13"/>
  <c r="S226" i="13" s="1"/>
  <c r="R117" i="13"/>
  <c r="S117" i="13" s="1"/>
  <c r="R138" i="13"/>
  <c r="S138" i="13" s="1"/>
  <c r="R57" i="13"/>
  <c r="S57" i="13" s="1"/>
  <c r="R289" i="13"/>
  <c r="S289" i="13" s="1"/>
  <c r="R299" i="13"/>
  <c r="S299" i="13" s="1"/>
  <c r="R156" i="13"/>
  <c r="S156" i="13" s="1"/>
  <c r="R322" i="13"/>
  <c r="S322" i="13" s="1"/>
  <c r="R47" i="13"/>
  <c r="S47" i="13" s="1"/>
  <c r="R112" i="13"/>
  <c r="S112" i="13" s="1"/>
  <c r="R190" i="13"/>
  <c r="S190" i="13" s="1"/>
  <c r="R119" i="13"/>
  <c r="S119" i="13" s="1"/>
  <c r="R182" i="13"/>
  <c r="S182" i="13" s="1"/>
  <c r="R250" i="13"/>
  <c r="S250" i="13" s="1"/>
  <c r="R131" i="13"/>
  <c r="S131" i="13" s="1"/>
  <c r="R103" i="13"/>
  <c r="S103" i="13" s="1"/>
  <c r="R251" i="13"/>
  <c r="S251" i="13" s="1"/>
  <c r="R44" i="13"/>
  <c r="S44" i="13" s="1"/>
  <c r="R174" i="13"/>
  <c r="S174" i="13" s="1"/>
  <c r="R128" i="13"/>
  <c r="S128" i="13" s="1"/>
  <c r="R34" i="13"/>
  <c r="S34" i="13" s="1"/>
  <c r="R86" i="13"/>
  <c r="S86" i="13" s="1"/>
  <c r="R134" i="13"/>
  <c r="S134" i="13" s="1"/>
  <c r="R102" i="13"/>
  <c r="S102" i="13" s="1"/>
  <c r="R308" i="13"/>
  <c r="S308" i="13" s="1"/>
  <c r="R187" i="13"/>
  <c r="S187" i="13" s="1"/>
  <c r="R212" i="13"/>
  <c r="S212" i="13" s="1"/>
  <c r="R33" i="13"/>
  <c r="S33" i="13" s="1"/>
  <c r="R323" i="13"/>
  <c r="S323" i="13" s="1"/>
  <c r="J324" i="25"/>
  <c r="E39" i="48"/>
  <c r="F39" i="48" s="1"/>
  <c r="F43" i="48" s="1"/>
  <c r="F54" i="48" s="1"/>
  <c r="K6" i="25"/>
  <c r="G6" i="52" s="1"/>
  <c r="H6" i="52" s="1"/>
  <c r="Q324" i="13"/>
  <c r="D32" i="40" s="1"/>
  <c r="E60" i="48" l="1"/>
  <c r="E61" i="48" s="1"/>
  <c r="C61" i="48" s="1"/>
  <c r="H324" i="52"/>
  <c r="C60" i="48"/>
  <c r="L6" i="25"/>
  <c r="N6" i="25" s="1"/>
  <c r="K324" i="25"/>
  <c r="L324" i="25" l="1"/>
  <c r="C32" i="40" s="1"/>
  <c r="G324" i="52"/>
  <c r="N324" i="25"/>
</calcChain>
</file>

<file path=xl/sharedStrings.xml><?xml version="1.0" encoding="utf-8"?>
<sst xmlns="http://schemas.openxmlformats.org/spreadsheetml/2006/main" count="1123" uniqueCount="657">
  <si>
    <t>en % de la moyenne après écrêtage</t>
  </si>
  <si>
    <t>pt après écrêtage</t>
  </si>
  <si>
    <t>pts écrêtés</t>
  </si>
  <si>
    <t>Valeur pt après écrêtage</t>
  </si>
  <si>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</si>
  <si>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</si>
  <si>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</si>
  <si>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</si>
  <si>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</si>
  <si>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</si>
  <si>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</si>
  <si>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</si>
  <si>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</si>
  <si>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</si>
  <si>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</si>
  <si>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</si>
  <si>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</si>
  <si>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</si>
  <si>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</si>
  <si>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</si>
  <si>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</si>
  <si>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</si>
  <si>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</si>
  <si>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</si>
  <si>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</si>
  <si>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</si>
  <si>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</si>
  <si>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</si>
  <si>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</si>
  <si>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</si>
  <si>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</si>
  <si>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</si>
  <si>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</si>
  <si>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</si>
  <si>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</si>
  <si>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</si>
  <si>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</si>
  <si>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</si>
  <si>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</si>
  <si>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</si>
  <si>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</si>
  <si>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</si>
  <si>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</si>
  <si>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</si>
  <si>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</si>
  <si>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</si>
  <si>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</si>
  <si>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</si>
  <si>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</si>
  <si>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</si>
  <si>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</si>
  <si>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</si>
  <si>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</si>
  <si>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</si>
  <si>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</si>
  <si>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</si>
  <si>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</si>
  <si>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</si>
  <si>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</si>
  <si>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</si>
  <si>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</si>
  <si>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</si>
  <si>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</si>
  <si>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</si>
  <si>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</si>
  <si>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</si>
  <si>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</si>
  <si>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</si>
  <si>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</si>
  <si>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</si>
  <si>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</si>
  <si>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Essert-Pittet</t>
  </si>
  <si>
    <t>Habitants</t>
  </si>
  <si>
    <t>Valeur par habitant</t>
  </si>
  <si>
    <t>Valeur du point après écrêtage</t>
  </si>
  <si>
    <t>Nyon</t>
  </si>
  <si>
    <t>Prangins</t>
  </si>
  <si>
    <t>Bougy-Villars</t>
  </si>
  <si>
    <t>Yvorne</t>
  </si>
  <si>
    <t>Apples</t>
  </si>
  <si>
    <t>Aubonne</t>
  </si>
  <si>
    <t>Ballens</t>
  </si>
  <si>
    <t>Berolle</t>
  </si>
  <si>
    <t>Bière</t>
  </si>
  <si>
    <t>Taxe annuelle égoûts</t>
  </si>
  <si>
    <t>Ordures</t>
  </si>
  <si>
    <t>Taxe eau</t>
  </si>
  <si>
    <t>Taxe compl. Eau</t>
  </si>
  <si>
    <t>Pompiers</t>
  </si>
  <si>
    <t>Taxe communale de séjour</t>
  </si>
  <si>
    <t>Total taxes</t>
  </si>
  <si>
    <t>Taux communal</t>
  </si>
  <si>
    <t>ISP</t>
  </si>
  <si>
    <t>IPE</t>
  </si>
  <si>
    <t>IBC</t>
  </si>
  <si>
    <t>IET</t>
  </si>
  <si>
    <t>ISO</t>
  </si>
  <si>
    <t>IMM</t>
  </si>
  <si>
    <t>IFO</t>
  </si>
  <si>
    <t>STO</t>
  </si>
  <si>
    <t>IFR</t>
  </si>
  <si>
    <t>ISD</t>
  </si>
  <si>
    <t>DMU</t>
  </si>
  <si>
    <t>IGI</t>
  </si>
  <si>
    <t>IPA</t>
  </si>
  <si>
    <t>ICH</t>
  </si>
  <si>
    <t>IDI</t>
  </si>
  <si>
    <t>IDV</t>
  </si>
  <si>
    <t>TOT</t>
  </si>
  <si>
    <t>Taxegout</t>
  </si>
  <si>
    <t>Taxcegou</t>
  </si>
  <si>
    <t>Taxaneg</t>
  </si>
  <si>
    <t>Taxenc</t>
  </si>
  <si>
    <t>Ordure</t>
  </si>
  <si>
    <t>Taxeau</t>
  </si>
  <si>
    <t>Taxceau</t>
  </si>
  <si>
    <t>Facture sociale à charge des communes</t>
  </si>
  <si>
    <t>Facture sociale</t>
  </si>
  <si>
    <t>Alimentation</t>
  </si>
  <si>
    <t>./. Dép. thématiques</t>
  </si>
  <si>
    <t>Commune</t>
  </si>
  <si>
    <t>Chiens</t>
  </si>
  <si>
    <t>Divertissements</t>
  </si>
  <si>
    <t>Divers</t>
  </si>
  <si>
    <t>Taxe egoûts</t>
  </si>
  <si>
    <t>Taxe compl. Égoûts</t>
  </si>
  <si>
    <t>Chavannes-sur-Moudon</t>
  </si>
  <si>
    <t>Chesalles-sur-Moudon</t>
  </si>
  <si>
    <t>Cremin</t>
  </si>
  <si>
    <t>Curtilles</t>
  </si>
  <si>
    <t>Dompierre</t>
  </si>
  <si>
    <t>Forel-sur-Lucens</t>
  </si>
  <si>
    <t>Hermenches</t>
  </si>
  <si>
    <t>Lovatens</t>
  </si>
  <si>
    <t>Lucens</t>
  </si>
  <si>
    <t>Moudon</t>
  </si>
  <si>
    <t>Ogens</t>
  </si>
  <si>
    <t>Prévonloup</t>
  </si>
  <si>
    <t>Rossenges</t>
  </si>
  <si>
    <t>Sarzens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</si>
  <si>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</si>
  <si>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</si>
  <si>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</si>
  <si>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</si>
  <si>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</si>
  <si>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</si>
  <si>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</si>
  <si>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</si>
  <si>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</si>
  <si>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</si>
  <si>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</si>
  <si>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</si>
  <si>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</si>
  <si>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</si>
  <si>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</si>
  <si>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</si>
  <si>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</si>
  <si>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</si>
  <si>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</si>
  <si>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</si>
  <si>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</si>
  <si>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</si>
  <si>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</si>
  <si>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</si>
  <si>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</si>
  <si>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</si>
  <si>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</si>
  <si>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</si>
  <si>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</si>
  <si>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</si>
  <si>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</si>
  <si>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</si>
  <si>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</si>
  <si>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</si>
  <si>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</si>
  <si>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</si>
  <si>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</si>
  <si>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</si>
  <si>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Péréquation directe nette</t>
  </si>
  <si>
    <t>Plafond en pts</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</si>
  <si>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</si>
  <si>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</si>
  <si>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</si>
  <si>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</si>
  <si>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</si>
  <si>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</si>
  <si>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</si>
  <si>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</si>
  <si>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</si>
  <si>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</si>
  <si>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</si>
  <si>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</si>
  <si>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</si>
  <si>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</si>
  <si>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</si>
  <si>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</si>
  <si>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</si>
  <si>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</si>
  <si>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</si>
  <si>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</si>
  <si>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</si>
  <si>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</si>
  <si>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</si>
  <si>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</si>
  <si>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</si>
  <si>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</si>
  <si>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</si>
  <si>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</si>
  <si>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</si>
  <si>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</si>
  <si>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</si>
  <si>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</si>
  <si>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</si>
  <si>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</si>
  <si>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</si>
  <si>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</si>
  <si>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</si>
  <si>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</si>
  <si>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</si>
  <si>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</si>
  <si>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</si>
  <si>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</si>
  <si>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</si>
  <si>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</si>
  <si>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</si>
  <si>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</si>
  <si>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</si>
  <si>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</si>
  <si>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</si>
  <si>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</si>
  <si>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</si>
  <si>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Patentes</t>
  </si>
  <si>
    <t>Villars-sous-Yens</t>
  </si>
  <si>
    <t>Vufflens-le-Château</t>
  </si>
  <si>
    <t>Vullierens</t>
  </si>
  <si>
    <t>Yens</t>
  </si>
  <si>
    <t>Boulens</t>
  </si>
  <si>
    <t>Brenles</t>
  </si>
  <si>
    <t>Bussy-sur-Moudon</t>
  </si>
  <si>
    <t>Le Chenit</t>
  </si>
  <si>
    <t>Le Lieu</t>
  </si>
  <si>
    <t>Blonay</t>
  </si>
  <si>
    <t>Chardonne</t>
  </si>
  <si>
    <t>Corseaux</t>
  </si>
  <si>
    <t>Boussens</t>
  </si>
  <si>
    <t>La Chaux (Cossonay)</t>
  </si>
  <si>
    <t>Plafonnement de l'effort</t>
  </si>
  <si>
    <t>Solde net des péréquations</t>
  </si>
  <si>
    <t>Prise en charge dépassement</t>
  </si>
  <si>
    <t>Forêts</t>
  </si>
  <si>
    <t>Dépassement forêts</t>
  </si>
  <si>
    <t>Romanel-sur-Lausanne</t>
  </si>
  <si>
    <t>La Praz</t>
  </si>
  <si>
    <t>Premier</t>
  </si>
  <si>
    <t>Rances</t>
  </si>
  <si>
    <t>Indicateurs financiers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</si>
  <si>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</si>
  <si>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</si>
  <si>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</si>
  <si>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</si>
  <si>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</si>
  <si>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</si>
  <si>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</si>
  <si>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</si>
  <si>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</si>
  <si>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</si>
  <si>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</si>
  <si>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</si>
  <si>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</si>
  <si>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</si>
  <si>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</si>
  <si>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</si>
  <si>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</si>
  <si>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</si>
  <si>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</si>
  <si>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</si>
  <si>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</si>
  <si>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</si>
  <si>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</si>
  <si>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</si>
  <si>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</si>
  <si>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</si>
  <si>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</si>
  <si>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</si>
  <si>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</si>
  <si>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</si>
  <si>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</si>
  <si>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</si>
  <si>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Taxe annuelle compl égoûts (association)</t>
  </si>
  <si>
    <t>Plafond effort</t>
  </si>
  <si>
    <t>Plafond taux</t>
  </si>
  <si>
    <t>Chavannes-près-Renens</t>
  </si>
  <si>
    <t>Chigny</t>
  </si>
  <si>
    <t>Diff. De taux</t>
  </si>
  <si>
    <t>Impôt spécial affecté</t>
  </si>
  <si>
    <t>Impôt personnel</t>
  </si>
  <si>
    <t>Pers. morales bénéfice / capital</t>
  </si>
  <si>
    <t>Pompier</t>
  </si>
  <si>
    <t>Taxcomse</t>
  </si>
  <si>
    <t>Tot. taxes</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</si>
  <si>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</si>
  <si>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</si>
  <si>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</si>
  <si>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</si>
  <si>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</si>
  <si>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</si>
  <si>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</si>
  <si>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</si>
  <si>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</si>
  <si>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</si>
  <si>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</si>
  <si>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</si>
  <si>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</si>
  <si>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</si>
  <si>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</si>
  <si>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</si>
  <si>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</si>
  <si>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Carrouge</t>
  </si>
  <si>
    <t>./. Gestion du fonds</t>
  </si>
  <si>
    <t>Corcelles-le-Jorat</t>
  </si>
  <si>
    <t>Essertes</t>
  </si>
  <si>
    <t>Ferlens</t>
  </si>
  <si>
    <t>Maracon</t>
  </si>
  <si>
    <t>Mézières</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</si>
  <si>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</si>
  <si>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</si>
  <si>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</si>
  <si>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</si>
  <si>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</si>
  <si>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</si>
  <si>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</si>
  <si>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</si>
  <si>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</si>
  <si>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</si>
  <si>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</si>
  <si>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</si>
  <si>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</si>
  <si>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Seuil 0</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</si>
  <si>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</si>
  <si>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</si>
  <si>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</si>
  <si>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</si>
  <si>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</si>
  <si>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</si>
  <si>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</si>
  <si>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</si>
  <si>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</si>
  <si>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</si>
  <si>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</si>
  <si>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</si>
  <si>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</si>
  <si>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</si>
  <si>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</si>
  <si>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</si>
  <si>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</si>
  <si>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</si>
  <si>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</si>
  <si>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</si>
  <si>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</si>
  <si>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</si>
  <si>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</si>
  <si>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</si>
  <si>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</si>
  <si>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</si>
  <si>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</si>
  <si>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</si>
  <si>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</si>
  <si>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</si>
  <si>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</si>
  <si>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</si>
  <si>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</si>
  <si>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</si>
  <si>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Routes</t>
  </si>
  <si>
    <t>Transports publics</t>
  </si>
  <si>
    <t>Transports scolaires</t>
  </si>
  <si>
    <t>Corcelles-sur-Chavornay</t>
  </si>
  <si>
    <t>Croy</t>
  </si>
  <si>
    <t>Juriens</t>
  </si>
  <si>
    <t>Lignerolle</t>
  </si>
  <si>
    <t>Montcherand</t>
  </si>
  <si>
    <t>Orbe</t>
  </si>
  <si>
    <t>Vallorbe</t>
  </si>
  <si>
    <t>Vaulion</t>
  </si>
  <si>
    <t>Vuiteboeuf</t>
  </si>
  <si>
    <t>Effort plafonné</t>
  </si>
  <si>
    <t>Impôts suivant le taux</t>
  </si>
  <si>
    <t>Féchy</t>
  </si>
  <si>
    <t>Gimel</t>
  </si>
  <si>
    <t>Saint-Livres</t>
  </si>
  <si>
    <t>Saint-Oyens</t>
  </si>
  <si>
    <t>Saubraz</t>
  </si>
  <si>
    <t>Avenches</t>
  </si>
  <si>
    <t>Cudrefin</t>
  </si>
  <si>
    <t>Faoug</t>
  </si>
  <si>
    <t>Bettens</t>
  </si>
  <si>
    <t>Bournens</t>
  </si>
  <si>
    <t>% taux communal moyen</t>
  </si>
  <si>
    <t>Compensation nette</t>
  </si>
  <si>
    <t>Différence à compenser</t>
  </si>
  <si>
    <t>A recevoir population</t>
  </si>
  <si>
    <t>Total péréquation directe</t>
  </si>
  <si>
    <t>Total éléments divers</t>
  </si>
  <si>
    <t>Effort total net</t>
  </si>
  <si>
    <t xml:space="preserve">Taux actuel </t>
  </si>
  <si>
    <t xml:space="preserve">Solde net actuel
</t>
  </si>
  <si>
    <t xml:space="preserve">Taux </t>
  </si>
  <si>
    <t>Pop.</t>
  </si>
  <si>
    <t>Longirod</t>
  </si>
  <si>
    <t>Marchissy</t>
  </si>
  <si>
    <t>Mollens</t>
  </si>
  <si>
    <t>Montherod</t>
  </si>
  <si>
    <t>Saint-George</t>
  </si>
  <si>
    <t>Total des prises en charges</t>
  </si>
  <si>
    <t>Thématique</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</si>
  <si>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</si>
  <si>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</si>
  <si>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</si>
  <si>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</si>
  <si>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</si>
  <si>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</si>
  <si>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</si>
  <si>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</si>
  <si>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</si>
  <si>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</si>
  <si>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</si>
  <si>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</si>
  <si>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</si>
  <si>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</si>
  <si>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</si>
  <si>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</si>
  <si>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</si>
  <si>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</si>
  <si>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</si>
  <si>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</si>
  <si>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</si>
  <si>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</si>
  <si>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</si>
  <si>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</si>
  <si>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</si>
  <si>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</si>
  <si>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</si>
  <si>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</si>
  <si>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</si>
  <si>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</si>
  <si>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</si>
  <si>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</si>
  <si>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</si>
  <si>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</si>
  <si>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</si>
  <si>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</si>
  <si>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</si>
  <si>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Répartition selon péréquation</t>
  </si>
  <si>
    <t>Solde péréquation directe</t>
  </si>
  <si>
    <t>Points</t>
  </si>
  <si>
    <t>Seuil 3</t>
  </si>
  <si>
    <t>Effort total sans thématiques</t>
  </si>
  <si>
    <t>Plafonnement aide</t>
  </si>
  <si>
    <t>Pers. physiques - revenu</t>
  </si>
  <si>
    <t xml:space="preserve">Pers. physiques - fortune </t>
  </si>
  <si>
    <t xml:space="preserve">Pers. morales bénéfice </t>
  </si>
  <si>
    <t>Pers. morales  capital</t>
  </si>
  <si>
    <t>Impôt sur la dépense (étrangers)</t>
  </si>
  <si>
    <t>Impôt récupéré après défalcation</t>
  </si>
  <si>
    <t>Patentes tabacs</t>
  </si>
  <si>
    <t>Patentes diverses</t>
  </si>
  <si>
    <t>Taxe épuration</t>
  </si>
  <si>
    <t>Taxe compl. Epuration</t>
  </si>
  <si>
    <t>Taxe annuelle Epuration</t>
  </si>
  <si>
    <t>Taxe annuelle encaissée par une association</t>
  </si>
  <si>
    <t>Taxe pour l'usage du sol</t>
  </si>
  <si>
    <t>taxe pour l'éclairage public</t>
  </si>
  <si>
    <t>Taxe pour l'amélioration énergétique</t>
  </si>
  <si>
    <t>Taxe pour le développement durable</t>
  </si>
  <si>
    <t>PPR</t>
  </si>
  <si>
    <t>PPF</t>
  </si>
  <si>
    <t>PMB</t>
  </si>
  <si>
    <t>PMC</t>
  </si>
  <si>
    <t>Montant plafonnement totaux</t>
  </si>
  <si>
    <t xml:space="preserve">Montant prélevé </t>
  </si>
  <si>
    <t xml:space="preserve">./. Plafonnements totaux </t>
  </si>
  <si>
    <t xml:space="preserve">./. Réserve </t>
  </si>
  <si>
    <t>Valeur du point d'impôt écrêté</t>
  </si>
  <si>
    <t>Point d'impôts écrêtés</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</si>
  <si>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</si>
  <si>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</si>
  <si>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</si>
  <si>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</si>
  <si>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</si>
  <si>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</si>
  <si>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</si>
  <si>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</si>
  <si>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</si>
  <si>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</si>
  <si>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</si>
  <si>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</si>
  <si>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Facture en points d'impôts écrêtés</t>
  </si>
  <si>
    <t>Plafond de 
taux et de l'effort</t>
  </si>
  <si>
    <t>Variation facture sociale</t>
  </si>
  <si>
    <t>Variation point d'impôt</t>
  </si>
  <si>
    <t>Indexation</t>
  </si>
  <si>
    <t>Plafond aide</t>
  </si>
  <si>
    <t>Bussigny</t>
  </si>
  <si>
    <t>Arzier-Le Muids</t>
  </si>
  <si>
    <t>Montanaire</t>
  </si>
  <si>
    <t>Valeur point impôt écrêtés</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</si>
  <si>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</si>
  <si>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</si>
  <si>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</si>
  <si>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</si>
  <si>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</si>
  <si>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</si>
  <si>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</si>
  <si>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Taxe compl. eau</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</si>
  <si>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</si>
  <si>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</si>
  <si>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</si>
  <si>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</si>
  <si>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</si>
  <si>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</si>
  <si>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</si>
  <si>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</si>
  <si>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</si>
  <si>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</si>
  <si>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</si>
  <si>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</si>
  <si>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</si>
  <si>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</si>
  <si>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</si>
  <si>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</si>
  <si>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</si>
  <si>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</si>
  <si>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</si>
  <si>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 xml:space="preserve">I) Indexation </t>
  </si>
  <si>
    <t>H) Paramètres de plafonnement en points</t>
  </si>
  <si>
    <t>Impôts théoriques</t>
  </si>
  <si>
    <t>Synthèse en CHF</t>
  </si>
  <si>
    <t>Ecrêtage</t>
  </si>
  <si>
    <t xml:space="preserve">J) Liste des communes A--&gt;Z </t>
  </si>
  <si>
    <t>Recettes conjoncturelles (DM + GI + Succ.)</t>
  </si>
  <si>
    <t>Répartition solde après prélèvements</t>
  </si>
  <si>
    <t>Nombre de points écrêtés</t>
  </si>
  <si>
    <t>Total de la facture sociale</t>
  </si>
  <si>
    <t>Solidarité</t>
  </si>
  <si>
    <t>Transports</t>
  </si>
  <si>
    <t>Plafonnements</t>
  </si>
  <si>
    <t>Effort</t>
  </si>
  <si>
    <t>Aide</t>
  </si>
  <si>
    <t>Taux</t>
  </si>
  <si>
    <t>Total de la péréquation directe</t>
  </si>
  <si>
    <t>Montant à charge de la commune</t>
  </si>
  <si>
    <t>Résumé par commune</t>
  </si>
  <si>
    <t>Communes sans police communale/intercommunale = 0</t>
  </si>
  <si>
    <t>Imp théoriques</t>
  </si>
  <si>
    <t>Facturation de l'Etat au coût réel (Fr/hab) aux communes délégatrices, mais max 2 pts</t>
  </si>
  <si>
    <t>Manco pour l'Etat - à couvrir par la péréquation (en points d'impôts écrêtés)</t>
  </si>
  <si>
    <t>Montant total avec le renchérissement à payer par les communes en pts d'impôts écrêtés</t>
  </si>
  <si>
    <t>Total à charge des communes</t>
  </si>
  <si>
    <t>Réforme policière</t>
  </si>
  <si>
    <t>Financement reçu pour les nouvelles tâches</t>
  </si>
  <si>
    <t>J) Réforme policière</t>
  </si>
  <si>
    <t>Nombre de point</t>
  </si>
  <si>
    <t>Point d'impôt écrêté</t>
  </si>
  <si>
    <t>Référome policière</t>
  </si>
  <si>
    <t>Charges pour commune sans police</t>
  </si>
  <si>
    <t>Répartition du solde</t>
  </si>
  <si>
    <t>Total net</t>
  </si>
  <si>
    <t>Facture</t>
  </si>
  <si>
    <t>Date population</t>
  </si>
  <si>
    <t>Date taux d'impôt</t>
  </si>
  <si>
    <t>Taux IFO</t>
  </si>
  <si>
    <t>Total de la réforme policière</t>
  </si>
  <si>
    <t>Facture sociale 2015</t>
  </si>
  <si>
    <t>Valeur du point d'impôt 2015</t>
  </si>
  <si>
    <t>I m p ô t s   c o m m u n a u x</t>
  </si>
  <si>
    <t>Remarques/corrections</t>
  </si>
  <si>
    <t>Impôt sur le revenu PP</t>
  </si>
  <si>
    <t>Impôt sur la fortune PP</t>
  </si>
  <si>
    <t>Impôt personnel fixe</t>
  </si>
  <si>
    <t>Impôt sur le bénéfice PM</t>
  </si>
  <si>
    <t>Impôt sur le capital PM</t>
  </si>
  <si>
    <t>Impôt sur la dépense (anc. Spécial étranger)</t>
  </si>
  <si>
    <t>Impôt complémentaire sur immeubles PM</t>
  </si>
  <si>
    <t>Sous-total impôts</t>
  </si>
  <si>
    <r>
      <t>4411</t>
    </r>
    <r>
      <rPr>
        <sz val="10"/>
        <color indexed="9"/>
        <rFont val="Calibri"/>
        <family val="2"/>
        <scheme val="minor"/>
      </rPr>
      <t xml:space="preserve"> (a)</t>
    </r>
  </si>
  <si>
    <t>Impôt sur les frontaliers</t>
  </si>
  <si>
    <t>Impôt sur les successions et donations</t>
  </si>
  <si>
    <t>Impôt sur les gains immobiliers</t>
  </si>
  <si>
    <t>Impôt sur les chiens</t>
  </si>
  <si>
    <t>Impôt sur les divertissements</t>
  </si>
  <si>
    <t>Impôts divers</t>
  </si>
  <si>
    <t>Total des impôts</t>
  </si>
  <si>
    <t>T a x e s   c o m m u n a l e s</t>
  </si>
  <si>
    <t>Taxe de raccordement épuration</t>
  </si>
  <si>
    <t>Taxe raccordement complé. Épuration</t>
  </si>
  <si>
    <t>Taxe annuelle épuration</t>
  </si>
  <si>
    <t>Taxes annuelles déchets</t>
  </si>
  <si>
    <t>Taxe raccordement eau</t>
  </si>
  <si>
    <t>Taxe raccordement compl. Eau</t>
  </si>
  <si>
    <t>Taxe non-pompier</t>
  </si>
  <si>
    <t>Taxe pour l'éclairage public</t>
  </si>
  <si>
    <t>Total des taxes</t>
  </si>
  <si>
    <t>3301/319</t>
  </si>
  <si>
    <t>Pertes sur débiteurs (défalcations/remises)</t>
  </si>
  <si>
    <t>Modifications de taxations antérieures</t>
  </si>
  <si>
    <t>La Syndique/Le Syndic</t>
  </si>
  <si>
    <t>La Secrétaire Municipale/Le Secrétaire Municipal</t>
  </si>
  <si>
    <t>Signatures</t>
  </si>
  <si>
    <t>Prénoms/noms</t>
  </si>
  <si>
    <t>A u t r e s   i n f o r m a t i o n s</t>
  </si>
  <si>
    <t>Impôt foncier (non normalisé)</t>
  </si>
  <si>
    <t>Date plafonnement du taux (N-1)</t>
  </si>
  <si>
    <t>Max. selon art. 4 DLPIC</t>
  </si>
  <si>
    <t>Seuil de population (habitants). Art. 2 DLPIC</t>
  </si>
  <si>
    <t>Selon Art. 3 DLPIC</t>
  </si>
  <si>
    <t>Gestion du fond (montant négatif). Art. 8 DLPIC</t>
  </si>
  <si>
    <t>% prélevé. Art. 4 LPIC</t>
  </si>
  <si>
    <t>Frontaliers. Art. 3 LPIC</t>
  </si>
  <si>
    <t>Forêts, nombre de points. Art. 4 DLPIC</t>
  </si>
  <si>
    <t>Effort maximum plafonné. Art. 5 DLPIC</t>
  </si>
  <si>
    <t>Aide maximale plafonnée. Art. 7 DLPIC</t>
  </si>
  <si>
    <t>x</t>
  </si>
  <si>
    <t>P é r é q u a t i o n   i n d i r e c t e   (facture sociale)</t>
  </si>
  <si>
    <t>P é r é q u a t i o n   d i r e c t e</t>
  </si>
  <si>
    <t>R é f o r m e   p o l i c i è r e</t>
  </si>
  <si>
    <t>Treytorrens (Payerne)</t>
  </si>
  <si>
    <t>Saint-Légier-La Chiésaz</t>
  </si>
  <si>
    <t>Commune
LDecTer, Etat 01.05.2014</t>
  </si>
  <si>
    <t>Situation N-1</t>
  </si>
  <si>
    <t>Effort péréquatif. Art. 5 DLPIC</t>
  </si>
  <si>
    <t>Dépassement du taux. Art. 6 DLPIC</t>
  </si>
  <si>
    <t>Péréquation horizontale</t>
  </si>
  <si>
    <t>Acomptes</t>
  </si>
  <si>
    <t>Différence</t>
  </si>
  <si>
    <t>Décompte</t>
  </si>
  <si>
    <t>Différences</t>
  </si>
  <si>
    <t>Décomptes</t>
  </si>
  <si>
    <t>Soldes</t>
  </si>
  <si>
    <t>S y n t h è s e   e n   C H F</t>
  </si>
  <si>
    <t>Totaux</t>
  </si>
  <si>
    <t>(+ à payer / - à recevoir)</t>
  </si>
  <si>
    <t>Acomptes*</t>
  </si>
  <si>
    <t>*montants selon le fichier des acomptes initiaux adoptés par la COPAR. Ne tient pas compte des arrangements survenus en cours d'année. Les factures, respectivement les remboursements, seront gérés par les services directement concernés à savoir :
- pour la facture sociale, par le département de la santé et de l'action sociale ;
- pour la péréquation directe, par le service des communes et du logement ;
- pour la réforme policière, par la police cantonale.</t>
  </si>
  <si>
    <t>décompte 2016</t>
  </si>
  <si>
    <t>Facture sociale 2016</t>
  </si>
  <si>
    <t>Valeur du point d'impôt 2016</t>
  </si>
  <si>
    <t>Rendement impôts communaux et taxes - 2016</t>
  </si>
  <si>
    <t>Taux d'imposition 2016</t>
  </si>
  <si>
    <t>Taux impôt foncier 2016 en 0/00</t>
  </si>
  <si>
    <t>Population au 31.12.2016 selon FAO en nb d'habitants</t>
  </si>
  <si>
    <t>Nous confirmons l'exactitude et la validité de ces montants. Ils correspondent aux chiffres que nous (commune) vous avons communiqué précédemment. Nous confirmons également l'exactitude des informations supplémentaires relatives aux taux d'imposition ainsi qu'à la population. Ces données seront utilisées pour le calcul du décompte final de la péréquation 2016.</t>
  </si>
  <si>
    <t>Valeur du point 
communal</t>
  </si>
  <si>
    <t>Valeur du point par habitant après écrêtage</t>
  </si>
  <si>
    <t>T o t a l   g é n é r a l</t>
  </si>
  <si>
    <t>Décompte 2016 vs. Acomptes 2016</t>
  </si>
  <si>
    <t>Communes</t>
  </si>
  <si>
    <t>Taux maximum plafonné. Art. 6 DLPIC</t>
  </si>
  <si>
    <t>Coût réel 
en CHF</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</si>
</sst>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_-* #,##0.00_-;\-* #,##0.00_-;_-* &quot;-&quot;??_-;_-@_-"/>
    <numFmt numFmtId="165" formatCode="#\ ###\ ###\ ##0"/>
    <numFmt numFmtId="166" formatCode="#,##0.0"/>
    <numFmt numFmtId="167" formatCode="0.0%"/>
    <numFmt numFmtId="168" formatCode="#\ ###\ ##0"/>
    <numFmt numFmtId="169" formatCode="0.000"/>
    <numFmt numFmtId="170" formatCode="#,##0.000"/>
    <numFmt numFmtId="171" formatCode="#,##0;\-#,##0;"/>
    <numFmt numFmtId="172" formatCode="#,##0.000000"/>
    <numFmt numFmtId="173" formatCode="0.0000"/>
    <numFmt numFmtId="174" formatCode="_-* #,##0_-;\-* #,##0_-;_-* &quot;-&quot;??_-;_-@_-"/>
    <numFmt numFmtId="175" formatCode="_ * #,##0_ ;_ * \-#,##0_ ;_ * &quot;-&quot;??_ ;_ @_ "/>
    <numFmt numFmtId="176" formatCode="_-* #,##0.0_-;\-* #,##0.0_-;_-* &quot;-&quot;??_-;_-@_-"/>
    <numFmt numFmtId="177" formatCode="[$-F800]dddd\,\ mmmm\ dd\,\ yyyy"/>
    <numFmt numFmtId="178" formatCode="[$-100C]d\ mmm\ yy;@"/>
  </numFmts>
  <fonts count="42"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b/>
      <sz val="11"/>
      <color theme="0"/>
      <name val="Calibri"/>
      <family val="2"/>
      <scheme val="minor"/>
    </font>
    <font>
      <sz val="18"/>
      <name val="Calibri"/>
      <family val="2"/>
      <scheme val="minor"/>
    </font>
    <font>
      <sz val="10"/>
      <color indexed="8"/>
      <name val="Calibri"/>
      <family val="2"/>
      <scheme val="minor"/>
    </font>
    <font>
      <sz val="10"/>
      <name val="Calibri"/>
      <family val="2"/>
      <scheme val="minor"/>
    </font>
    <font>
      <sz val="12"/>
      <color theme="0"/>
      <name val="Trebuchet MS"/>
      <family val="2"/>
    </font>
    <font>
      <sz val="10"/>
      <color indexed="9"/>
      <name val="Calibri"/>
      <family val="2"/>
      <scheme val="minor"/>
    </font>
    <font>
      <b/>
      <sz val="10"/>
      <color indexed="8"/>
      <name val="Calibri"/>
      <family val="2"/>
      <scheme val="minor"/>
    </font>
    <font>
      <b/>
      <sz val="10"/>
      <name val="Calibri"/>
      <family val="2"/>
      <scheme val="minor"/>
    </font>
    <font>
      <sz val="10"/>
      <color theme="0"/>
      <name val="Calibri"/>
      <family val="2"/>
      <scheme val="minor"/>
    </font>
    <font>
      <i/>
      <sz val="8"/>
      <name val="Calibri"/>
      <family val="2"/>
      <scheme val="minor"/>
    </font>
    <font>
      <sz val="14"/>
      <name val="Trebuchet MS"/>
      <family val="2"/>
    </font>
    <font>
      <sz val="8"/>
      <name val="Calibri"/>
      <family val="2"/>
      <scheme val="minor"/>
    </font>
    <font>
      <sz val="9"/>
      <name val="Calibri"/>
      <family val="2"/>
      <scheme val="minor"/>
    </font>
    <font>
      <sz val="11"/>
      <name val="Calibri"/>
      <family val="2"/>
    </font>
    <font>
      <sz val="11"/>
      <color theme="0"/>
      <name val="Calibri"/>
      <family val="2"/>
    </font>
    <font>
      <i/>
      <sz val="11"/>
      <name val="Calibri"/>
      <family val="2"/>
    </font>
  </fonts>
  <fills count="14">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0000"/>
        <bgColor indexed="64"/>
      </patternFill>
    </fill>
  </fills>
  <borders count="25">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bottom style="hair">
        <color indexed="64"/>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bottom style="thin">
        <color indexed="64"/>
      </bottom>
      <diagonal/>
    </border>
  </borders>
  <cellStyleXfs count="30">
    <xf numFmtId="0" fontId="0" fillId="0" borderId="0"/>
    <xf numFmtId="0" fontId="11" fillId="0" borderId="1"/>
    <xf numFmtId="0" fontId="12" fillId="0" borderId="0"/>
    <xf numFmtId="0" fontId="11" fillId="0" borderId="2">
      <alignment vertical="top"/>
    </xf>
    <xf numFmtId="164" fontId="6"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0" fontId="13" fillId="0" borderId="0"/>
    <xf numFmtId="0" fontId="10" fillId="0" borderId="0"/>
    <xf numFmtId="0" fontId="8" fillId="0" borderId="0"/>
    <xf numFmtId="0" fontId="14" fillId="0" borderId="0"/>
    <xf numFmtId="0" fontId="7" fillId="0" borderId="0"/>
    <xf numFmtId="9" fontId="6" fillId="0" borderId="0" applyFont="0" applyFill="0" applyBorder="0" applyAlignment="0" applyProtection="0"/>
    <xf numFmtId="9" fontId="8" fillId="0" borderId="0" applyFont="0" applyFill="0" applyBorder="0" applyAlignment="0" applyProtection="0"/>
    <xf numFmtId="43" fontId="25" fillId="0" borderId="0" applyFont="0" applyFill="0" applyBorder="0" applyAlignment="0" applyProtection="0"/>
    <xf numFmtId="0" fontId="25" fillId="0" borderId="0"/>
    <xf numFmtId="0" fontId="10" fillId="0" borderId="0">
      <alignment vertical="top"/>
    </xf>
    <xf numFmtId="43" fontId="3" fillId="0" borderId="0" applyFont="0" applyFill="0" applyBorder="0" applyAlignment="0" applyProtection="0"/>
    <xf numFmtId="0" fontId="3" fillId="0" borderId="0"/>
    <xf numFmtId="0" fontId="6" fillId="0" borderId="0"/>
    <xf numFmtId="43" fontId="2" fillId="0" borderId="0" applyFont="0" applyFill="0" applyBorder="0" applyAlignment="0" applyProtection="0"/>
    <xf numFmtId="0" fontId="2" fillId="0" borderId="0"/>
    <xf numFmtId="43" fontId="8" fillId="0" borderId="0" applyFont="0" applyFill="0" applyBorder="0" applyAlignment="0" applyProtection="0"/>
    <xf numFmtId="0" fontId="8" fillId="0" borderId="0"/>
    <xf numFmtId="43" fontId="2"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608">
    <xf numFmtId="0" fontId="0" fillId="0" borderId="0" xfId="0"/>
    <xf numFmtId="174" fontId="16" fillId="0" borderId="0" xfId="4" applyNumberFormat="1" applyFont="1" applyFill="1" applyBorder="1"/>
    <xf numFmtId="174" fontId="16" fillId="3" borderId="5" xfId="4" applyNumberFormat="1" applyFont="1" applyFill="1" applyBorder="1"/>
    <xf numFmtId="0" fontId="16" fillId="4" borderId="0" xfId="0" applyNumberFormat="1" applyFont="1" applyFill="1" applyAlignment="1">
      <alignment horizontal="left"/>
    </xf>
    <xf numFmtId="0" fontId="16" fillId="4" borderId="0" xfId="0" applyNumberFormat="1" applyFont="1" applyFill="1" applyAlignment="1">
      <alignment horizontal="center"/>
    </xf>
    <xf numFmtId="174" fontId="16" fillId="4" borderId="0" xfId="4" applyNumberFormat="1" applyFont="1" applyFill="1" applyAlignment="1">
      <alignment horizontal="center"/>
    </xf>
    <xf numFmtId="174" fontId="16" fillId="4" borderId="0" xfId="4" applyNumberFormat="1" applyFont="1" applyFill="1"/>
    <xf numFmtId="0" fontId="16" fillId="4" borderId="15" xfId="0" applyNumberFormat="1" applyFont="1" applyFill="1" applyBorder="1" applyAlignment="1">
      <alignment horizontal="center"/>
    </xf>
    <xf numFmtId="0" fontId="16" fillId="4" borderId="5" xfId="0" applyNumberFormat="1" applyFont="1" applyFill="1" applyBorder="1" applyAlignment="1">
      <alignment horizontal="center"/>
    </xf>
    <xf numFmtId="3" fontId="16" fillId="4" borderId="9" xfId="0" applyNumberFormat="1" applyFont="1" applyFill="1" applyBorder="1"/>
    <xf numFmtId="174" fontId="16" fillId="4" borderId="5" xfId="4" applyNumberFormat="1" applyFont="1" applyFill="1" applyBorder="1"/>
    <xf numFmtId="174" fontId="16" fillId="4" borderId="15" xfId="4" applyNumberFormat="1" applyFont="1" applyFill="1" applyBorder="1"/>
    <xf numFmtId="165" fontId="16" fillId="4" borderId="0" xfId="0" applyNumberFormat="1" applyFont="1" applyFill="1"/>
    <xf numFmtId="3" fontId="16" fillId="4" borderId="0" xfId="0" applyNumberFormat="1" applyFont="1" applyFill="1"/>
    <xf numFmtId="0" fontId="16" fillId="4" borderId="0" xfId="0" applyFont="1" applyFill="1"/>
    <xf numFmtId="174" fontId="16" fillId="4" borderId="0" xfId="4" applyNumberFormat="1" applyFont="1" applyFill="1" applyBorder="1"/>
    <xf numFmtId="164" fontId="16" fillId="4" borderId="0" xfId="4" applyFont="1" applyFill="1"/>
    <xf numFmtId="0" fontId="16" fillId="4" borderId="0" xfId="0" applyFont="1" applyFill="1" applyAlignment="1">
      <alignment vertical="top" wrapText="1"/>
    </xf>
    <xf numFmtId="165" fontId="16" fillId="4" borderId="0" xfId="0" applyNumberFormat="1" applyFont="1" applyFill="1" applyBorder="1"/>
    <xf numFmtId="164" fontId="16" fillId="4" borderId="0" xfId="0" applyNumberFormat="1" applyFont="1" applyFill="1"/>
    <xf numFmtId="174" fontId="16" fillId="4" borderId="3" xfId="4" applyNumberFormat="1" applyFont="1" applyFill="1" applyBorder="1"/>
    <xf numFmtId="164" fontId="16" fillId="4" borderId="15" xfId="4" applyFont="1" applyFill="1" applyBorder="1"/>
    <xf numFmtId="174" fontId="15" fillId="6" borderId="15" xfId="4" applyNumberFormat="1" applyFont="1" applyFill="1" applyBorder="1" applyAlignment="1">
      <alignment horizontal="center"/>
    </xf>
    <xf numFmtId="165" fontId="15" fillId="6" borderId="15" xfId="0" applyNumberFormat="1" applyFont="1" applyFill="1" applyBorder="1" applyAlignment="1">
      <alignment horizontal="center"/>
    </xf>
    <xf numFmtId="164" fontId="15" fillId="6" borderId="15" xfId="4" applyFont="1" applyFill="1" applyBorder="1" applyAlignment="1">
      <alignment horizontal="center"/>
    </xf>
    <xf numFmtId="0" fontId="16" fillId="4" borderId="0" xfId="0" applyFont="1" applyFill="1" applyAlignment="1">
      <alignment horizontal="center"/>
    </xf>
    <xf numFmtId="14" fontId="15" fillId="6" borderId="15" xfId="0" applyNumberFormat="1" applyFont="1" applyFill="1" applyBorder="1" applyAlignment="1">
      <alignment horizontal="center"/>
    </xf>
    <xf numFmtId="165" fontId="16" fillId="4" borderId="18" xfId="0" applyNumberFormat="1" applyFont="1" applyFill="1" applyBorder="1" applyAlignment="1">
      <alignment horizontal="center"/>
    </xf>
    <xf numFmtId="0" fontId="18" fillId="4" borderId="0" xfId="0" applyNumberFormat="1" applyFont="1" applyFill="1" applyAlignment="1">
      <alignment horizontal="left"/>
    </xf>
    <xf numFmtId="0" fontId="18" fillId="4" borderId="0" xfId="0" applyNumberFormat="1" applyFont="1" applyFill="1" applyAlignment="1">
      <alignment horizontal="center"/>
    </xf>
    <xf numFmtId="0" fontId="17" fillId="4" borderId="0" xfId="0" applyFont="1" applyFill="1"/>
    <xf numFmtId="4" fontId="16" fillId="4" borderId="0" xfId="0" applyNumberFormat="1" applyFont="1" applyFill="1"/>
    <xf numFmtId="165" fontId="16" fillId="4" borderId="0" xfId="0" applyNumberFormat="1" applyFont="1" applyFill="1" applyAlignment="1">
      <alignment horizontal="left"/>
    </xf>
    <xf numFmtId="0" fontId="16" fillId="4" borderId="15" xfId="0" applyFont="1" applyFill="1" applyBorder="1"/>
    <xf numFmtId="174" fontId="16" fillId="4" borderId="11" xfId="4" applyNumberFormat="1" applyFont="1" applyFill="1" applyBorder="1"/>
    <xf numFmtId="3" fontId="16" fillId="4" borderId="5" xfId="0" applyNumberFormat="1" applyFont="1" applyFill="1" applyBorder="1"/>
    <xf numFmtId="164" fontId="16" fillId="4" borderId="5" xfId="4" applyFont="1" applyFill="1" applyBorder="1"/>
    <xf numFmtId="2" fontId="16" fillId="4" borderId="5" xfId="0" applyNumberFormat="1" applyFont="1" applyFill="1" applyBorder="1"/>
    <xf numFmtId="2" fontId="16" fillId="4" borderId="15" xfId="0" applyNumberFormat="1" applyFont="1" applyFill="1" applyBorder="1"/>
    <xf numFmtId="174" fontId="16" fillId="4" borderId="0" xfId="0" applyNumberFormat="1" applyFont="1" applyFill="1"/>
    <xf numFmtId="174" fontId="16" fillId="5" borderId="15" xfId="4" applyNumberFormat="1" applyFont="1" applyFill="1" applyBorder="1"/>
    <xf numFmtId="174" fontId="16" fillId="3" borderId="15" xfId="4" applyNumberFormat="1" applyFont="1" applyFill="1" applyBorder="1"/>
    <xf numFmtId="3" fontId="15" fillId="6" borderId="15" xfId="0" applyNumberFormat="1" applyFont="1" applyFill="1" applyBorder="1" applyAlignment="1">
      <alignment horizontal="center"/>
    </xf>
    <xf numFmtId="0" fontId="15" fillId="6" borderId="15" xfId="0" applyNumberFormat="1" applyFont="1" applyFill="1" applyBorder="1" applyAlignment="1">
      <alignment horizontal="center"/>
    </xf>
    <xf numFmtId="174" fontId="16" fillId="4" borderId="9" xfId="4" applyNumberFormat="1" applyFont="1" applyFill="1" applyBorder="1"/>
    <xf numFmtId="3" fontId="16" fillId="4" borderId="0" xfId="11" applyNumberFormat="1" applyFont="1" applyFill="1" applyAlignment="1">
      <alignment vertical="center"/>
    </xf>
    <xf numFmtId="0" fontId="16" fillId="4" borderId="0" xfId="11" applyFont="1" applyFill="1" applyAlignment="1">
      <alignment vertical="center"/>
    </xf>
    <xf numFmtId="174" fontId="16" fillId="4" borderId="0" xfId="4" applyNumberFormat="1" applyFont="1" applyFill="1" applyAlignment="1">
      <alignment vertical="center"/>
    </xf>
    <xf numFmtId="0" fontId="16" fillId="4" borderId="0" xfId="0" applyFont="1" applyFill="1" applyBorder="1"/>
    <xf numFmtId="0" fontId="16" fillId="4" borderId="4" xfId="0" applyFont="1" applyFill="1" applyBorder="1" applyAlignment="1">
      <alignment horizontal="center"/>
    </xf>
    <xf numFmtId="3" fontId="16" fillId="4" borderId="4" xfId="0" applyNumberFormat="1" applyFont="1" applyFill="1" applyBorder="1"/>
    <xf numFmtId="166" fontId="16" fillId="4" borderId="0" xfId="0" applyNumberFormat="1" applyFont="1" applyFill="1"/>
    <xf numFmtId="0" fontId="16" fillId="4" borderId="0" xfId="0" quotePrefix="1" applyFont="1" applyFill="1"/>
    <xf numFmtId="0" fontId="16" fillId="4" borderId="5" xfId="0" applyFont="1" applyFill="1" applyBorder="1" applyAlignment="1">
      <alignment horizontal="center"/>
    </xf>
    <xf numFmtId="3" fontId="16" fillId="4" borderId="0" xfId="0" applyNumberFormat="1" applyFont="1" applyFill="1" applyBorder="1"/>
    <xf numFmtId="0" fontId="16" fillId="4" borderId="3" xfId="0" applyFont="1" applyFill="1" applyBorder="1" applyAlignment="1">
      <alignment horizontal="center"/>
    </xf>
    <xf numFmtId="3" fontId="16" fillId="4" borderId="3" xfId="0" applyNumberFormat="1" applyFont="1" applyFill="1" applyBorder="1"/>
    <xf numFmtId="1" fontId="18" fillId="4" borderId="0" xfId="11" applyNumberFormat="1" applyFont="1" applyFill="1" applyAlignment="1">
      <alignment horizontal="left" vertical="center"/>
    </xf>
    <xf numFmtId="3" fontId="16" fillId="4" borderId="17" xfId="0" applyNumberFormat="1" applyFont="1" applyFill="1" applyBorder="1"/>
    <xf numFmtId="4" fontId="16" fillId="4" borderId="0" xfId="11" applyNumberFormat="1" applyFont="1" applyFill="1" applyAlignment="1">
      <alignment vertical="center"/>
    </xf>
    <xf numFmtId="0" fontId="17" fillId="4" borderId="0" xfId="11" applyFont="1" applyFill="1"/>
    <xf numFmtId="174" fontId="16" fillId="4" borderId="4" xfId="4" applyNumberFormat="1" applyFont="1" applyFill="1" applyBorder="1"/>
    <xf numFmtId="4" fontId="16" fillId="4" borderId="18" xfId="0" applyNumberFormat="1" applyFont="1" applyFill="1" applyBorder="1"/>
    <xf numFmtId="174" fontId="15" fillId="6" borderId="4" xfId="4" applyNumberFormat="1" applyFont="1" applyFill="1" applyBorder="1" applyAlignment="1">
      <alignment horizontal="center" vertical="center" wrapText="1"/>
    </xf>
    <xf numFmtId="0" fontId="16" fillId="4" borderId="4" xfId="0" applyFont="1" applyFill="1" applyBorder="1" applyAlignment="1">
      <alignment horizontal="left"/>
    </xf>
    <xf numFmtId="0" fontId="16" fillId="4" borderId="5" xfId="0" applyFont="1" applyFill="1" applyBorder="1" applyAlignment="1">
      <alignment horizontal="left"/>
    </xf>
    <xf numFmtId="0" fontId="16" fillId="4" borderId="3" xfId="0" applyFont="1" applyFill="1" applyBorder="1" applyAlignment="1">
      <alignment horizontal="left"/>
    </xf>
    <xf numFmtId="174" fontId="16" fillId="5" borderId="5" xfId="4" applyNumberFormat="1" applyFont="1" applyFill="1" applyBorder="1"/>
    <xf numFmtId="165" fontId="16" fillId="4" borderId="10" xfId="0" applyNumberFormat="1" applyFont="1" applyFill="1" applyBorder="1" applyAlignment="1">
      <alignment horizontal="center"/>
    </xf>
    <xf numFmtId="0" fontId="16" fillId="4" borderId="3" xfId="0" applyNumberFormat="1" applyFont="1" applyFill="1" applyBorder="1" applyAlignment="1">
      <alignment horizontal="center"/>
    </xf>
    <xf numFmtId="0" fontId="16" fillId="4" borderId="0" xfId="11" applyFont="1" applyFill="1" applyBorder="1" applyAlignment="1">
      <alignment vertical="center"/>
    </xf>
    <xf numFmtId="10" fontId="16" fillId="4" borderId="0" xfId="12" applyNumberFormat="1" applyFont="1" applyFill="1" applyAlignment="1">
      <alignment vertical="center"/>
    </xf>
    <xf numFmtId="10" fontId="16" fillId="4" borderId="0" xfId="12" applyNumberFormat="1" applyFont="1" applyFill="1"/>
    <xf numFmtId="10" fontId="16" fillId="4" borderId="3" xfId="12" applyNumberFormat="1" applyFont="1" applyFill="1" applyBorder="1"/>
    <xf numFmtId="10" fontId="16" fillId="4" borderId="4" xfId="12" applyNumberFormat="1" applyFont="1" applyFill="1" applyBorder="1"/>
    <xf numFmtId="10" fontId="16" fillId="4" borderId="5" xfId="12" applyNumberFormat="1" applyFont="1" applyFill="1" applyBorder="1"/>
    <xf numFmtId="4" fontId="16" fillId="4" borderId="15" xfId="0" applyNumberFormat="1" applyFont="1" applyFill="1" applyBorder="1"/>
    <xf numFmtId="10" fontId="16" fillId="4" borderId="15" xfId="12" applyNumberFormat="1" applyFont="1" applyFill="1" applyBorder="1"/>
    <xf numFmtId="0" fontId="15" fillId="6" borderId="4" xfId="0" applyFont="1" applyFill="1" applyBorder="1" applyAlignment="1">
      <alignment horizontal="center" vertical="center" wrapText="1"/>
    </xf>
    <xf numFmtId="0" fontId="15" fillId="6" borderId="3" xfId="0" applyFont="1" applyFill="1" applyBorder="1" applyAlignment="1">
      <alignment horizontal="center" vertical="center" wrapText="1"/>
    </xf>
    <xf numFmtId="10" fontId="16" fillId="4" borderId="8" xfId="12" applyNumberFormat="1" applyFont="1" applyFill="1" applyBorder="1"/>
    <xf numFmtId="10" fontId="16" fillId="4" borderId="9" xfId="12" applyNumberFormat="1" applyFont="1" applyFill="1" applyBorder="1"/>
    <xf numFmtId="10" fontId="16" fillId="4" borderId="10" xfId="12" applyNumberFormat="1" applyFont="1" applyFill="1" applyBorder="1"/>
    <xf numFmtId="0" fontId="16" fillId="4" borderId="3" xfId="0" applyFont="1" applyFill="1" applyBorder="1"/>
    <xf numFmtId="4" fontId="16" fillId="4" borderId="11" xfId="0" applyNumberFormat="1" applyFont="1" applyFill="1" applyBorder="1"/>
    <xf numFmtId="2" fontId="16" fillId="4" borderId="5" xfId="13" applyNumberFormat="1" applyFont="1" applyFill="1" applyBorder="1"/>
    <xf numFmtId="2" fontId="16" fillId="4" borderId="3" xfId="13" applyNumberFormat="1" applyFont="1" applyFill="1" applyBorder="1"/>
    <xf numFmtId="9" fontId="15" fillId="6" borderId="15" xfId="12" applyNumberFormat="1" applyFont="1" applyFill="1" applyBorder="1" applyAlignment="1">
      <alignment horizontal="center" vertical="center" wrapText="1"/>
    </xf>
    <xf numFmtId="0" fontId="15" fillId="6" borderId="15" xfId="0" applyFont="1" applyFill="1" applyBorder="1" applyAlignment="1">
      <alignment horizontal="center" vertical="center" wrapText="1"/>
    </xf>
    <xf numFmtId="9" fontId="15" fillId="6" borderId="15" xfId="12" applyNumberFormat="1" applyFont="1" applyFill="1" applyBorder="1" applyAlignment="1">
      <alignment horizontal="center" vertical="center"/>
    </xf>
    <xf numFmtId="164" fontId="15" fillId="6" borderId="15" xfId="4" applyFont="1" applyFill="1" applyBorder="1" applyAlignment="1">
      <alignment vertical="center" wrapText="1"/>
    </xf>
    <xf numFmtId="4" fontId="16" fillId="4" borderId="12" xfId="0" applyNumberFormat="1" applyFont="1" applyFill="1" applyBorder="1"/>
    <xf numFmtId="168" fontId="16" fillId="4" borderId="0" xfId="11" applyNumberFormat="1" applyFont="1" applyFill="1" applyAlignment="1">
      <alignment vertical="center"/>
    </xf>
    <xf numFmtId="174" fontId="16" fillId="4" borderId="8" xfId="4" applyNumberFormat="1" applyFont="1" applyFill="1" applyBorder="1"/>
    <xf numFmtId="174" fontId="16" fillId="4" borderId="16" xfId="4" applyNumberFormat="1" applyFont="1" applyFill="1" applyBorder="1"/>
    <xf numFmtId="174" fontId="16" fillId="4" borderId="10" xfId="4" applyNumberFormat="1" applyFont="1" applyFill="1" applyBorder="1"/>
    <xf numFmtId="174" fontId="16" fillId="4" borderId="17" xfId="4" applyNumberFormat="1" applyFont="1" applyFill="1" applyBorder="1"/>
    <xf numFmtId="174" fontId="16" fillId="4" borderId="18" xfId="4" applyNumberFormat="1" applyFont="1" applyFill="1" applyBorder="1"/>
    <xf numFmtId="174" fontId="16" fillId="4" borderId="6" xfId="4" applyNumberFormat="1" applyFont="1" applyFill="1" applyBorder="1"/>
    <xf numFmtId="169" fontId="16" fillId="4" borderId="0" xfId="0" applyNumberFormat="1" applyFont="1" applyFill="1"/>
    <xf numFmtId="0" fontId="16" fillId="4" borderId="0" xfId="0" applyFont="1" applyFill="1" applyAlignment="1">
      <alignment vertical="top"/>
    </xf>
    <xf numFmtId="3" fontId="16" fillId="4" borderId="0" xfId="0" applyNumberFormat="1" applyFont="1" applyFill="1" applyAlignment="1">
      <alignment vertical="top"/>
    </xf>
    <xf numFmtId="3" fontId="16" fillId="4" borderId="0" xfId="0" applyNumberFormat="1" applyFont="1" applyFill="1" applyBorder="1" applyAlignment="1">
      <alignment vertical="top" wrapText="1"/>
    </xf>
    <xf numFmtId="0" fontId="16" fillId="4" borderId="18" xfId="0" applyFont="1" applyFill="1" applyBorder="1"/>
    <xf numFmtId="0" fontId="16" fillId="4" borderId="6" xfId="0" applyFont="1" applyFill="1" applyBorder="1"/>
    <xf numFmtId="0" fontId="16" fillId="4" borderId="7" xfId="0" applyFont="1" applyFill="1" applyBorder="1"/>
    <xf numFmtId="0" fontId="16" fillId="4" borderId="15" xfId="0" applyFont="1" applyFill="1" applyBorder="1" applyAlignment="1">
      <alignment horizontal="center"/>
    </xf>
    <xf numFmtId="0" fontId="16" fillId="4" borderId="8" xfId="0" applyFont="1" applyFill="1" applyBorder="1"/>
    <xf numFmtId="0" fontId="16" fillId="4" borderId="12" xfId="0" applyFont="1" applyFill="1" applyBorder="1"/>
    <xf numFmtId="0" fontId="16" fillId="4" borderId="9" xfId="0" applyFont="1" applyFill="1" applyBorder="1"/>
    <xf numFmtId="0" fontId="16" fillId="4" borderId="11" xfId="0" applyFont="1" applyFill="1" applyBorder="1"/>
    <xf numFmtId="0" fontId="16" fillId="4" borderId="10" xfId="0" applyFont="1" applyFill="1" applyBorder="1"/>
    <xf numFmtId="0" fontId="16" fillId="4" borderId="13" xfId="0" applyFont="1" applyFill="1" applyBorder="1"/>
    <xf numFmtId="172" fontId="16" fillId="4" borderId="0" xfId="0" applyNumberFormat="1" applyFont="1" applyFill="1" applyAlignment="1">
      <alignment vertical="top"/>
    </xf>
    <xf numFmtId="164" fontId="15" fillId="6" borderId="3" xfId="4" applyFont="1" applyFill="1" applyBorder="1" applyAlignment="1">
      <alignment horizontal="center" vertical="center"/>
    </xf>
    <xf numFmtId="0" fontId="16" fillId="4" borderId="8" xfId="0" applyFont="1" applyFill="1" applyBorder="1" applyAlignment="1">
      <alignment horizontal="left"/>
    </xf>
    <xf numFmtId="0" fontId="16" fillId="4" borderId="9" xfId="0" applyFont="1" applyFill="1" applyBorder="1" applyAlignment="1">
      <alignment horizontal="left"/>
    </xf>
    <xf numFmtId="0" fontId="16" fillId="4" borderId="10" xfId="0" applyFont="1" applyFill="1" applyBorder="1" applyAlignment="1">
      <alignment horizontal="left"/>
    </xf>
    <xf numFmtId="174" fontId="16" fillId="4" borderId="12" xfId="4" applyNumberFormat="1" applyFont="1" applyFill="1" applyBorder="1"/>
    <xf numFmtId="164" fontId="16" fillId="4" borderId="4" xfId="4" applyFont="1" applyFill="1" applyBorder="1"/>
    <xf numFmtId="164" fontId="16" fillId="4" borderId="3" xfId="4" applyFont="1" applyFill="1" applyBorder="1"/>
    <xf numFmtId="3" fontId="16" fillId="4" borderId="8" xfId="0" applyNumberFormat="1" applyFont="1" applyFill="1" applyBorder="1"/>
    <xf numFmtId="3" fontId="16" fillId="4" borderId="10" xfId="0" applyNumberFormat="1" applyFont="1" applyFill="1" applyBorder="1"/>
    <xf numFmtId="3" fontId="16" fillId="4" borderId="18" xfId="0" applyNumberFormat="1" applyFont="1" applyFill="1" applyBorder="1"/>
    <xf numFmtId="3" fontId="16" fillId="4" borderId="13" xfId="0" applyNumberFormat="1" applyFont="1" applyFill="1" applyBorder="1" applyAlignment="1">
      <alignment horizontal="center" vertical="top" wrapText="1"/>
    </xf>
    <xf numFmtId="168" fontId="16" fillId="4" borderId="0" xfId="0" applyNumberFormat="1" applyFont="1" applyFill="1"/>
    <xf numFmtId="3" fontId="16" fillId="4" borderId="4" xfId="12" applyNumberFormat="1" applyFont="1" applyFill="1" applyBorder="1"/>
    <xf numFmtId="3" fontId="16" fillId="4" borderId="5" xfId="12" applyNumberFormat="1" applyFont="1" applyFill="1" applyBorder="1"/>
    <xf numFmtId="3" fontId="16" fillId="4" borderId="3" xfId="12" applyNumberFormat="1" applyFont="1" applyFill="1" applyBorder="1"/>
    <xf numFmtId="3" fontId="16" fillId="4" borderId="15" xfId="12" applyNumberFormat="1" applyFont="1" applyFill="1" applyBorder="1"/>
    <xf numFmtId="176" fontId="16" fillId="4" borderId="5" xfId="4" applyNumberFormat="1" applyFont="1" applyFill="1" applyBorder="1"/>
    <xf numFmtId="176" fontId="16" fillId="4" borderId="3" xfId="4" applyNumberFormat="1" applyFont="1" applyFill="1" applyBorder="1"/>
    <xf numFmtId="174" fontId="16" fillId="5" borderId="8" xfId="4" applyNumberFormat="1" applyFont="1" applyFill="1" applyBorder="1"/>
    <xf numFmtId="174" fontId="16" fillId="5" borderId="9" xfId="4" applyNumberFormat="1" applyFont="1" applyFill="1" applyBorder="1"/>
    <xf numFmtId="174" fontId="16" fillId="5" borderId="10" xfId="4" applyNumberFormat="1" applyFont="1" applyFill="1" applyBorder="1"/>
    <xf numFmtId="164" fontId="16" fillId="4" borderId="12" xfId="4" applyNumberFormat="1" applyFont="1" applyFill="1" applyBorder="1"/>
    <xf numFmtId="164" fontId="16" fillId="4" borderId="11" xfId="4" applyNumberFormat="1" applyFont="1" applyFill="1" applyBorder="1"/>
    <xf numFmtId="164" fontId="16" fillId="4" borderId="13" xfId="4" applyNumberFormat="1" applyFont="1" applyFill="1" applyBorder="1"/>
    <xf numFmtId="164" fontId="16" fillId="4" borderId="15" xfId="4" applyNumberFormat="1" applyFont="1" applyFill="1" applyBorder="1"/>
    <xf numFmtId="174" fontId="16" fillId="8" borderId="15" xfId="4" applyNumberFormat="1" applyFont="1" applyFill="1" applyBorder="1"/>
    <xf numFmtId="174" fontId="16" fillId="5" borderId="4" xfId="4" applyNumberFormat="1" applyFont="1" applyFill="1" applyBorder="1"/>
    <xf numFmtId="174" fontId="16" fillId="5" borderId="3" xfId="4" applyNumberFormat="1" applyFont="1" applyFill="1" applyBorder="1"/>
    <xf numFmtId="3" fontId="15" fillId="6" borderId="4" xfId="0" applyNumberFormat="1" applyFont="1" applyFill="1" applyBorder="1"/>
    <xf numFmtId="0" fontId="15" fillId="6" borderId="0" xfId="0" applyFont="1" applyFill="1"/>
    <xf numFmtId="0" fontId="15" fillId="6" borderId="5" xfId="0" applyFont="1" applyFill="1" applyBorder="1" applyAlignment="1">
      <alignment horizontal="center" vertical="top" wrapText="1"/>
    </xf>
    <xf numFmtId="164" fontId="15" fillId="6" borderId="3" xfId="4" applyNumberFormat="1" applyFont="1" applyFill="1" applyBorder="1"/>
    <xf numFmtId="0" fontId="15" fillId="6" borderId="3" xfId="0" applyFont="1" applyFill="1" applyBorder="1" applyAlignment="1">
      <alignment horizontal="center" vertical="top" wrapText="1"/>
    </xf>
    <xf numFmtId="0" fontId="16" fillId="4" borderId="8" xfId="0" applyFont="1" applyFill="1" applyBorder="1" applyAlignment="1">
      <alignment horizontal="center"/>
    </xf>
    <xf numFmtId="0" fontId="15" fillId="6" borderId="4" xfId="0" applyFont="1" applyFill="1" applyBorder="1" applyAlignment="1">
      <alignment horizontal="center"/>
    </xf>
    <xf numFmtId="0" fontId="15" fillId="6" borderId="3" xfId="0" applyFont="1" applyFill="1" applyBorder="1" applyAlignment="1">
      <alignment horizontal="center"/>
    </xf>
    <xf numFmtId="164" fontId="15" fillId="6" borderId="5" xfId="4" applyNumberFormat="1" applyFont="1" applyFill="1" applyBorder="1"/>
    <xf numFmtId="164" fontId="16" fillId="4" borderId="8" xfId="4" applyFont="1" applyFill="1" applyBorder="1"/>
    <xf numFmtId="164" fontId="16" fillId="4" borderId="9" xfId="4" applyFont="1" applyFill="1" applyBorder="1"/>
    <xf numFmtId="164" fontId="16" fillId="4" borderId="10" xfId="4" applyFont="1" applyFill="1" applyBorder="1"/>
    <xf numFmtId="174" fontId="16" fillId="4" borderId="13" xfId="4" applyNumberFormat="1" applyFont="1" applyFill="1" applyBorder="1"/>
    <xf numFmtId="4" fontId="16" fillId="4" borderId="8" xfId="12" applyNumberFormat="1" applyFont="1" applyFill="1" applyBorder="1"/>
    <xf numFmtId="2" fontId="16" fillId="4" borderId="4" xfId="0" applyNumberFormat="1" applyFont="1" applyFill="1" applyBorder="1"/>
    <xf numFmtId="10" fontId="16" fillId="4" borderId="4" xfId="0" applyNumberFormat="1" applyFont="1" applyFill="1" applyBorder="1"/>
    <xf numFmtId="2" fontId="16" fillId="4" borderId="0" xfId="0" applyNumberFormat="1" applyFont="1" applyFill="1"/>
    <xf numFmtId="4" fontId="16" fillId="4" borderId="9" xfId="12" applyNumberFormat="1" applyFont="1" applyFill="1" applyBorder="1"/>
    <xf numFmtId="10" fontId="16" fillId="4" borderId="5" xfId="0" applyNumberFormat="1" applyFont="1" applyFill="1" applyBorder="1"/>
    <xf numFmtId="9" fontId="16" fillId="4" borderId="0" xfId="0" applyNumberFormat="1" applyFont="1" applyFill="1"/>
    <xf numFmtId="4" fontId="16" fillId="4" borderId="10" xfId="12" applyNumberFormat="1" applyFont="1" applyFill="1" applyBorder="1"/>
    <xf numFmtId="2" fontId="16" fillId="4" borderId="3" xfId="0" applyNumberFormat="1" applyFont="1" applyFill="1" applyBorder="1"/>
    <xf numFmtId="10" fontId="16" fillId="4" borderId="3" xfId="0" applyNumberFormat="1" applyFont="1" applyFill="1" applyBorder="1"/>
    <xf numFmtId="4" fontId="16" fillId="4" borderId="15" xfId="12" applyNumberFormat="1" applyFont="1" applyFill="1" applyBorder="1"/>
    <xf numFmtId="1" fontId="16" fillId="4" borderId="3" xfId="0" applyNumberFormat="1" applyFont="1" applyFill="1" applyBorder="1"/>
    <xf numFmtId="4" fontId="16" fillId="4" borderId="16" xfId="12" applyNumberFormat="1" applyFont="1" applyFill="1" applyBorder="1"/>
    <xf numFmtId="4" fontId="16" fillId="4" borderId="0" xfId="12" applyNumberFormat="1" applyFont="1" applyFill="1" applyBorder="1"/>
    <xf numFmtId="4" fontId="16" fillId="4" borderId="17" xfId="12" applyNumberFormat="1" applyFont="1" applyFill="1" applyBorder="1"/>
    <xf numFmtId="0" fontId="16" fillId="4" borderId="17" xfId="0" applyFont="1" applyFill="1" applyBorder="1"/>
    <xf numFmtId="174" fontId="16" fillId="4" borderId="9" xfId="4" quotePrefix="1" applyNumberFormat="1" applyFont="1" applyFill="1" applyBorder="1"/>
    <xf numFmtId="0" fontId="15" fillId="6" borderId="4" xfId="0" applyFont="1" applyFill="1" applyBorder="1" applyAlignment="1">
      <alignment horizontal="center" vertical="top" wrapText="1"/>
    </xf>
    <xf numFmtId="9" fontId="15" fillId="6" borderId="4" xfId="0" applyNumberFormat="1" applyFont="1" applyFill="1" applyBorder="1" applyAlignment="1">
      <alignment horizontal="center"/>
    </xf>
    <xf numFmtId="174" fontId="16" fillId="5" borderId="12" xfId="4" applyNumberFormat="1" applyFont="1" applyFill="1" applyBorder="1"/>
    <xf numFmtId="174" fontId="16" fillId="5" borderId="11" xfId="4" applyNumberFormat="1" applyFont="1" applyFill="1" applyBorder="1"/>
    <xf numFmtId="174" fontId="16" fillId="5" borderId="13" xfId="4" applyNumberFormat="1" applyFont="1" applyFill="1" applyBorder="1"/>
    <xf numFmtId="3" fontId="16" fillId="4" borderId="18" xfId="12" applyNumberFormat="1" applyFont="1" applyFill="1" applyBorder="1"/>
    <xf numFmtId="169" fontId="16" fillId="4" borderId="0" xfId="0" applyNumberFormat="1" applyFont="1" applyFill="1" applyAlignment="1">
      <alignment horizontal="center"/>
    </xf>
    <xf numFmtId="170" fontId="16" fillId="4" borderId="0" xfId="0" applyNumberFormat="1" applyFont="1" applyFill="1"/>
    <xf numFmtId="2" fontId="15" fillId="6" borderId="3" xfId="0" applyNumberFormat="1" applyFont="1" applyFill="1" applyBorder="1" applyAlignment="1">
      <alignment horizontal="center" vertical="top" wrapText="1"/>
    </xf>
    <xf numFmtId="3" fontId="16" fillId="4" borderId="7" xfId="12" applyNumberFormat="1" applyFont="1" applyFill="1" applyBorder="1"/>
    <xf numFmtId="165" fontId="16" fillId="4" borderId="15" xfId="0" applyNumberFormat="1" applyFont="1" applyFill="1" applyBorder="1" applyAlignment="1">
      <alignment horizontal="center"/>
    </xf>
    <xf numFmtId="174" fontId="16" fillId="4" borderId="7" xfId="4" applyNumberFormat="1" applyFont="1" applyFill="1" applyBorder="1"/>
    <xf numFmtId="0" fontId="15" fillId="6" borderId="18" xfId="0" applyFont="1" applyFill="1" applyBorder="1"/>
    <xf numFmtId="0" fontId="15" fillId="6" borderId="6" xfId="0" applyFont="1" applyFill="1" applyBorder="1"/>
    <xf numFmtId="0" fontId="15" fillId="6" borderId="15" xfId="0" applyFont="1" applyFill="1" applyBorder="1" applyAlignment="1">
      <alignment horizontal="center"/>
    </xf>
    <xf numFmtId="164" fontId="16" fillId="7" borderId="13" xfId="4" applyNumberFormat="1" applyFont="1" applyFill="1" applyBorder="1"/>
    <xf numFmtId="166" fontId="16" fillId="4" borderId="4" xfId="0" applyNumberFormat="1" applyFont="1" applyFill="1" applyBorder="1"/>
    <xf numFmtId="0" fontId="5" fillId="4" borderId="0" xfId="0" applyFont="1" applyFill="1" applyBorder="1" applyAlignment="1">
      <alignment horizontal="left"/>
    </xf>
    <xf numFmtId="0" fontId="16" fillId="4" borderId="9" xfId="0" applyFont="1" applyFill="1" applyBorder="1" applyAlignment="1">
      <alignment horizontal="center"/>
    </xf>
    <xf numFmtId="166" fontId="16" fillId="4" borderId="5" xfId="0" applyNumberFormat="1" applyFont="1" applyFill="1" applyBorder="1"/>
    <xf numFmtId="0" fontId="5" fillId="4" borderId="0" xfId="0" applyFont="1" applyFill="1" applyAlignment="1">
      <alignment horizontal="left"/>
    </xf>
    <xf numFmtId="166" fontId="16" fillId="4" borderId="3" xfId="0" applyNumberFormat="1" applyFont="1" applyFill="1" applyBorder="1"/>
    <xf numFmtId="0" fontId="15" fillId="6" borderId="16" xfId="0" applyFont="1" applyFill="1" applyBorder="1" applyAlignment="1">
      <alignment horizontal="center" vertical="center" wrapText="1"/>
    </xf>
    <xf numFmtId="0" fontId="15" fillId="6" borderId="17" xfId="0" applyFont="1" applyFill="1" applyBorder="1" applyAlignment="1">
      <alignment horizontal="center" vertical="top" wrapText="1"/>
    </xf>
    <xf numFmtId="10" fontId="15" fillId="6" borderId="3" xfId="12" applyNumberFormat="1" applyFont="1" applyFill="1" applyBorder="1" applyAlignment="1">
      <alignment vertical="center"/>
    </xf>
    <xf numFmtId="174" fontId="16" fillId="3" borderId="4" xfId="4" applyNumberFormat="1" applyFont="1" applyFill="1" applyBorder="1"/>
    <xf numFmtId="174" fontId="16" fillId="5" borderId="16" xfId="4" applyNumberFormat="1" applyFont="1" applyFill="1" applyBorder="1"/>
    <xf numFmtId="174" fontId="16" fillId="5" borderId="0" xfId="4" applyNumberFormat="1" applyFont="1" applyFill="1" applyBorder="1"/>
    <xf numFmtId="174" fontId="16" fillId="3" borderId="3" xfId="4" applyNumberFormat="1" applyFont="1" applyFill="1" applyBorder="1"/>
    <xf numFmtId="174" fontId="16" fillId="5" borderId="17" xfId="4" applyNumberFormat="1" applyFont="1" applyFill="1" applyBorder="1"/>
    <xf numFmtId="174" fontId="16" fillId="5" borderId="7" xfId="4" applyNumberFormat="1" applyFont="1" applyFill="1" applyBorder="1"/>
    <xf numFmtId="164" fontId="16" fillId="4" borderId="0" xfId="4" applyFont="1" applyFill="1" applyBorder="1" applyAlignment="1">
      <alignment vertical="center"/>
    </xf>
    <xf numFmtId="164" fontId="16" fillId="4" borderId="0" xfId="4" applyFont="1" applyFill="1" applyAlignment="1">
      <alignment vertical="center"/>
    </xf>
    <xf numFmtId="4" fontId="16" fillId="4" borderId="4" xfId="12" applyNumberFormat="1" applyFont="1" applyFill="1" applyBorder="1"/>
    <xf numFmtId="4" fontId="16" fillId="4" borderId="5" xfId="12" applyNumberFormat="1" applyFont="1" applyFill="1" applyBorder="1"/>
    <xf numFmtId="4" fontId="16" fillId="4" borderId="3" xfId="12" applyNumberFormat="1" applyFont="1" applyFill="1" applyBorder="1"/>
    <xf numFmtId="4" fontId="16" fillId="4" borderId="12" xfId="12" applyNumberFormat="1" applyFont="1" applyFill="1" applyBorder="1"/>
    <xf numFmtId="4" fontId="16" fillId="4" borderId="18" xfId="12" applyNumberFormat="1" applyFont="1" applyFill="1" applyBorder="1"/>
    <xf numFmtId="0" fontId="16" fillId="4" borderId="0" xfId="0" applyFont="1" applyFill="1" applyBorder="1" applyAlignment="1">
      <alignment horizontal="center" vertical="top" wrapText="1"/>
    </xf>
    <xf numFmtId="4" fontId="16" fillId="4" borderId="11" xfId="12" applyNumberFormat="1" applyFont="1" applyFill="1" applyBorder="1"/>
    <xf numFmtId="4" fontId="16" fillId="4" borderId="13" xfId="12" applyNumberFormat="1" applyFont="1" applyFill="1" applyBorder="1"/>
    <xf numFmtId="176" fontId="16" fillId="4" borderId="14" xfId="4" applyNumberFormat="1" applyFont="1" applyFill="1" applyBorder="1"/>
    <xf numFmtId="176" fontId="16" fillId="4" borderId="0" xfId="11" applyNumberFormat="1" applyFont="1" applyFill="1" applyAlignment="1">
      <alignment vertical="center"/>
    </xf>
    <xf numFmtId="176" fontId="16" fillId="4" borderId="0" xfId="0" applyNumberFormat="1" applyFont="1" applyFill="1"/>
    <xf numFmtId="176" fontId="15" fillId="6" borderId="4" xfId="0" applyNumberFormat="1" applyFont="1" applyFill="1" applyBorder="1" applyAlignment="1">
      <alignment horizontal="center" vertical="top" wrapText="1"/>
    </xf>
    <xf numFmtId="2" fontId="15" fillId="6" borderId="5" xfId="0" applyNumberFormat="1" applyFont="1" applyFill="1" applyBorder="1" applyAlignment="1">
      <alignment horizontal="center" vertical="top" wrapText="1"/>
    </xf>
    <xf numFmtId="171" fontId="16" fillId="4" borderId="0" xfId="0" applyNumberFormat="1" applyFont="1" applyFill="1"/>
    <xf numFmtId="166" fontId="16" fillId="4" borderId="0" xfId="12" applyNumberFormat="1" applyFont="1" applyFill="1" applyBorder="1" applyAlignment="1">
      <alignment horizontal="center" vertical="top" wrapText="1"/>
    </xf>
    <xf numFmtId="166" fontId="16" fillId="4" borderId="12" xfId="0" applyNumberFormat="1" applyFont="1" applyFill="1" applyBorder="1"/>
    <xf numFmtId="171" fontId="16" fillId="4" borderId="0" xfId="0" applyNumberFormat="1" applyFont="1" applyFill="1" applyBorder="1"/>
    <xf numFmtId="166" fontId="16" fillId="4" borderId="11" xfId="0" applyNumberFormat="1" applyFont="1" applyFill="1" applyBorder="1"/>
    <xf numFmtId="166" fontId="16" fillId="4" borderId="13" xfId="0" applyNumberFormat="1" applyFont="1" applyFill="1" applyBorder="1"/>
    <xf numFmtId="171" fontId="16" fillId="4" borderId="15" xfId="0" applyNumberFormat="1" applyFont="1" applyFill="1" applyBorder="1"/>
    <xf numFmtId="171" fontId="16" fillId="4" borderId="0" xfId="12" applyNumberFormat="1" applyFont="1" applyFill="1" applyBorder="1"/>
    <xf numFmtId="171" fontId="16" fillId="3" borderId="8" xfId="0" applyNumberFormat="1" applyFont="1" applyFill="1" applyBorder="1"/>
    <xf numFmtId="171" fontId="16" fillId="3" borderId="4" xfId="0" applyNumberFormat="1" applyFont="1" applyFill="1" applyBorder="1"/>
    <xf numFmtId="3" fontId="16" fillId="3" borderId="4" xfId="12" applyNumberFormat="1" applyFont="1" applyFill="1" applyBorder="1"/>
    <xf numFmtId="171" fontId="16" fillId="3" borderId="9" xfId="0" applyNumberFormat="1" applyFont="1" applyFill="1" applyBorder="1"/>
    <xf numFmtId="171" fontId="16" fillId="3" borderId="5" xfId="0" applyNumberFormat="1" applyFont="1" applyFill="1" applyBorder="1"/>
    <xf numFmtId="3" fontId="16" fillId="3" borderId="5" xfId="12" applyNumberFormat="1" applyFont="1" applyFill="1" applyBorder="1"/>
    <xf numFmtId="3" fontId="16" fillId="3" borderId="7" xfId="12" applyNumberFormat="1" applyFont="1" applyFill="1" applyBorder="1"/>
    <xf numFmtId="0" fontId="20" fillId="4" borderId="0" xfId="0" applyFont="1" applyFill="1"/>
    <xf numFmtId="0" fontId="21" fillId="4" borderId="5" xfId="0" applyFont="1" applyFill="1" applyBorder="1" applyAlignment="1">
      <alignment horizontal="center"/>
    </xf>
    <xf numFmtId="0" fontId="21" fillId="4" borderId="5" xfId="0" applyFont="1" applyFill="1" applyBorder="1"/>
    <xf numFmtId="3" fontId="21" fillId="4" borderId="5" xfId="12" applyNumberFormat="1" applyFont="1" applyFill="1" applyBorder="1" applyAlignment="1">
      <alignment horizontal="right"/>
    </xf>
    <xf numFmtId="0" fontId="21" fillId="4" borderId="0" xfId="0" applyFont="1" applyFill="1"/>
    <xf numFmtId="0" fontId="21" fillId="4" borderId="3" xfId="0" applyFont="1" applyFill="1" applyBorder="1" applyAlignment="1">
      <alignment horizontal="center"/>
    </xf>
    <xf numFmtId="167" fontId="16" fillId="4" borderId="0" xfId="0" applyNumberFormat="1" applyFont="1" applyFill="1"/>
    <xf numFmtId="0" fontId="18" fillId="4" borderId="0" xfId="0" applyFont="1" applyFill="1" applyAlignment="1">
      <alignment vertical="center"/>
    </xf>
    <xf numFmtId="0" fontId="18" fillId="4" borderId="0" xfId="0" applyFont="1" applyFill="1" applyAlignment="1">
      <alignment horizontal="left" vertical="center"/>
    </xf>
    <xf numFmtId="3" fontId="21" fillId="4" borderId="4" xfId="12" applyNumberFormat="1" applyFont="1" applyFill="1" applyBorder="1"/>
    <xf numFmtId="3" fontId="21" fillId="4" borderId="5" xfId="12" applyNumberFormat="1" applyFont="1" applyFill="1" applyBorder="1"/>
    <xf numFmtId="171" fontId="16" fillId="4" borderId="15" xfId="12" applyNumberFormat="1" applyFont="1" applyFill="1" applyBorder="1"/>
    <xf numFmtId="171" fontId="21" fillId="4" borderId="4" xfId="0" applyNumberFormat="1" applyFont="1" applyFill="1" applyBorder="1"/>
    <xf numFmtId="171" fontId="21" fillId="4" borderId="5" xfId="0" applyNumberFormat="1" applyFont="1" applyFill="1" applyBorder="1"/>
    <xf numFmtId="0" fontId="16" fillId="8" borderId="0" xfId="0" applyFont="1" applyFill="1"/>
    <xf numFmtId="14" fontId="16" fillId="8" borderId="0" xfId="0" applyNumberFormat="1" applyFont="1" applyFill="1"/>
    <xf numFmtId="0" fontId="16" fillId="8" borderId="0" xfId="0" applyFont="1" applyFill="1" applyBorder="1"/>
    <xf numFmtId="0" fontId="17" fillId="8" borderId="0" xfId="0" applyFont="1" applyFill="1"/>
    <xf numFmtId="173" fontId="16" fillId="8" borderId="0" xfId="0" applyNumberFormat="1" applyFont="1" applyFill="1" applyBorder="1"/>
    <xf numFmtId="0" fontId="16" fillId="8" borderId="0" xfId="0" applyFont="1" applyFill="1" applyAlignment="1">
      <alignment horizontal="center" wrapText="1"/>
    </xf>
    <xf numFmtId="164" fontId="16" fillId="8" borderId="0" xfId="4" applyFont="1" applyFill="1"/>
    <xf numFmtId="3" fontId="16" fillId="8" borderId="0" xfId="0" applyNumberFormat="1" applyFont="1" applyFill="1"/>
    <xf numFmtId="2" fontId="16" fillId="8" borderId="0" xfId="0" applyNumberFormat="1" applyFont="1" applyFill="1"/>
    <xf numFmtId="0" fontId="16" fillId="8" borderId="0" xfId="0" applyFont="1" applyFill="1" applyAlignment="1">
      <alignment horizontal="center"/>
    </xf>
    <xf numFmtId="9" fontId="16" fillId="8" borderId="0" xfId="0" applyNumberFormat="1" applyFont="1" applyFill="1" applyBorder="1" applyAlignment="1">
      <alignment horizontal="center" vertical="top" wrapText="1"/>
    </xf>
    <xf numFmtId="2" fontId="16" fillId="8" borderId="0" xfId="0" applyNumberFormat="1" applyFont="1" applyFill="1" applyBorder="1" applyAlignment="1">
      <alignment horizontal="center"/>
    </xf>
    <xf numFmtId="10" fontId="16" fillId="8" borderId="15" xfId="0" applyNumberFormat="1" applyFont="1" applyFill="1" applyBorder="1" applyAlignment="1">
      <alignment horizontal="center" vertical="top" wrapText="1"/>
    </xf>
    <xf numFmtId="169" fontId="16" fillId="8" borderId="0" xfId="0" applyNumberFormat="1" applyFont="1" applyFill="1" applyBorder="1"/>
    <xf numFmtId="3" fontId="16" fillId="8" borderId="0" xfId="0" applyNumberFormat="1" applyFont="1" applyFill="1" applyBorder="1"/>
    <xf numFmtId="164" fontId="16" fillId="8" borderId="0" xfId="4" applyFont="1" applyFill="1" applyBorder="1"/>
    <xf numFmtId="0" fontId="16" fillId="8" borderId="15" xfId="0" applyFont="1" applyFill="1" applyBorder="1"/>
    <xf numFmtId="164" fontId="16" fillId="8" borderId="15" xfId="4" applyFont="1" applyFill="1" applyBorder="1"/>
    <xf numFmtId="0" fontId="16" fillId="8" borderId="0" xfId="0" applyFont="1" applyFill="1" applyAlignment="1">
      <alignment vertical="top"/>
    </xf>
    <xf numFmtId="0" fontId="18" fillId="8" borderId="0" xfId="0" applyFont="1" applyFill="1"/>
    <xf numFmtId="0" fontId="16" fillId="7" borderId="15" xfId="0" applyFont="1" applyFill="1" applyBorder="1" applyAlignment="1">
      <alignment horizontal="center"/>
    </xf>
    <xf numFmtId="14" fontId="16" fillId="7" borderId="15" xfId="0" applyNumberFormat="1" applyFont="1" applyFill="1" applyBorder="1" applyAlignment="1">
      <alignment horizontal="center"/>
    </xf>
    <xf numFmtId="9" fontId="16" fillId="7" borderId="15" xfId="0" applyNumberFormat="1" applyFont="1" applyFill="1" applyBorder="1" applyAlignment="1">
      <alignment horizontal="center" vertical="top" wrapText="1"/>
    </xf>
    <xf numFmtId="10" fontId="16" fillId="7" borderId="15" xfId="0" applyNumberFormat="1" applyFont="1" applyFill="1" applyBorder="1" applyAlignment="1">
      <alignment horizontal="center"/>
    </xf>
    <xf numFmtId="0" fontId="16" fillId="8" borderId="0" xfId="0" applyFont="1" applyFill="1" applyBorder="1" applyAlignment="1"/>
    <xf numFmtId="0" fontId="16" fillId="8" borderId="0" xfId="0" applyFont="1" applyFill="1" applyBorder="1" applyAlignment="1">
      <alignment horizontal="left" vertical="top"/>
    </xf>
    <xf numFmtId="0" fontId="16" fillId="8" borderId="0" xfId="0" applyFont="1" applyFill="1" applyBorder="1" applyAlignment="1">
      <alignment horizontal="left"/>
    </xf>
    <xf numFmtId="3" fontId="16" fillId="7" borderId="15" xfId="0" applyNumberFormat="1" applyFont="1" applyFill="1" applyBorder="1"/>
    <xf numFmtId="3" fontId="16" fillId="8" borderId="15" xfId="0" applyNumberFormat="1" applyFont="1" applyFill="1" applyBorder="1"/>
    <xf numFmtId="3" fontId="16" fillId="8" borderId="15" xfId="0" applyNumberFormat="1" applyFont="1" applyFill="1" applyBorder="1" applyAlignment="1">
      <alignment horizontal="center"/>
    </xf>
    <xf numFmtId="9" fontId="16" fillId="7" borderId="15" xfId="0" applyNumberFormat="1" applyFont="1" applyFill="1" applyBorder="1" applyAlignment="1">
      <alignment horizontal="center"/>
    </xf>
    <xf numFmtId="0" fontId="16" fillId="7" borderId="15" xfId="0" applyFont="1" applyFill="1" applyBorder="1" applyAlignment="1">
      <alignment horizontal="center" vertical="top" wrapText="1"/>
    </xf>
    <xf numFmtId="0" fontId="16" fillId="8" borderId="4" xfId="0" applyFont="1" applyFill="1" applyBorder="1" applyAlignment="1">
      <alignment horizontal="center" vertical="center" wrapText="1"/>
    </xf>
    <xf numFmtId="175" fontId="16" fillId="8" borderId="15" xfId="4" applyNumberFormat="1" applyFont="1" applyFill="1" applyBorder="1"/>
    <xf numFmtId="174" fontId="16" fillId="8" borderId="18" xfId="4" applyNumberFormat="1" applyFont="1" applyFill="1" applyBorder="1"/>
    <xf numFmtId="0" fontId="16" fillId="8" borderId="7" xfId="0" applyFont="1" applyFill="1" applyBorder="1"/>
    <xf numFmtId="2" fontId="16" fillId="8" borderId="4" xfId="0" applyNumberFormat="1" applyFont="1" applyFill="1" applyBorder="1"/>
    <xf numFmtId="174" fontId="16" fillId="7" borderId="18" xfId="4" applyNumberFormat="1" applyFont="1" applyFill="1" applyBorder="1"/>
    <xf numFmtId="0" fontId="16" fillId="8" borderId="0" xfId="0" quotePrefix="1" applyFont="1" applyFill="1" applyBorder="1"/>
    <xf numFmtId="169" fontId="16" fillId="8" borderId="15" xfId="0" applyNumberFormat="1" applyFont="1" applyFill="1" applyBorder="1"/>
    <xf numFmtId="173" fontId="16" fillId="8" borderId="15" xfId="0" applyNumberFormat="1" applyFont="1" applyFill="1" applyBorder="1"/>
    <xf numFmtId="0" fontId="16" fillId="8" borderId="0" xfId="0" applyFont="1" applyFill="1" applyBorder="1" applyAlignment="1">
      <alignment horizontal="center" vertical="center" wrapText="1"/>
    </xf>
    <xf numFmtId="0" fontId="22" fillId="8" borderId="0" xfId="0" applyFont="1" applyFill="1"/>
    <xf numFmtId="0" fontId="18" fillId="8" borderId="0" xfId="0" applyFont="1" applyFill="1" applyBorder="1"/>
    <xf numFmtId="0" fontId="15" fillId="6" borderId="4" xfId="0" applyFont="1" applyFill="1" applyBorder="1" applyAlignment="1">
      <alignment horizontal="center" vertical="center" wrapText="1"/>
    </xf>
    <xf numFmtId="0" fontId="15" fillId="6" borderId="3" xfId="0" applyFont="1" applyFill="1" applyBorder="1" applyAlignment="1">
      <alignment horizontal="center" vertical="center" wrapText="1"/>
    </xf>
    <xf numFmtId="9" fontId="15" fillId="6" borderId="5" xfId="12" applyFont="1" applyFill="1" applyBorder="1" applyAlignment="1">
      <alignment horizontal="center"/>
    </xf>
    <xf numFmtId="4" fontId="16" fillId="4" borderId="16" xfId="0" applyNumberFormat="1" applyFont="1" applyFill="1" applyBorder="1"/>
    <xf numFmtId="4" fontId="16" fillId="4" borderId="0" xfId="0" applyNumberFormat="1" applyFont="1" applyFill="1" applyBorder="1"/>
    <xf numFmtId="4" fontId="16" fillId="4" borderId="17" xfId="0" applyNumberFormat="1" applyFont="1" applyFill="1" applyBorder="1"/>
    <xf numFmtId="3" fontId="16" fillId="4" borderId="16" xfId="0" applyNumberFormat="1" applyFont="1" applyFill="1" applyBorder="1"/>
    <xf numFmtId="164" fontId="16" fillId="4" borderId="9" xfId="4" applyNumberFormat="1" applyFont="1" applyFill="1" applyBorder="1"/>
    <xf numFmtId="1" fontId="18" fillId="4" borderId="0" xfId="11" applyNumberFormat="1" applyFont="1" applyFill="1" applyAlignment="1">
      <alignment horizontal="left" vertical="center"/>
    </xf>
    <xf numFmtId="174" fontId="16" fillId="8" borderId="0" xfId="4" applyNumberFormat="1" applyFont="1" applyFill="1"/>
    <xf numFmtId="0" fontId="23" fillId="8" borderId="0" xfId="0" applyFont="1" applyFill="1"/>
    <xf numFmtId="174" fontId="23" fillId="8" borderId="0" xfId="4" applyNumberFormat="1" applyFont="1" applyFill="1"/>
    <xf numFmtId="174" fontId="15" fillId="6" borderId="0" xfId="4" applyNumberFormat="1" applyFont="1" applyFill="1"/>
    <xf numFmtId="0" fontId="23" fillId="8" borderId="0" xfId="0" applyFont="1" applyFill="1" applyAlignment="1">
      <alignment horizontal="right"/>
    </xf>
    <xf numFmtId="168" fontId="19" fillId="4" borderId="0" xfId="11" applyNumberFormat="1" applyFont="1" applyFill="1" applyAlignment="1">
      <alignment vertical="center"/>
    </xf>
    <xf numFmtId="168" fontId="19" fillId="4" borderId="0" xfId="11" applyNumberFormat="1" applyFont="1" applyFill="1" applyBorder="1" applyAlignment="1">
      <alignment vertical="center"/>
    </xf>
    <xf numFmtId="175" fontId="16" fillId="4" borderId="0" xfId="14" applyNumberFormat="1" applyFont="1" applyFill="1" applyBorder="1" applyAlignment="1">
      <alignment vertical="center"/>
    </xf>
    <xf numFmtId="0" fontId="17" fillId="4" borderId="0" xfId="11" applyFont="1" applyFill="1" applyBorder="1"/>
    <xf numFmtId="175" fontId="17" fillId="4" borderId="0" xfId="14" applyNumberFormat="1" applyFont="1" applyFill="1" applyBorder="1"/>
    <xf numFmtId="0" fontId="16" fillId="4" borderId="0" xfId="15" applyFont="1" applyFill="1"/>
    <xf numFmtId="0" fontId="16" fillId="4" borderId="0" xfId="15" applyFont="1" applyFill="1" applyBorder="1"/>
    <xf numFmtId="175" fontId="16" fillId="4" borderId="0" xfId="14" applyNumberFormat="1" applyFont="1" applyFill="1" applyBorder="1"/>
    <xf numFmtId="3" fontId="4" fillId="4" borderId="5" xfId="15" applyNumberFormat="1" applyFont="1" applyFill="1" applyBorder="1" applyAlignment="1">
      <alignment horizontal="right"/>
    </xf>
    <xf numFmtId="43" fontId="16" fillId="4" borderId="5" xfId="14" applyFont="1" applyFill="1" applyBorder="1"/>
    <xf numFmtId="175" fontId="4" fillId="4" borderId="0" xfId="14" applyNumberFormat="1" applyFont="1" applyFill="1" applyBorder="1" applyAlignment="1">
      <alignment horizontal="left"/>
    </xf>
    <xf numFmtId="3" fontId="4" fillId="4" borderId="0" xfId="15" applyNumberFormat="1" applyFont="1" applyFill="1" applyBorder="1" applyAlignment="1">
      <alignment horizontal="right"/>
    </xf>
    <xf numFmtId="175" fontId="16" fillId="4" borderId="0" xfId="15" applyNumberFormat="1" applyFont="1" applyFill="1" applyBorder="1"/>
    <xf numFmtId="3" fontId="16" fillId="4" borderId="0" xfId="15" applyNumberFormat="1" applyFont="1" applyFill="1"/>
    <xf numFmtId="0" fontId="15" fillId="4" borderId="0" xfId="15" applyFont="1" applyFill="1" applyBorder="1" applyAlignment="1">
      <alignment vertical="center"/>
    </xf>
    <xf numFmtId="175" fontId="15" fillId="4" borderId="0" xfId="14" applyNumberFormat="1" applyFont="1" applyFill="1" applyBorder="1" applyAlignment="1">
      <alignment horizontal="center" vertical="center" wrapText="1"/>
    </xf>
    <xf numFmtId="175" fontId="15" fillId="4" borderId="0" xfId="14" applyNumberFormat="1" applyFont="1" applyFill="1" applyBorder="1" applyAlignment="1">
      <alignment vertical="center"/>
    </xf>
    <xf numFmtId="0" fontId="15" fillId="4" borderId="0" xfId="15" applyFont="1" applyFill="1" applyAlignment="1">
      <alignment vertical="center"/>
    </xf>
    <xf numFmtId="0" fontId="16" fillId="4" borderId="4" xfId="15" applyFont="1" applyFill="1" applyBorder="1"/>
    <xf numFmtId="0" fontId="16" fillId="4" borderId="5" xfId="15" applyFont="1" applyFill="1" applyBorder="1"/>
    <xf numFmtId="0" fontId="16" fillId="4" borderId="3" xfId="15" applyFont="1" applyFill="1" applyBorder="1"/>
    <xf numFmtId="0" fontId="15" fillId="6" borderId="4" xfId="15" applyFont="1" applyFill="1" applyBorder="1" applyAlignment="1">
      <alignment horizontal="center" vertical="center" wrapText="1"/>
    </xf>
    <xf numFmtId="174" fontId="16" fillId="4" borderId="15" xfId="4" applyNumberFormat="1" applyFont="1" applyFill="1" applyBorder="1" applyAlignment="1">
      <alignment horizontal="center"/>
    </xf>
    <xf numFmtId="0" fontId="16" fillId="7" borderId="15" xfId="0" applyFont="1" applyFill="1" applyBorder="1"/>
    <xf numFmtId="174" fontId="16" fillId="4" borderId="7" xfId="4" applyNumberFormat="1" applyFont="1" applyFill="1" applyBorder="1" applyAlignment="1">
      <alignment horizontal="center"/>
    </xf>
    <xf numFmtId="174" fontId="16" fillId="5" borderId="15" xfId="4" applyNumberFormat="1" applyFont="1" applyFill="1" applyBorder="1" applyAlignment="1">
      <alignment horizontal="center"/>
    </xf>
    <xf numFmtId="171" fontId="21" fillId="5" borderId="4" xfId="0" applyNumberFormat="1" applyFont="1" applyFill="1" applyBorder="1"/>
    <xf numFmtId="171" fontId="21" fillId="5" borderId="5" xfId="0" applyNumberFormat="1" applyFont="1" applyFill="1" applyBorder="1"/>
    <xf numFmtId="171" fontId="16" fillId="5" borderId="15" xfId="0" applyNumberFormat="1" applyFont="1" applyFill="1" applyBorder="1"/>
    <xf numFmtId="171" fontId="21" fillId="5" borderId="3" xfId="0" applyNumberFormat="1" applyFont="1" applyFill="1" applyBorder="1"/>
    <xf numFmtId="0" fontId="16" fillId="7" borderId="15" xfId="15" applyFont="1" applyFill="1" applyBorder="1" applyAlignment="1">
      <alignment horizontal="center"/>
    </xf>
    <xf numFmtId="174" fontId="16" fillId="7" borderId="3" xfId="4" applyNumberFormat="1" applyFont="1" applyFill="1" applyBorder="1" applyAlignment="1">
      <alignment horizontal="center"/>
    </xf>
    <xf numFmtId="174" fontId="16" fillId="7" borderId="15" xfId="4" applyNumberFormat="1" applyFont="1" applyFill="1" applyBorder="1"/>
    <xf numFmtId="0" fontId="16" fillId="7" borderId="15" xfId="4" applyNumberFormat="1" applyFont="1" applyFill="1" applyBorder="1" applyAlignment="1">
      <alignment horizontal="center"/>
    </xf>
    <xf numFmtId="0" fontId="16" fillId="10" borderId="0" xfId="0" applyFont="1" applyFill="1"/>
    <xf numFmtId="0" fontId="23" fillId="10" borderId="0" xfId="0" applyFont="1" applyFill="1" applyAlignment="1">
      <alignment horizontal="right"/>
    </xf>
    <xf numFmtId="0" fontId="23" fillId="10" borderId="0" xfId="0" applyFont="1" applyFill="1"/>
    <xf numFmtId="0" fontId="28" fillId="4" borderId="0" xfId="16" applyFont="1" applyFill="1" applyBorder="1" applyAlignment="1">
      <alignment horizontal="left" vertical="top" wrapText="1"/>
    </xf>
    <xf numFmtId="0" fontId="28" fillId="4" borderId="0" xfId="16" applyFont="1" applyFill="1" applyBorder="1" applyAlignment="1">
      <alignment horizontal="left" vertical="top"/>
    </xf>
    <xf numFmtId="0" fontId="29" fillId="4" borderId="0" xfId="0" applyFont="1" applyFill="1" applyBorder="1"/>
    <xf numFmtId="0" fontId="29" fillId="10" borderId="0" xfId="0" applyFont="1" applyFill="1"/>
    <xf numFmtId="0" fontId="30" fillId="6" borderId="0" xfId="0" applyFont="1" applyFill="1"/>
    <xf numFmtId="0" fontId="26" fillId="6" borderId="0" xfId="0" applyFont="1" applyFill="1" applyAlignment="1">
      <alignment horizontal="center"/>
    </xf>
    <xf numFmtId="164" fontId="29" fillId="4" borderId="0" xfId="4" applyFont="1" applyFill="1" applyBorder="1"/>
    <xf numFmtId="0" fontId="15" fillId="6" borderId="0" xfId="0" applyFont="1" applyFill="1" applyAlignment="1"/>
    <xf numFmtId="164" fontId="15" fillId="6" borderId="0" xfId="4" applyFont="1" applyFill="1"/>
    <xf numFmtId="0" fontId="29" fillId="4" borderId="0" xfId="16" applyFont="1" applyFill="1" applyBorder="1" applyAlignment="1">
      <alignment horizontal="left" vertical="top" wrapText="1"/>
    </xf>
    <xf numFmtId="0" fontId="29" fillId="4" borderId="0" xfId="16" applyFont="1" applyFill="1" applyBorder="1" applyAlignment="1">
      <alignment horizontal="left" vertical="top"/>
    </xf>
    <xf numFmtId="178" fontId="29" fillId="4" borderId="0" xfId="16" applyNumberFormat="1" applyFont="1" applyFill="1" applyBorder="1" applyAlignment="1">
      <alignment horizontal="left" vertical="top" wrapText="1"/>
    </xf>
    <xf numFmtId="164" fontId="29" fillId="4" borderId="0" xfId="4" applyFont="1" applyFill="1" applyBorder="1" applyAlignment="1">
      <alignment horizontal="right"/>
    </xf>
    <xf numFmtId="0" fontId="29" fillId="4" borderId="19" xfId="16" applyFont="1" applyFill="1" applyBorder="1" applyAlignment="1">
      <alignment horizontal="left" vertical="top" wrapText="1"/>
    </xf>
    <xf numFmtId="0" fontId="29" fillId="4" borderId="19" xfId="16" applyFont="1" applyFill="1" applyBorder="1" applyAlignment="1">
      <alignment horizontal="left" vertical="top"/>
    </xf>
    <xf numFmtId="164" fontId="29" fillId="4" borderId="19" xfId="4" applyFont="1" applyFill="1" applyBorder="1"/>
    <xf numFmtId="0" fontId="35" fillId="4" borderId="0" xfId="16" applyFont="1" applyFill="1" applyBorder="1" applyAlignment="1">
      <alignment horizontal="left" vertical="top"/>
    </xf>
    <xf numFmtId="0" fontId="22" fillId="10" borderId="0" xfId="0" applyFont="1" applyFill="1"/>
    <xf numFmtId="0" fontId="29" fillId="10" borderId="0" xfId="0" applyFont="1" applyFill="1" applyAlignment="1"/>
    <xf numFmtId="0" fontId="29" fillId="4" borderId="0" xfId="0" applyFont="1" applyFill="1" applyAlignment="1"/>
    <xf numFmtId="0" fontId="28" fillId="4" borderId="0" xfId="16" applyFont="1" applyFill="1" applyBorder="1" applyAlignment="1">
      <alignment horizontal="left" vertical="center" wrapText="1"/>
    </xf>
    <xf numFmtId="0" fontId="28" fillId="4" borderId="0" xfId="16" applyFont="1" applyFill="1" applyBorder="1" applyAlignment="1">
      <alignment horizontal="left" vertical="center"/>
    </xf>
    <xf numFmtId="164" fontId="29" fillId="4" borderId="0" xfId="4" applyFont="1" applyFill="1" applyBorder="1" applyAlignment="1">
      <alignment vertical="center"/>
    </xf>
    <xf numFmtId="164" fontId="29" fillId="12" borderId="0" xfId="4" applyFont="1" applyFill="1" applyBorder="1" applyAlignment="1">
      <alignment vertical="center"/>
    </xf>
    <xf numFmtId="0" fontId="29" fillId="10" borderId="0" xfId="0" applyFont="1" applyFill="1" applyAlignment="1">
      <alignment vertical="center"/>
    </xf>
    <xf numFmtId="164" fontId="29" fillId="4" borderId="17" xfId="4" applyFont="1" applyFill="1" applyBorder="1" applyAlignment="1">
      <alignment vertical="center"/>
    </xf>
    <xf numFmtId="0" fontId="32" fillId="4" borderId="0" xfId="16" applyFont="1" applyFill="1" applyBorder="1" applyAlignment="1">
      <alignment horizontal="left" vertical="center"/>
    </xf>
    <xf numFmtId="164" fontId="33" fillId="4" borderId="0" xfId="4" applyFont="1" applyFill="1" applyBorder="1" applyAlignment="1">
      <alignment vertical="center"/>
    </xf>
    <xf numFmtId="164" fontId="34" fillId="4" borderId="0" xfId="4" applyFont="1" applyFill="1" applyBorder="1" applyAlignment="1">
      <alignment vertical="center"/>
    </xf>
    <xf numFmtId="0" fontId="30" fillId="6" borderId="0" xfId="0" applyFont="1" applyFill="1" applyAlignment="1">
      <alignment vertical="center"/>
    </xf>
    <xf numFmtId="0" fontId="15" fillId="6" borderId="0" xfId="0" applyFont="1" applyFill="1" applyAlignment="1">
      <alignment vertical="center"/>
    </xf>
    <xf numFmtId="0" fontId="26" fillId="6" borderId="0" xfId="0" applyFont="1" applyFill="1" applyAlignment="1">
      <alignment horizontal="center" vertical="center"/>
    </xf>
    <xf numFmtId="0" fontId="16" fillId="10" borderId="0" xfId="0" applyFont="1" applyFill="1" applyAlignment="1">
      <alignment vertical="center"/>
    </xf>
    <xf numFmtId="0" fontId="32" fillId="4" borderId="0" xfId="16" applyFont="1" applyFill="1" applyBorder="1" applyAlignment="1">
      <alignment horizontal="left" vertical="center" wrapText="1"/>
    </xf>
    <xf numFmtId="164" fontId="15" fillId="6" borderId="0" xfId="4" applyFont="1" applyFill="1" applyAlignment="1">
      <alignment vertical="center"/>
    </xf>
    <xf numFmtId="0" fontId="29" fillId="4" borderId="0" xfId="16" applyFont="1" applyFill="1" applyBorder="1" applyAlignment="1">
      <alignment horizontal="left" vertical="center" wrapText="1"/>
    </xf>
    <xf numFmtId="0" fontId="29" fillId="4" borderId="0" xfId="16" applyFont="1" applyFill="1" applyBorder="1" applyAlignment="1">
      <alignment horizontal="left" vertical="center"/>
    </xf>
    <xf numFmtId="0" fontId="29" fillId="4" borderId="0" xfId="0" applyFont="1" applyFill="1" applyAlignment="1">
      <alignment vertical="center"/>
    </xf>
    <xf numFmtId="174" fontId="29" fillId="4" borderId="0" xfId="4" applyNumberFormat="1" applyFont="1" applyFill="1" applyBorder="1" applyAlignment="1">
      <alignment vertical="center"/>
    </xf>
    <xf numFmtId="164" fontId="29" fillId="12" borderId="0" xfId="4" applyFont="1" applyFill="1" applyBorder="1" applyAlignment="1">
      <alignment vertical="center" wrapText="1"/>
    </xf>
    <xf numFmtId="0" fontId="16" fillId="7" borderId="4" xfId="15" applyFont="1" applyFill="1" applyBorder="1" applyAlignment="1">
      <alignment horizontal="center"/>
    </xf>
    <xf numFmtId="0" fontId="16" fillId="7" borderId="5" xfId="15" applyFont="1" applyFill="1" applyBorder="1" applyAlignment="1">
      <alignment horizontal="center"/>
    </xf>
    <xf numFmtId="174" fontId="16" fillId="4" borderId="0" xfId="15" applyNumberFormat="1" applyFont="1" applyFill="1"/>
    <xf numFmtId="0" fontId="15" fillId="6" borderId="5" xfId="15" quotePrefix="1" applyFont="1" applyFill="1" applyBorder="1" applyAlignment="1">
      <alignment horizontal="center" vertical="center" wrapText="1"/>
    </xf>
    <xf numFmtId="174" fontId="16" fillId="4" borderId="3" xfId="4" applyNumberFormat="1" applyFont="1" applyFill="1" applyBorder="1" applyAlignment="1">
      <alignment horizontal="center"/>
    </xf>
    <xf numFmtId="174" fontId="16" fillId="8" borderId="0" xfId="4" applyNumberFormat="1" applyFont="1" applyFill="1" applyBorder="1"/>
    <xf numFmtId="10" fontId="15" fillId="6" borderId="5" xfId="12" applyNumberFormat="1" applyFont="1" applyFill="1" applyBorder="1" applyAlignment="1">
      <alignment vertical="center"/>
    </xf>
    <xf numFmtId="164" fontId="16" fillId="7" borderId="15" xfId="4" applyFont="1" applyFill="1" applyBorder="1" applyAlignment="1">
      <alignment horizontal="center"/>
    </xf>
    <xf numFmtId="174" fontId="21" fillId="4" borderId="5" xfId="4" applyNumberFormat="1" applyFont="1" applyFill="1" applyBorder="1"/>
    <xf numFmtId="0" fontId="29" fillId="4" borderId="0" xfId="0" applyFont="1" applyFill="1"/>
    <xf numFmtId="174" fontId="29" fillId="4" borderId="0" xfId="4" applyNumberFormat="1" applyFont="1" applyFill="1"/>
    <xf numFmtId="0" fontId="29" fillId="8" borderId="0" xfId="0" applyFont="1" applyFill="1"/>
    <xf numFmtId="174" fontId="29" fillId="3" borderId="0" xfId="4" applyNumberFormat="1" applyFont="1" applyFill="1"/>
    <xf numFmtId="164" fontId="29" fillId="4" borderId="0" xfId="4" applyFont="1" applyFill="1"/>
    <xf numFmtId="174" fontId="29" fillId="4" borderId="17" xfId="4" applyNumberFormat="1" applyFont="1" applyFill="1" applyBorder="1"/>
    <xf numFmtId="174" fontId="33" fillId="4" borderId="0" xfId="4" applyNumberFormat="1" applyFont="1" applyFill="1"/>
    <xf numFmtId="0" fontId="33" fillId="4" borderId="0" xfId="0" applyFont="1" applyFill="1"/>
    <xf numFmtId="0" fontId="29" fillId="4" borderId="0" xfId="0" applyFont="1" applyFill="1" applyAlignment="1">
      <alignment horizontal="right"/>
    </xf>
    <xf numFmtId="0" fontId="29" fillId="4" borderId="0" xfId="0" applyFont="1" applyFill="1" applyAlignment="1">
      <alignment horizontal="left"/>
    </xf>
    <xf numFmtId="164" fontId="18" fillId="4" borderId="0" xfId="4" applyFont="1" applyFill="1" applyAlignment="1">
      <alignment vertical="center"/>
    </xf>
    <xf numFmtId="164" fontId="21" fillId="4" borderId="5" xfId="4" applyFont="1" applyFill="1" applyBorder="1"/>
    <xf numFmtId="164" fontId="21" fillId="4" borderId="15" xfId="4" applyFont="1" applyFill="1" applyBorder="1"/>
    <xf numFmtId="0" fontId="16" fillId="0" borderId="9" xfId="0" applyFont="1" applyFill="1" applyBorder="1" applyAlignment="1">
      <alignment horizontal="center"/>
    </xf>
    <xf numFmtId="3" fontId="16" fillId="0" borderId="5" xfId="0" applyNumberFormat="1" applyFont="1" applyFill="1" applyBorder="1"/>
    <xf numFmtId="174" fontId="16" fillId="0" borderId="11" xfId="4" applyNumberFormat="1" applyFont="1" applyFill="1" applyBorder="1"/>
    <xf numFmtId="174" fontId="16" fillId="0" borderId="5" xfId="4" applyNumberFormat="1" applyFont="1" applyFill="1" applyBorder="1"/>
    <xf numFmtId="174" fontId="16" fillId="0" borderId="9" xfId="4" applyNumberFormat="1" applyFont="1" applyFill="1" applyBorder="1"/>
    <xf numFmtId="0" fontId="5" fillId="0" borderId="0" xfId="0" applyFont="1" applyFill="1" applyAlignment="1">
      <alignment horizontal="left"/>
    </xf>
    <xf numFmtId="0" fontId="16" fillId="0" borderId="0" xfId="0" applyFont="1" applyFill="1"/>
    <xf numFmtId="164" fontId="15" fillId="6" borderId="3" xfId="4" applyNumberFormat="1" applyFont="1" applyFill="1" applyBorder="1" applyAlignment="1">
      <alignment horizontal="center" vertical="top" wrapText="1"/>
    </xf>
    <xf numFmtId="164" fontId="15" fillId="6" borderId="3" xfId="4" applyNumberFormat="1" applyFont="1" applyFill="1" applyBorder="1" applyAlignment="1">
      <alignment horizontal="center" vertical="center" wrapText="1"/>
    </xf>
    <xf numFmtId="164" fontId="15" fillId="6" borderId="3" xfId="15" quotePrefix="1" applyNumberFormat="1" applyFont="1" applyFill="1" applyBorder="1" applyAlignment="1">
      <alignment horizontal="center" vertical="center" wrapText="1"/>
    </xf>
    <xf numFmtId="10" fontId="16" fillId="8" borderId="3" xfId="12" applyNumberFormat="1" applyFont="1" applyFill="1" applyBorder="1"/>
    <xf numFmtId="2" fontId="16" fillId="8" borderId="15" xfId="0" applyNumberFormat="1" applyFont="1" applyFill="1" applyBorder="1" applyAlignment="1"/>
    <xf numFmtId="2" fontId="16" fillId="7" borderId="4" xfId="0" applyNumberFormat="1" applyFont="1" applyFill="1" applyBorder="1" applyAlignment="1"/>
    <xf numFmtId="2" fontId="16" fillId="8" borderId="15" xfId="4" applyNumberFormat="1" applyFont="1" applyFill="1" applyBorder="1"/>
    <xf numFmtId="4" fontId="16" fillId="4" borderId="4" xfId="0" applyNumberFormat="1" applyFont="1" applyFill="1" applyBorder="1"/>
    <xf numFmtId="4" fontId="16" fillId="4" borderId="5" xfId="0" applyNumberFormat="1" applyFont="1" applyFill="1" applyBorder="1"/>
    <xf numFmtId="4" fontId="16" fillId="0" borderId="5" xfId="0" applyNumberFormat="1" applyFont="1" applyFill="1" applyBorder="1"/>
    <xf numFmtId="4" fontId="16" fillId="4" borderId="3" xfId="0" applyNumberFormat="1" applyFont="1" applyFill="1" applyBorder="1"/>
    <xf numFmtId="164" fontId="16" fillId="4" borderId="5" xfId="4" applyNumberFormat="1" applyFont="1" applyFill="1" applyBorder="1"/>
    <xf numFmtId="175" fontId="16" fillId="5" borderId="15" xfId="4" applyNumberFormat="1" applyFont="1" applyFill="1" applyBorder="1"/>
    <xf numFmtId="0" fontId="18" fillId="4" borderId="0" xfId="0" applyFont="1" applyFill="1" applyAlignment="1">
      <alignment vertical="center"/>
    </xf>
    <xf numFmtId="174" fontId="16" fillId="7" borderId="15" xfId="4" applyNumberFormat="1" applyFont="1" applyFill="1" applyBorder="1" applyAlignment="1">
      <alignment horizontal="center" vertical="center" wrapText="1"/>
    </xf>
    <xf numFmtId="170" fontId="16" fillId="8" borderId="15" xfId="0" applyNumberFormat="1" applyFont="1" applyFill="1" applyBorder="1"/>
    <xf numFmtId="170" fontId="16" fillId="7" borderId="15" xfId="0" applyNumberFormat="1" applyFont="1" applyFill="1" applyBorder="1"/>
    <xf numFmtId="166" fontId="16" fillId="7" borderId="15" xfId="0" applyNumberFormat="1" applyFont="1" applyFill="1" applyBorder="1"/>
    <xf numFmtId="0" fontId="15" fillId="6" borderId="10" xfId="0" applyFont="1" applyFill="1" applyBorder="1" applyAlignment="1">
      <alignment horizontal="center" vertical="center" wrapText="1"/>
    </xf>
    <xf numFmtId="166" fontId="15" fillId="6" borderId="13" xfId="12" applyNumberFormat="1" applyFont="1" applyFill="1" applyBorder="1" applyAlignment="1">
      <alignment horizontal="center" vertical="center" wrapText="1"/>
    </xf>
    <xf numFmtId="0" fontId="0" fillId="4" borderId="0" xfId="0" applyFill="1"/>
    <xf numFmtId="166" fontId="15" fillId="6" borderId="17" xfId="12" applyNumberFormat="1" applyFont="1" applyFill="1" applyBorder="1" applyAlignment="1">
      <alignment horizontal="center" vertical="center" wrapText="1"/>
    </xf>
    <xf numFmtId="166" fontId="15" fillId="6" borderId="17" xfId="12" applyNumberFormat="1" applyFont="1" applyFill="1" applyBorder="1" applyAlignment="1">
      <alignment vertical="center" wrapText="1"/>
    </xf>
    <xf numFmtId="0" fontId="37" fillId="4" borderId="0" xfId="0" applyFont="1" applyFill="1" applyAlignment="1">
      <alignment horizontal="right"/>
    </xf>
    <xf numFmtId="174" fontId="29" fillId="12" borderId="20" xfId="4" applyNumberFormat="1" applyFont="1" applyFill="1" applyBorder="1"/>
    <xf numFmtId="174" fontId="29" fillId="12" borderId="0" xfId="4" applyNumberFormat="1" applyFont="1" applyFill="1"/>
    <xf numFmtId="174" fontId="29" fillId="12" borderId="24" xfId="4" applyNumberFormat="1" applyFont="1" applyFill="1" applyBorder="1"/>
    <xf numFmtId="174" fontId="29" fillId="12" borderId="17" xfId="4" applyNumberFormat="1" applyFont="1" applyFill="1" applyBorder="1"/>
    <xf numFmtId="0" fontId="29" fillId="3" borderId="22" xfId="0" applyFont="1" applyFill="1" applyBorder="1" applyAlignment="1">
      <alignment horizontal="center" vertical="center" wrapText="1"/>
    </xf>
    <xf numFmtId="174" fontId="29" fillId="3" borderId="21" xfId="4" applyNumberFormat="1" applyFont="1" applyFill="1" applyBorder="1" applyAlignment="1">
      <alignment horizontal="center" vertical="center" wrapText="1"/>
    </xf>
    <xf numFmtId="0" fontId="29" fillId="3" borderId="20" xfId="0" applyFont="1" applyFill="1" applyBorder="1"/>
    <xf numFmtId="174" fontId="29" fillId="12" borderId="20" xfId="0" applyNumberFormat="1" applyFont="1" applyFill="1" applyBorder="1"/>
    <xf numFmtId="174" fontId="33" fillId="12" borderId="23" xfId="0" applyNumberFormat="1" applyFont="1" applyFill="1" applyBorder="1"/>
    <xf numFmtId="0" fontId="33" fillId="3" borderId="22" xfId="0" applyFont="1" applyFill="1" applyBorder="1" applyAlignment="1">
      <alignment horizontal="center" vertical="center" wrapText="1"/>
    </xf>
    <xf numFmtId="0" fontId="21" fillId="4" borderId="0" xfId="0" applyFont="1" applyFill="1" applyBorder="1"/>
    <xf numFmtId="174" fontId="39" fillId="4" borderId="0" xfId="4" applyNumberFormat="1" applyFont="1" applyFill="1" applyAlignment="1">
      <alignment horizontal="center"/>
    </xf>
    <xf numFmtId="174" fontId="39" fillId="4" borderId="0" xfId="4" applyNumberFormat="1" applyFont="1" applyFill="1" applyAlignment="1">
      <alignment horizontal="left"/>
    </xf>
    <xf numFmtId="174" fontId="40" fillId="6" borderId="15" xfId="4" applyNumberFormat="1" applyFont="1" applyFill="1" applyBorder="1" applyAlignment="1">
      <alignment horizontal="center"/>
    </xf>
    <xf numFmtId="174" fontId="39" fillId="4" borderId="15" xfId="4" applyNumberFormat="1" applyFont="1" applyFill="1" applyBorder="1"/>
    <xf numFmtId="174" fontId="39" fillId="4" borderId="0" xfId="4" applyNumberFormat="1" applyFont="1" applyFill="1"/>
    <xf numFmtId="0" fontId="39" fillId="4" borderId="0" xfId="0" applyNumberFormat="1" applyFont="1" applyFill="1" applyAlignment="1">
      <alignment horizontal="center"/>
    </xf>
    <xf numFmtId="174" fontId="41" fillId="4" borderId="0" xfId="4" applyNumberFormat="1" applyFont="1" applyFill="1"/>
    <xf numFmtId="164" fontId="39" fillId="4" borderId="0" xfId="4" applyFont="1" applyFill="1"/>
    <xf numFmtId="0" fontId="39" fillId="4" borderId="0" xfId="0" applyFont="1" applyFill="1"/>
    <xf numFmtId="0" fontId="39" fillId="4" borderId="0" xfId="0" applyNumberFormat="1" applyFont="1" applyFill="1" applyAlignment="1">
      <alignment horizontal="left"/>
    </xf>
    <xf numFmtId="0" fontId="39" fillId="4" borderId="0" xfId="0" applyFont="1" applyFill="1" applyAlignment="1">
      <alignment horizontal="center" vertical="top" wrapText="1"/>
    </xf>
    <xf numFmtId="174" fontId="40" fillId="6" borderId="4" xfId="4" applyNumberFormat="1" applyFont="1" applyFill="1" applyBorder="1" applyAlignment="1">
      <alignment horizontal="center"/>
    </xf>
    <xf numFmtId="0" fontId="40" fillId="6" borderId="15" xfId="4" quotePrefix="1" applyNumberFormat="1" applyFont="1" applyFill="1" applyBorder="1" applyAlignment="1">
      <alignment horizontal="center"/>
    </xf>
    <xf numFmtId="0" fontId="39" fillId="4" borderId="0" xfId="0" applyFont="1" applyFill="1" applyAlignment="1">
      <alignment horizontal="center"/>
    </xf>
    <xf numFmtId="0" fontId="39" fillId="4" borderId="5" xfId="0" applyNumberFormat="1" applyFont="1" applyFill="1" applyBorder="1" applyAlignment="1">
      <alignment horizontal="center"/>
    </xf>
    <xf numFmtId="3" fontId="39" fillId="4" borderId="9" xfId="0" applyNumberFormat="1" applyFont="1" applyFill="1" applyBorder="1"/>
    <xf numFmtId="174" fontId="39" fillId="4" borderId="5" xfId="4" applyNumberFormat="1" applyFont="1" applyFill="1" applyBorder="1"/>
    <xf numFmtId="174" fontId="39" fillId="4" borderId="4" xfId="4" applyNumberFormat="1" applyFont="1" applyFill="1" applyBorder="1"/>
    <xf numFmtId="174" fontId="39" fillId="4" borderId="0" xfId="4" applyNumberFormat="1" applyFont="1" applyFill="1" applyBorder="1"/>
    <xf numFmtId="174" fontId="39" fillId="3" borderId="0" xfId="4" applyNumberFormat="1" applyFont="1" applyFill="1" applyBorder="1"/>
    <xf numFmtId="2" fontId="39" fillId="4" borderId="5" xfId="0" applyNumberFormat="1" applyFont="1" applyFill="1" applyBorder="1"/>
    <xf numFmtId="174" fontId="39" fillId="4" borderId="3" xfId="4" applyNumberFormat="1" applyFont="1" applyFill="1" applyBorder="1"/>
    <xf numFmtId="0" fontId="39" fillId="4" borderId="15" xfId="0" applyNumberFormat="1" applyFont="1" applyFill="1" applyBorder="1" applyAlignment="1">
      <alignment horizontal="center"/>
    </xf>
    <xf numFmtId="165" fontId="39" fillId="4" borderId="18" xfId="0" applyNumberFormat="1" applyFont="1" applyFill="1" applyBorder="1" applyAlignment="1">
      <alignment horizontal="center"/>
    </xf>
    <xf numFmtId="174" fontId="39" fillId="3" borderId="15" xfId="4" applyNumberFormat="1" applyFont="1" applyFill="1" applyBorder="1"/>
    <xf numFmtId="2" fontId="39" fillId="4" borderId="15" xfId="0" applyNumberFormat="1" applyFont="1" applyFill="1" applyBorder="1"/>
    <xf numFmtId="165" fontId="39" fillId="4" borderId="0" xfId="0" applyNumberFormat="1" applyFont="1" applyFill="1"/>
    <xf numFmtId="3" fontId="39" fillId="4" borderId="0" xfId="0" applyNumberFormat="1" applyFont="1" applyFill="1"/>
    <xf numFmtId="174" fontId="39" fillId="2" borderId="4" xfId="4" applyNumberFormat="1" applyFont="1" applyFill="1" applyBorder="1"/>
    <xf numFmtId="174" fontId="39" fillId="2" borderId="5" xfId="4" applyNumberFormat="1" applyFont="1" applyFill="1" applyBorder="1"/>
    <xf numFmtId="174" fontId="39" fillId="2" borderId="3" xfId="4" applyNumberFormat="1" applyFont="1" applyFill="1" applyBorder="1"/>
    <xf numFmtId="174" fontId="39" fillId="3" borderId="7" xfId="4" applyNumberFormat="1" applyFont="1" applyFill="1" applyBorder="1"/>
    <xf numFmtId="174" fontId="39" fillId="2" borderId="8" xfId="4" applyNumberFormat="1" applyFont="1" applyFill="1" applyBorder="1"/>
    <xf numFmtId="174" fontId="39" fillId="2" borderId="9" xfId="4" applyNumberFormat="1" applyFont="1" applyFill="1" applyBorder="1"/>
    <xf numFmtId="174" fontId="39" fillId="2" borderId="10" xfId="4" applyNumberFormat="1" applyFont="1" applyFill="1" applyBorder="1"/>
    <xf numFmtId="174" fontId="39" fillId="3" borderId="6" xfId="4" applyNumberFormat="1" applyFont="1" applyFill="1" applyBorder="1"/>
    <xf numFmtId="174" fontId="39" fillId="4" borderId="12" xfId="4" applyNumberFormat="1" applyFont="1" applyFill="1" applyBorder="1"/>
    <xf numFmtId="174" fontId="39" fillId="4" borderId="11" xfId="4" applyNumberFormat="1" applyFont="1" applyFill="1" applyBorder="1"/>
    <xf numFmtId="174" fontId="39" fillId="4" borderId="13" xfId="4" applyNumberFormat="1" applyFont="1" applyFill="1" applyBorder="1"/>
    <xf numFmtId="174" fontId="39" fillId="0" borderId="5" xfId="4" applyNumberFormat="1" applyFont="1" applyFill="1" applyBorder="1"/>
    <xf numFmtId="174" fontId="39" fillId="0" borderId="0" xfId="4" applyNumberFormat="1" applyFont="1" applyFill="1"/>
    <xf numFmtId="174" fontId="39" fillId="0" borderId="0" xfId="4" applyNumberFormat="1" applyFont="1" applyFill="1" applyBorder="1"/>
    <xf numFmtId="0" fontId="29" fillId="10" borderId="0" xfId="0" applyFont="1" applyFill="1" applyAlignment="1">
      <alignment horizontal="right"/>
    </xf>
    <xf numFmtId="164" fontId="39" fillId="4" borderId="9" xfId="4" applyFont="1" applyFill="1" applyBorder="1" applyAlignment="1">
      <alignment horizontal="center"/>
    </xf>
    <xf numFmtId="14" fontId="40" fillId="6" borderId="4" xfId="0" applyNumberFormat="1" applyFont="1" applyFill="1" applyBorder="1" applyAlignment="1">
      <alignment horizontal="center"/>
    </xf>
    <xf numFmtId="164" fontId="39" fillId="4" borderId="18" xfId="4" applyFont="1" applyFill="1" applyBorder="1"/>
    <xf numFmtId="174" fontId="39" fillId="4" borderId="7" xfId="4" applyNumberFormat="1" applyFont="1" applyFill="1" applyBorder="1"/>
    <xf numFmtId="2" fontId="39" fillId="13" borderId="5" xfId="0" applyNumberFormat="1" applyFont="1" applyFill="1" applyBorder="1"/>
    <xf numFmtId="171" fontId="21" fillId="3" borderId="4" xfId="19" applyNumberFormat="1" applyFont="1" applyFill="1" applyBorder="1"/>
    <xf numFmtId="171" fontId="21" fillId="3" borderId="5" xfId="19" applyNumberFormat="1" applyFont="1" applyFill="1" applyBorder="1"/>
    <xf numFmtId="164" fontId="16" fillId="4" borderId="0" xfId="4" applyFont="1" applyFill="1"/>
    <xf numFmtId="164" fontId="16" fillId="4" borderId="15" xfId="4" applyFont="1" applyFill="1" applyBorder="1"/>
    <xf numFmtId="164" fontId="16" fillId="4" borderId="5" xfId="4" applyFont="1" applyFill="1" applyBorder="1"/>
    <xf numFmtId="164" fontId="16" fillId="4" borderId="4" xfId="4" applyFont="1" applyFill="1" applyBorder="1"/>
    <xf numFmtId="164" fontId="16" fillId="4" borderId="3" xfId="4" applyFont="1" applyFill="1" applyBorder="1"/>
    <xf numFmtId="164" fontId="16" fillId="4" borderId="0" xfId="4" applyFont="1" applyFill="1" applyAlignment="1">
      <alignment vertical="center"/>
    </xf>
    <xf numFmtId="174" fontId="21" fillId="4" borderId="15" xfId="4" applyNumberFormat="1" applyFont="1" applyFill="1" applyBorder="1"/>
    <xf numFmtId="171" fontId="21" fillId="5" borderId="15" xfId="0" applyNumberFormat="1" applyFont="1" applyFill="1" applyBorder="1"/>
    <xf numFmtId="171" fontId="21" fillId="4" borderId="15" xfId="0" applyNumberFormat="1" applyFont="1" applyFill="1" applyBorder="1"/>
    <xf numFmtId="171" fontId="21" fillId="4" borderId="0" xfId="0" applyNumberFormat="1" applyFont="1" applyFill="1" applyBorder="1"/>
    <xf numFmtId="174" fontId="29" fillId="4" borderId="0" xfId="4" applyNumberFormat="1" applyFont="1" applyFill="1" applyAlignment="1">
      <alignment horizontal="right"/>
    </xf>
    <xf numFmtId="3" fontId="16" fillId="3" borderId="9" xfId="0" applyNumberFormat="1" applyFont="1" applyFill="1" applyBorder="1"/>
    <xf numFmtId="3" fontId="16" fillId="3" borderId="8" xfId="0" applyNumberFormat="1" applyFont="1" applyFill="1" applyBorder="1"/>
    <xf numFmtId="3" fontId="16" fillId="3" borderId="10" xfId="0" applyNumberFormat="1" applyFont="1" applyFill="1" applyBorder="1"/>
    <xf numFmtId="174" fontId="16" fillId="5" borderId="5" xfId="4" applyNumberFormat="1" applyFont="1" applyFill="1" applyBorder="1"/>
    <xf numFmtId="174" fontId="29" fillId="4" borderId="0" xfId="4" applyNumberFormat="1" applyFont="1" applyFill="1" applyAlignment="1"/>
    <xf numFmtId="0" fontId="39" fillId="0" borderId="5" xfId="0" applyNumberFormat="1" applyFont="1" applyFill="1" applyBorder="1" applyAlignment="1">
      <alignment horizontal="center"/>
    </xf>
    <xf numFmtId="3" fontId="39" fillId="0" borderId="9" xfId="0" applyNumberFormat="1" applyFont="1" applyFill="1" applyBorder="1"/>
    <xf numFmtId="174" fontId="39" fillId="0" borderId="11" xfId="4" applyNumberFormat="1" applyFont="1" applyFill="1" applyBorder="1"/>
    <xf numFmtId="164" fontId="39" fillId="0" borderId="9" xfId="4" applyFont="1" applyFill="1" applyBorder="1" applyAlignment="1">
      <alignment horizontal="center"/>
    </xf>
    <xf numFmtId="2" fontId="39" fillId="0" borderId="5" xfId="0" applyNumberFormat="1" applyFont="1" applyFill="1" applyBorder="1"/>
    <xf numFmtId="0" fontId="39" fillId="0" borderId="0" xfId="0" applyFont="1" applyFill="1"/>
    <xf numFmtId="0" fontId="36" fillId="4" borderId="0" xfId="0" applyFont="1" applyFill="1" applyAlignment="1">
      <alignment horizontal="center"/>
    </xf>
    <xf numFmtId="0" fontId="24" fillId="9" borderId="0" xfId="0" applyFont="1" applyFill="1" applyAlignment="1">
      <alignment horizontal="center"/>
    </xf>
    <xf numFmtId="0" fontId="38" fillId="4" borderId="0" xfId="0" applyFont="1" applyFill="1" applyAlignment="1">
      <alignment horizontal="left" vertical="top" wrapText="1"/>
    </xf>
    <xf numFmtId="0" fontId="23" fillId="11" borderId="0" xfId="0" applyFont="1" applyFill="1" applyAlignment="1">
      <alignment horizontal="center"/>
    </xf>
    <xf numFmtId="0" fontId="27" fillId="4" borderId="0" xfId="0" applyFont="1" applyFill="1" applyAlignment="1">
      <alignment horizontal="center"/>
    </xf>
    <xf numFmtId="0" fontId="29" fillId="4" borderId="0" xfId="16" applyFont="1" applyFill="1" applyBorder="1" applyAlignment="1">
      <alignment horizontal="left" vertical="top" wrapText="1"/>
    </xf>
    <xf numFmtId="177" fontId="29" fillId="4" borderId="0" xfId="16" applyNumberFormat="1" applyFont="1" applyFill="1" applyBorder="1" applyAlignment="1">
      <alignment horizontal="left" vertical="top" wrapText="1"/>
    </xf>
    <xf numFmtId="4" fontId="40" fillId="6" borderId="4" xfId="0" applyNumberFormat="1" applyFont="1" applyFill="1" applyBorder="1" applyAlignment="1">
      <alignment horizontal="center" vertical="center" textRotation="90" wrapText="1"/>
    </xf>
    <xf numFmtId="4" fontId="40" fillId="6" borderId="5" xfId="0" applyNumberFormat="1" applyFont="1" applyFill="1" applyBorder="1" applyAlignment="1">
      <alignment horizontal="center" vertical="center" textRotation="90" wrapText="1"/>
    </xf>
    <xf numFmtId="4" fontId="40" fillId="6" borderId="3" xfId="0" applyNumberFormat="1" applyFont="1" applyFill="1" applyBorder="1" applyAlignment="1">
      <alignment horizontal="center" vertical="center" textRotation="90" wrapText="1"/>
    </xf>
    <xf numFmtId="174" fontId="40" fillId="6" borderId="4" xfId="4" applyNumberFormat="1" applyFont="1" applyFill="1" applyBorder="1" applyAlignment="1">
      <alignment horizontal="center" vertical="center" textRotation="90" wrapText="1"/>
    </xf>
    <xf numFmtId="174" fontId="40" fillId="6" borderId="3" xfId="4" applyNumberFormat="1" applyFont="1" applyFill="1" applyBorder="1" applyAlignment="1">
      <alignment horizontal="center" vertical="center" textRotation="90" wrapText="1"/>
    </xf>
    <xf numFmtId="174" fontId="40" fillId="6" borderId="12" xfId="4" applyNumberFormat="1" applyFont="1" applyFill="1" applyBorder="1" applyAlignment="1">
      <alignment horizontal="center" vertical="center" textRotation="90" wrapText="1"/>
    </xf>
    <xf numFmtId="174" fontId="40" fillId="6" borderId="13" xfId="4" applyNumberFormat="1" applyFont="1" applyFill="1" applyBorder="1" applyAlignment="1">
      <alignment horizontal="center" vertical="center" textRotation="90" wrapText="1"/>
    </xf>
    <xf numFmtId="174" fontId="40" fillId="6" borderId="8" xfId="4" applyNumberFormat="1" applyFont="1" applyFill="1" applyBorder="1" applyAlignment="1">
      <alignment horizontal="center" vertical="center" textRotation="90" wrapText="1"/>
    </xf>
    <xf numFmtId="174" fontId="40" fillId="6" borderId="10" xfId="4" applyNumberFormat="1" applyFont="1" applyFill="1" applyBorder="1" applyAlignment="1">
      <alignment horizontal="center" vertical="center" textRotation="90" wrapText="1"/>
    </xf>
    <xf numFmtId="0" fontId="40" fillId="6" borderId="4" xfId="0" applyNumberFormat="1" applyFont="1" applyFill="1" applyBorder="1" applyAlignment="1">
      <alignment horizontal="center" vertical="center" wrapText="1"/>
    </xf>
    <xf numFmtId="0" fontId="40" fillId="6" borderId="5" xfId="0" applyNumberFormat="1" applyFont="1" applyFill="1" applyBorder="1" applyAlignment="1">
      <alignment horizontal="center" vertical="center" wrapText="1"/>
    </xf>
    <xf numFmtId="0" fontId="40" fillId="6" borderId="3" xfId="0" applyNumberFormat="1" applyFont="1" applyFill="1" applyBorder="1" applyAlignment="1">
      <alignment horizontal="center" vertical="center" wrapText="1"/>
    </xf>
    <xf numFmtId="3" fontId="40" fillId="6" borderId="4" xfId="0" applyNumberFormat="1" applyFont="1" applyFill="1" applyBorder="1" applyAlignment="1">
      <alignment horizontal="center" vertical="center" wrapText="1"/>
    </xf>
    <xf numFmtId="3" fontId="40" fillId="6" borderId="5" xfId="0" applyNumberFormat="1" applyFont="1" applyFill="1" applyBorder="1" applyAlignment="1">
      <alignment horizontal="center" vertical="center" wrapText="1"/>
    </xf>
    <xf numFmtId="3" fontId="40" fillId="6" borderId="3" xfId="0" applyNumberFormat="1" applyFont="1" applyFill="1" applyBorder="1" applyAlignment="1">
      <alignment horizontal="center" vertical="center" wrapText="1"/>
    </xf>
    <xf numFmtId="174" fontId="40" fillId="6" borderId="5" xfId="4" applyNumberFormat="1" applyFont="1" applyFill="1" applyBorder="1" applyAlignment="1">
      <alignment horizontal="center" vertical="center" textRotation="90" wrapText="1"/>
    </xf>
    <xf numFmtId="164" fontId="40" fillId="6" borderId="4" xfId="4" applyFont="1" applyFill="1" applyBorder="1" applyAlignment="1">
      <alignment horizontal="center" vertical="center" textRotation="90" wrapText="1"/>
    </xf>
    <xf numFmtId="164" fontId="40" fillId="6" borderId="3" xfId="4" applyFont="1" applyFill="1" applyBorder="1" applyAlignment="1">
      <alignment horizontal="center" vertical="center" textRotation="90" wrapText="1"/>
    </xf>
    <xf numFmtId="3" fontId="40" fillId="6" borderId="4" xfId="0" applyNumberFormat="1" applyFont="1" applyFill="1" applyBorder="1" applyAlignment="1">
      <alignment horizontal="center" vertical="center" textRotation="90" wrapText="1"/>
    </xf>
    <xf numFmtId="0" fontId="40" fillId="6" borderId="3" xfId="0" applyFont="1" applyFill="1" applyBorder="1" applyAlignment="1">
      <alignment horizontal="center" vertical="center" textRotation="90" wrapText="1"/>
    </xf>
    <xf numFmtId="4" fontId="15" fillId="6" borderId="4" xfId="0" applyNumberFormat="1" applyFont="1" applyFill="1" applyBorder="1" applyAlignment="1">
      <alignment horizontal="center" vertical="center" textRotation="90" wrapText="1"/>
    </xf>
    <xf numFmtId="4" fontId="15" fillId="6" borderId="5" xfId="0" applyNumberFormat="1" applyFont="1" applyFill="1" applyBorder="1" applyAlignment="1">
      <alignment horizontal="center" vertical="center" textRotation="90" wrapText="1"/>
    </xf>
    <xf numFmtId="4" fontId="15" fillId="6" borderId="3" xfId="0" applyNumberFormat="1" applyFont="1" applyFill="1" applyBorder="1" applyAlignment="1">
      <alignment horizontal="center" vertical="center" textRotation="90" wrapText="1"/>
    </xf>
    <xf numFmtId="3" fontId="15" fillId="6" borderId="4" xfId="0" applyNumberFormat="1" applyFont="1" applyFill="1" applyBorder="1" applyAlignment="1">
      <alignment horizontal="center" vertical="center" textRotation="90" wrapText="1"/>
    </xf>
    <xf numFmtId="3" fontId="15" fillId="6" borderId="5" xfId="0" applyNumberFormat="1" applyFont="1" applyFill="1" applyBorder="1" applyAlignment="1">
      <alignment horizontal="center" vertical="center" textRotation="90" wrapText="1"/>
    </xf>
    <xf numFmtId="3" fontId="15" fillId="6" borderId="3" xfId="0" applyNumberFormat="1" applyFont="1" applyFill="1" applyBorder="1" applyAlignment="1">
      <alignment horizontal="center" vertical="center" textRotation="90" wrapText="1"/>
    </xf>
    <xf numFmtId="0" fontId="15" fillId="6" borderId="4" xfId="0" applyFont="1" applyFill="1" applyBorder="1" applyAlignment="1">
      <alignment horizontal="center" vertical="center" wrapText="1"/>
    </xf>
    <xf numFmtId="0" fontId="15" fillId="6" borderId="3" xfId="0" applyFont="1" applyFill="1" applyBorder="1" applyAlignment="1">
      <alignment horizontal="center" vertical="center" wrapText="1"/>
    </xf>
    <xf numFmtId="164" fontId="15" fillId="6" borderId="4" xfId="4" applyFont="1" applyFill="1" applyBorder="1" applyAlignment="1">
      <alignment horizontal="center" vertical="center" textRotation="90" wrapText="1"/>
    </xf>
    <xf numFmtId="164" fontId="15" fillId="6" borderId="3" xfId="4" applyFont="1" applyFill="1" applyBorder="1" applyAlignment="1">
      <alignment horizontal="center" vertical="center" textRotation="90" wrapText="1"/>
    </xf>
    <xf numFmtId="0" fontId="15" fillId="6" borderId="5" xfId="0" applyFont="1" applyFill="1" applyBorder="1" applyAlignment="1">
      <alignment horizontal="center" vertical="center" wrapText="1"/>
    </xf>
    <xf numFmtId="174" fontId="15" fillId="6" borderId="4" xfId="4" applyNumberFormat="1" applyFont="1" applyFill="1" applyBorder="1" applyAlignment="1">
      <alignment horizontal="center" vertical="center" wrapText="1"/>
    </xf>
    <xf numFmtId="174" fontId="15" fillId="6" borderId="5" xfId="4" applyNumberFormat="1" applyFont="1" applyFill="1" applyBorder="1" applyAlignment="1">
      <alignment horizontal="center" vertical="center" wrapText="1"/>
    </xf>
    <xf numFmtId="174" fontId="15" fillId="6" borderId="3" xfId="4" applyNumberFormat="1" applyFont="1" applyFill="1" applyBorder="1" applyAlignment="1">
      <alignment horizontal="center" vertical="center" wrapText="1"/>
    </xf>
    <xf numFmtId="0" fontId="15" fillId="6" borderId="4" xfId="0" applyNumberFormat="1" applyFont="1" applyFill="1" applyBorder="1" applyAlignment="1">
      <alignment horizontal="center" vertical="center" wrapText="1"/>
    </xf>
    <xf numFmtId="0" fontId="15" fillId="6" borderId="5" xfId="0" applyNumberFormat="1" applyFont="1" applyFill="1" applyBorder="1" applyAlignment="1">
      <alignment horizontal="center" vertical="center" wrapText="1"/>
    </xf>
    <xf numFmtId="0" fontId="15" fillId="6" borderId="3" xfId="0" applyNumberFormat="1" applyFont="1" applyFill="1" applyBorder="1" applyAlignment="1">
      <alignment horizontal="center" vertical="center" wrapText="1"/>
    </xf>
    <xf numFmtId="3" fontId="15" fillId="6" borderId="4" xfId="0" applyNumberFormat="1" applyFont="1" applyFill="1" applyBorder="1" applyAlignment="1">
      <alignment horizontal="center" vertical="center" wrapText="1"/>
    </xf>
    <xf numFmtId="3" fontId="15" fillId="6" borderId="5" xfId="0" applyNumberFormat="1" applyFont="1" applyFill="1" applyBorder="1" applyAlignment="1">
      <alignment horizontal="center" vertical="center" wrapText="1"/>
    </xf>
    <xf numFmtId="3" fontId="15" fillId="6" borderId="3" xfId="0" applyNumberFormat="1" applyFont="1" applyFill="1" applyBorder="1" applyAlignment="1">
      <alignment horizontal="center" vertical="center" wrapText="1"/>
    </xf>
    <xf numFmtId="174" fontId="15" fillId="6" borderId="4" xfId="4" applyNumberFormat="1" applyFont="1" applyFill="1" applyBorder="1" applyAlignment="1">
      <alignment horizontal="center" vertical="center" textRotation="90" wrapText="1"/>
    </xf>
    <xf numFmtId="174" fontId="15" fillId="6" borderId="5" xfId="4" applyNumberFormat="1" applyFont="1" applyFill="1" applyBorder="1" applyAlignment="1">
      <alignment horizontal="center" vertical="center" textRotation="90" wrapText="1"/>
    </xf>
    <xf numFmtId="174" fontId="15" fillId="6" borderId="3" xfId="4" applyNumberFormat="1" applyFont="1" applyFill="1" applyBorder="1" applyAlignment="1">
      <alignment horizontal="center" vertical="center" textRotation="90" wrapText="1"/>
    </xf>
    <xf numFmtId="4" fontId="15" fillId="6" borderId="4" xfId="0" applyNumberFormat="1" applyFont="1" applyFill="1" applyBorder="1" applyAlignment="1">
      <alignment horizontal="center" vertical="center" wrapText="1"/>
    </xf>
    <xf numFmtId="4" fontId="15" fillId="6" borderId="3" xfId="0" applyNumberFormat="1" applyFont="1" applyFill="1" applyBorder="1" applyAlignment="1">
      <alignment horizontal="center" vertical="center" wrapText="1"/>
    </xf>
    <xf numFmtId="10" fontId="15" fillId="6" borderId="4" xfId="12" applyNumberFormat="1" applyFont="1" applyFill="1" applyBorder="1" applyAlignment="1">
      <alignment horizontal="center" vertical="center" wrapText="1"/>
    </xf>
    <xf numFmtId="10" fontId="15" fillId="6" borderId="5" xfId="12" applyNumberFormat="1" applyFont="1" applyFill="1" applyBorder="1" applyAlignment="1">
      <alignment horizontal="center" vertical="center" wrapText="1"/>
    </xf>
    <xf numFmtId="0" fontId="15" fillId="6" borderId="18" xfId="0" applyFont="1" applyFill="1" applyBorder="1" applyAlignment="1">
      <alignment horizontal="center" vertical="center"/>
    </xf>
    <xf numFmtId="0" fontId="15" fillId="6" borderId="6" xfId="0" applyFont="1" applyFill="1" applyBorder="1" applyAlignment="1">
      <alignment horizontal="center" vertical="center"/>
    </xf>
    <xf numFmtId="0" fontId="15" fillId="6" borderId="7" xfId="0" applyFont="1" applyFill="1" applyBorder="1" applyAlignment="1">
      <alignment horizontal="center" vertical="center"/>
    </xf>
    <xf numFmtId="10" fontId="15" fillId="6" borderId="3" xfId="12" applyNumberFormat="1" applyFont="1" applyFill="1" applyBorder="1" applyAlignment="1">
      <alignment horizontal="center" vertical="center" wrapText="1"/>
    </xf>
    <xf numFmtId="0" fontId="15" fillId="6" borderId="18" xfId="0" applyFont="1" applyFill="1" applyBorder="1" applyAlignment="1">
      <alignment horizontal="center" vertical="center" wrapText="1"/>
    </xf>
    <xf numFmtId="0" fontId="15" fillId="6" borderId="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15" fillId="6" borderId="13"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8" xfId="0" applyFont="1" applyFill="1" applyBorder="1" applyAlignment="1">
      <alignment horizontal="center"/>
    </xf>
    <xf numFmtId="0" fontId="15" fillId="6" borderId="6" xfId="0" applyFont="1" applyFill="1" applyBorder="1" applyAlignment="1">
      <alignment horizontal="center"/>
    </xf>
    <xf numFmtId="0" fontId="15" fillId="6" borderId="7" xfId="0" applyFont="1" applyFill="1" applyBorder="1" applyAlignment="1">
      <alignment horizontal="center"/>
    </xf>
    <xf numFmtId="164" fontId="15" fillId="6" borderId="4" xfId="4" applyFont="1" applyFill="1" applyBorder="1" applyAlignment="1">
      <alignment horizontal="center" vertical="center" wrapText="1"/>
    </xf>
    <xf numFmtId="164" fontId="15" fillId="6" borderId="5" xfId="4" applyFont="1" applyFill="1" applyBorder="1" applyAlignment="1">
      <alignment horizontal="center" vertical="center" wrapText="1"/>
    </xf>
    <xf numFmtId="0" fontId="15" fillId="6" borderId="9"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5" fillId="6" borderId="0" xfId="0" applyFont="1" applyFill="1" applyBorder="1" applyAlignment="1">
      <alignment horizontal="center" vertical="center" wrapText="1"/>
    </xf>
    <xf numFmtId="164" fontId="15" fillId="6" borderId="3" xfId="4" applyFont="1" applyFill="1" applyBorder="1" applyAlignment="1">
      <alignment horizontal="center" vertical="center" wrapText="1"/>
    </xf>
    <xf numFmtId="0" fontId="5" fillId="3" borderId="18" xfId="11" applyFont="1" applyFill="1" applyBorder="1" applyAlignment="1">
      <alignment horizontal="center"/>
    </xf>
    <xf numFmtId="0" fontId="5" fillId="3" borderId="6" xfId="11" applyFont="1" applyFill="1" applyBorder="1" applyAlignment="1">
      <alignment horizontal="center"/>
    </xf>
    <xf numFmtId="0" fontId="5" fillId="3" borderId="7" xfId="11" applyFont="1" applyFill="1" applyBorder="1" applyAlignment="1">
      <alignment horizontal="center"/>
    </xf>
    <xf numFmtId="166" fontId="15" fillId="6" borderId="4" xfId="12" applyNumberFormat="1" applyFont="1" applyFill="1" applyBorder="1" applyAlignment="1">
      <alignment horizontal="center" vertical="center" wrapText="1"/>
    </xf>
    <xf numFmtId="166" fontId="15" fillId="6" borderId="3" xfId="12" applyNumberFormat="1" applyFont="1" applyFill="1" applyBorder="1" applyAlignment="1">
      <alignment horizontal="center" vertical="center" wrapText="1"/>
    </xf>
    <xf numFmtId="0" fontId="15" fillId="6" borderId="4" xfId="15" applyFont="1" applyFill="1" applyBorder="1" applyAlignment="1">
      <alignment horizontal="center" vertical="center" wrapText="1"/>
    </xf>
    <xf numFmtId="0" fontId="15" fillId="6" borderId="3" xfId="15" applyFont="1" applyFill="1" applyBorder="1" applyAlignment="1">
      <alignment horizontal="center" vertical="center" wrapText="1"/>
    </xf>
    <xf numFmtId="0" fontId="15" fillId="6" borderId="8" xfId="15" applyFont="1" applyFill="1" applyBorder="1" applyAlignment="1">
      <alignment horizontal="center" vertical="center" wrapText="1"/>
    </xf>
    <xf numFmtId="0" fontId="15" fillId="6" borderId="10" xfId="15" applyFont="1" applyFill="1" applyBorder="1" applyAlignment="1">
      <alignment horizontal="center" vertical="center" wrapText="1"/>
    </xf>
    <xf numFmtId="0" fontId="15" fillId="4" borderId="9" xfId="0" applyFont="1" applyFill="1" applyBorder="1" applyAlignment="1">
      <alignment horizontal="center"/>
    </xf>
    <xf numFmtId="166" fontId="15" fillId="6" borderId="12" xfId="12" applyNumberFormat="1" applyFont="1" applyFill="1" applyBorder="1" applyAlignment="1">
      <alignment horizontal="center" vertical="center" wrapText="1"/>
    </xf>
    <xf numFmtId="166" fontId="15" fillId="6" borderId="13" xfId="12" applyNumberFormat="1" applyFont="1" applyFill="1" applyBorder="1" applyAlignment="1">
      <alignment horizontal="center" vertical="center" wrapText="1"/>
    </xf>
    <xf numFmtId="1" fontId="18" fillId="4" borderId="0" xfId="11" applyNumberFormat="1" applyFont="1" applyFill="1" applyAlignment="1">
      <alignment horizontal="left" vertical="center"/>
    </xf>
    <xf numFmtId="0" fontId="18" fillId="4" borderId="0" xfId="0" applyFont="1" applyFill="1" applyAlignment="1">
      <alignment vertical="center"/>
    </xf>
    <xf numFmtId="166" fontId="15" fillId="6" borderId="16" xfId="12" applyNumberFormat="1" applyFont="1" applyFill="1" applyBorder="1" applyAlignment="1">
      <alignment horizontal="center" vertical="center" wrapText="1"/>
    </xf>
    <xf numFmtId="166" fontId="15" fillId="6" borderId="8" xfId="12" applyNumberFormat="1" applyFont="1" applyFill="1" applyBorder="1" applyAlignment="1">
      <alignment horizontal="center" vertical="center" wrapText="1"/>
    </xf>
  </cellXfs>
  <cellStyles count="30">
    <cellStyle name="cexColumnHeadings" xfId="1"/>
    <cellStyle name="cexReportTitle" xfId="2"/>
    <cellStyle name="cexTableEntry" xfId="3"/>
    <cellStyle name="Milliers" xfId="4" builtinId="3"/>
    <cellStyle name="Milliers 2" xfId="5"/>
    <cellStyle name="Milliers 3" xfId="6"/>
    <cellStyle name="Milliers 3 2" xfId="17"/>
    <cellStyle name="Milliers 3 2 2" xfId="24"/>
    <cellStyle name="Milliers 3 2 3" xfId="28"/>
    <cellStyle name="Milliers 3 3" xfId="20"/>
    <cellStyle name="Milliers 3 4" xfId="26"/>
    <cellStyle name="Milliers 4" xfId="14"/>
    <cellStyle name="Milliers 4 2" xfId="22"/>
    <cellStyle name="Normal" xfId="0" builtinId="0"/>
    <cellStyle name="Normal 2" xfId="7"/>
    <cellStyle name="Normal 2 2" xfId="8"/>
    <cellStyle name="Normal 2 3" xfId="9"/>
    <cellStyle name="Normal 3" xfId="10"/>
    <cellStyle name="Normal 3 2" xfId="18"/>
    <cellStyle name="Normal 3 2 2" xfId="25"/>
    <cellStyle name="Normal 3 2 3" xfId="29"/>
    <cellStyle name="Normal 3 3" xfId="21"/>
    <cellStyle name="Normal 3 4" xfId="27"/>
    <cellStyle name="Normal 4" xfId="15"/>
    <cellStyle name="Normal 4 2" xfId="23"/>
    <cellStyle name="Normal 5" xfId="19"/>
    <cellStyle name="Normal_3crit_2002-03.xls" xfId="11"/>
    <cellStyle name="Normal_Rendement impôts-2004-SJIC" xfId="16"/>
    <cellStyle name="Pourcentage" xfId="12" builtinId="5"/>
    <cellStyle name="Pourcentage 2" xfId="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zasccl\AppData\Local\Temp\COPAR_Acomptes_2016_VFinale_23_09_2015_SITE_INTERNET-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Recherche"/>
      <sheetName val="A) Base RI"/>
      <sheetName val="B) D RI"/>
      <sheetName val="C) Prél. conj."/>
      <sheetName val="D) Ecrêtage"/>
      <sheetName val="E) Fact soc"/>
      <sheetName val="F) Population"/>
      <sheetName val="G) Solidarité"/>
      <sheetName val="H) Péréquation directe"/>
      <sheetName val="I) Dépenses thématiques"/>
      <sheetName val="J) Plafonnement effort"/>
      <sheetName val="K) Plafonnement aide"/>
      <sheetName val="L) Plafonnement taux"/>
      <sheetName val="M) Police"/>
      <sheetName val="Synthè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24">
          <cell r="F324">
            <v>703936599.65999973</v>
          </cell>
          <cell r="G324">
            <v>126491160.49087328</v>
          </cell>
          <cell r="H324">
            <v>-132509337</v>
          </cell>
          <cell r="I324">
            <v>6740246.7022361057</v>
          </cell>
          <cell r="J324">
            <v>-203846.23121607001</v>
          </cell>
          <cell r="K324">
            <v>-68223.049893038304</v>
          </cell>
          <cell r="M324">
            <v>64955762.999999993</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382"/>
  <sheetViews>
    <sheetView zoomScaleNormal="100" workbookViewId="0">
      <selection activeCell="E29" sqref="E29"/>
    </sheetView>
  </sheetViews>
  <sheetFormatPr baseColWidth="10" defaultColWidth="10.75" defaultRowHeight="15" x14ac:dyDescent="0.25"/>
  <cols>
    <col min="1" max="1" width="48" style="247" bestFit="1" customWidth="1"/>
    <col min="2" max="2" width="13.75" style="247" customWidth="1"/>
    <col min="3" max="3" width="16.625" style="247" customWidth="1"/>
    <col min="4" max="4" width="12.25" style="247" customWidth="1"/>
    <col min="5" max="6" width="11" style="247" bestFit="1" customWidth="1"/>
    <col min="7" max="7" width="12.5" style="247" bestFit="1" customWidth="1"/>
    <col min="8" max="8" width="12" style="247" bestFit="1" customWidth="1"/>
    <col min="9" max="10" width="12.125" style="247" bestFit="1" customWidth="1"/>
    <col min="11" max="11" width="14.375" style="247" bestFit="1" customWidth="1"/>
    <col min="12" max="16384" width="10.75" style="247"/>
  </cols>
  <sheetData>
    <row r="1" spans="1:6" ht="31.5" x14ac:dyDescent="0.5">
      <c r="A1" s="289" t="s">
        <v>422</v>
      </c>
    </row>
    <row r="4" spans="1:6" ht="21" x14ac:dyDescent="0.35">
      <c r="A4" s="266" t="s">
        <v>521</v>
      </c>
    </row>
    <row r="5" spans="1:6" x14ac:dyDescent="0.25">
      <c r="A5" s="247" t="s">
        <v>513</v>
      </c>
      <c r="B5" s="267" t="s">
        <v>642</v>
      </c>
    </row>
    <row r="6" spans="1:6" x14ac:dyDescent="0.25">
      <c r="A6" s="247" t="s">
        <v>610</v>
      </c>
      <c r="B6" s="267">
        <v>2015</v>
      </c>
    </row>
    <row r="7" spans="1:6" x14ac:dyDescent="0.25">
      <c r="A7" s="247" t="s">
        <v>567</v>
      </c>
      <c r="B7" s="268">
        <v>41273</v>
      </c>
    </row>
    <row r="8" spans="1:6" x14ac:dyDescent="0.25">
      <c r="A8" s="247" t="s">
        <v>568</v>
      </c>
      <c r="B8" s="338">
        <v>2016</v>
      </c>
    </row>
    <row r="10" spans="1:6" ht="21" x14ac:dyDescent="0.35">
      <c r="A10" s="266" t="s">
        <v>522</v>
      </c>
      <c r="C10" s="249"/>
      <c r="D10" s="249"/>
    </row>
    <row r="11" spans="1:6" x14ac:dyDescent="0.25">
      <c r="A11" s="247" t="s">
        <v>506</v>
      </c>
      <c r="B11" s="269">
        <v>0.5</v>
      </c>
      <c r="C11" s="257"/>
      <c r="D11" s="257"/>
    </row>
    <row r="12" spans="1:6" x14ac:dyDescent="0.25">
      <c r="A12" s="247" t="s">
        <v>616</v>
      </c>
      <c r="B12" s="269">
        <v>0.3</v>
      </c>
      <c r="C12" s="258"/>
      <c r="D12" s="258"/>
      <c r="F12" s="254"/>
    </row>
    <row r="14" spans="1:6" ht="21" x14ac:dyDescent="0.35">
      <c r="A14" s="266" t="s">
        <v>523</v>
      </c>
    </row>
    <row r="15" spans="1:6" x14ac:dyDescent="0.25">
      <c r="B15" s="259" t="s">
        <v>337</v>
      </c>
      <c r="C15" s="259" t="s">
        <v>334</v>
      </c>
      <c r="D15" s="259" t="s">
        <v>335</v>
      </c>
      <c r="E15" s="259" t="s">
        <v>454</v>
      </c>
    </row>
    <row r="16" spans="1:6" x14ac:dyDescent="0.25">
      <c r="A16" s="247" t="s">
        <v>615</v>
      </c>
      <c r="B16" s="270">
        <v>0.36</v>
      </c>
      <c r="C16" s="270">
        <v>0.46</v>
      </c>
      <c r="D16" s="270">
        <v>0.56000000000000005</v>
      </c>
      <c r="E16" s="270">
        <v>0.66</v>
      </c>
    </row>
    <row r="17" spans="1:12" x14ac:dyDescent="0.25">
      <c r="A17" s="247" t="s">
        <v>524</v>
      </c>
      <c r="B17" s="270">
        <v>1.2</v>
      </c>
      <c r="C17" s="270">
        <v>1.5</v>
      </c>
      <c r="D17" s="270">
        <v>2</v>
      </c>
      <c r="E17" s="270">
        <v>3</v>
      </c>
    </row>
    <row r="18" spans="1:12" x14ac:dyDescent="0.25">
      <c r="I18" s="249"/>
      <c r="J18" s="249"/>
      <c r="K18" s="249"/>
      <c r="L18" s="249"/>
    </row>
    <row r="19" spans="1:12" ht="21" x14ac:dyDescent="0.35">
      <c r="A19" s="266" t="s">
        <v>525</v>
      </c>
      <c r="B19" s="249"/>
      <c r="C19" s="249"/>
      <c r="D19" s="249"/>
      <c r="E19" s="260"/>
      <c r="F19" s="250"/>
      <c r="I19" s="249"/>
      <c r="J19" s="249"/>
      <c r="K19" s="249"/>
      <c r="L19" s="251"/>
    </row>
    <row r="20" spans="1:12" x14ac:dyDescent="0.25">
      <c r="A20" s="272" t="s">
        <v>612</v>
      </c>
      <c r="B20" s="276">
        <v>0</v>
      </c>
      <c r="C20" s="276">
        <v>1000</v>
      </c>
      <c r="D20" s="276">
        <v>3000</v>
      </c>
      <c r="E20" s="276">
        <v>5000</v>
      </c>
      <c r="F20" s="276">
        <v>9000</v>
      </c>
      <c r="G20" s="276">
        <v>12000</v>
      </c>
      <c r="H20" s="276">
        <v>15000</v>
      </c>
      <c r="I20" s="261"/>
      <c r="J20" s="261"/>
      <c r="K20" s="249"/>
      <c r="L20" s="249"/>
    </row>
    <row r="21" spans="1:12" x14ac:dyDescent="0.25">
      <c r="A21" s="272"/>
      <c r="B21" s="276">
        <v>1000</v>
      </c>
      <c r="C21" s="276">
        <v>3000</v>
      </c>
      <c r="D21" s="276">
        <v>5000</v>
      </c>
      <c r="E21" s="276">
        <v>9000</v>
      </c>
      <c r="F21" s="276">
        <v>12000</v>
      </c>
      <c r="G21" s="276">
        <v>15000</v>
      </c>
      <c r="H21" s="276"/>
      <c r="I21" s="261"/>
      <c r="J21" s="261"/>
      <c r="K21" s="249"/>
      <c r="L21" s="249"/>
    </row>
    <row r="22" spans="1:12" x14ac:dyDescent="0.25">
      <c r="A22" s="273" t="s">
        <v>526</v>
      </c>
      <c r="B22" s="389">
        <v>100</v>
      </c>
      <c r="C22" s="389">
        <v>350</v>
      </c>
      <c r="D22" s="389">
        <v>500</v>
      </c>
      <c r="E22" s="389">
        <v>600</v>
      </c>
      <c r="F22" s="389">
        <v>850</v>
      </c>
      <c r="G22" s="389">
        <v>1000</v>
      </c>
      <c r="H22" s="389">
        <v>1050</v>
      </c>
      <c r="I22" s="262"/>
      <c r="J22" s="262"/>
      <c r="K22" s="249"/>
      <c r="L22" s="249"/>
    </row>
    <row r="23" spans="1:12" x14ac:dyDescent="0.25">
      <c r="A23" s="249" t="s">
        <v>507</v>
      </c>
      <c r="B23" s="415">
        <v>99.4</v>
      </c>
      <c r="C23" s="271"/>
      <c r="D23" s="271"/>
      <c r="E23" s="271"/>
      <c r="F23" s="271"/>
      <c r="G23" s="271"/>
      <c r="H23" s="271"/>
      <c r="I23" s="249"/>
      <c r="J23" s="249"/>
      <c r="K23" s="249"/>
      <c r="L23" s="249"/>
    </row>
    <row r="24" spans="1:12" x14ac:dyDescent="0.25">
      <c r="A24" s="249" t="s">
        <v>508</v>
      </c>
      <c r="B24" s="416">
        <v>98</v>
      </c>
      <c r="C24" s="271"/>
      <c r="D24" s="271"/>
      <c r="E24" s="271"/>
      <c r="F24" s="271"/>
      <c r="G24" s="271"/>
      <c r="H24" s="271"/>
      <c r="I24" s="249"/>
      <c r="J24" s="249"/>
      <c r="K24" s="249"/>
      <c r="L24" s="249"/>
    </row>
    <row r="25" spans="1:12" x14ac:dyDescent="0.25">
      <c r="A25" s="249" t="s">
        <v>509</v>
      </c>
      <c r="B25" s="417">
        <f>+B22/$B$23*$B$24</f>
        <v>98.591549295774641</v>
      </c>
      <c r="C25" s="264">
        <f t="shared" ref="C25:H25" si="0">+C22/$B$23*$B$24</f>
        <v>345.07042253521126</v>
      </c>
      <c r="D25" s="264">
        <f t="shared" si="0"/>
        <v>492.95774647887322</v>
      </c>
      <c r="E25" s="264">
        <f t="shared" si="0"/>
        <v>591.54929577464782</v>
      </c>
      <c r="F25" s="264">
        <f t="shared" si="0"/>
        <v>838.02816901408448</v>
      </c>
      <c r="G25" s="264">
        <f t="shared" si="0"/>
        <v>985.91549295774644</v>
      </c>
      <c r="H25" s="264">
        <f t="shared" si="0"/>
        <v>1035.2112676056338</v>
      </c>
      <c r="I25" s="249"/>
      <c r="J25" s="249"/>
      <c r="K25" s="249"/>
      <c r="L25" s="249"/>
    </row>
    <row r="27" spans="1:12" ht="21" x14ac:dyDescent="0.35">
      <c r="A27" s="266" t="s">
        <v>527</v>
      </c>
    </row>
    <row r="28" spans="1:12" x14ac:dyDescent="0.25">
      <c r="A28" s="247" t="s">
        <v>613</v>
      </c>
      <c r="B28" s="277">
        <v>0.27</v>
      </c>
    </row>
    <row r="30" spans="1:12" ht="21" x14ac:dyDescent="0.35">
      <c r="A30" s="266" t="s">
        <v>528</v>
      </c>
    </row>
    <row r="31" spans="1:12" x14ac:dyDescent="0.25">
      <c r="A31" s="247" t="s">
        <v>424</v>
      </c>
      <c r="C31" s="252"/>
    </row>
    <row r="32" spans="1:12" x14ac:dyDescent="0.25">
      <c r="A32" s="247" t="s">
        <v>477</v>
      </c>
      <c r="B32" s="337">
        <v>2629996</v>
      </c>
      <c r="C32" s="139">
        <f>Synthèse!L324-Synthèse!F324</f>
        <v>450000.03649711609</v>
      </c>
      <c r="D32" s="275">
        <f>+'J) Plafonnement effort'!I323+'K) Plafonnement aide'!J323+'L) Plafonnement taux'!Q324</f>
        <v>2629996.0364966686</v>
      </c>
      <c r="L32" s="254"/>
    </row>
    <row r="33" spans="1:12" x14ac:dyDescent="0.25">
      <c r="A33" s="247" t="s">
        <v>614</v>
      </c>
      <c r="B33" s="337">
        <v>-450000</v>
      </c>
      <c r="C33" s="253"/>
      <c r="D33" s="254"/>
      <c r="L33" s="254"/>
    </row>
    <row r="34" spans="1:12" x14ac:dyDescent="0.25">
      <c r="G34" s="254"/>
      <c r="H34" s="255"/>
      <c r="L34" s="254"/>
    </row>
    <row r="35" spans="1:12" ht="21" x14ac:dyDescent="0.35">
      <c r="A35" s="266" t="s">
        <v>529</v>
      </c>
      <c r="G35" s="254"/>
      <c r="H35" s="255"/>
      <c r="L35" s="254"/>
    </row>
    <row r="36" spans="1:12" x14ac:dyDescent="0.25">
      <c r="A36" s="265"/>
      <c r="B36" s="279" t="s">
        <v>425</v>
      </c>
      <c r="C36" s="279" t="s">
        <v>423</v>
      </c>
      <c r="E36" s="263" t="s">
        <v>504</v>
      </c>
      <c r="F36" s="263"/>
      <c r="G36" s="281">
        <f>+'D) Ecrêtage'!M323</f>
        <v>34317025.774862766</v>
      </c>
      <c r="H36" s="283"/>
      <c r="I36" s="282" t="s">
        <v>505</v>
      </c>
      <c r="J36" s="263"/>
      <c r="K36" s="139">
        <f>+'I) Dépenses thématiques'!I323</f>
        <v>186286603.51103139</v>
      </c>
    </row>
    <row r="37" spans="1:12" x14ac:dyDescent="0.25">
      <c r="A37" s="247" t="s">
        <v>530</v>
      </c>
      <c r="B37" s="278">
        <v>8</v>
      </c>
      <c r="C37" s="259">
        <f>+H38</f>
        <v>0.70835261371947933</v>
      </c>
      <c r="E37" s="263" t="s">
        <v>611</v>
      </c>
      <c r="F37" s="263"/>
      <c r="G37" s="284">
        <v>4</v>
      </c>
      <c r="H37" s="328">
        <v>75</v>
      </c>
      <c r="I37" s="282" t="s">
        <v>250</v>
      </c>
      <c r="J37" s="263"/>
      <c r="K37" s="139">
        <f>+'I) Dépenses thématiques'!M323</f>
        <v>7498384.9831477962</v>
      </c>
    </row>
    <row r="38" spans="1:12" x14ac:dyDescent="0.25">
      <c r="A38" s="247" t="s">
        <v>617</v>
      </c>
      <c r="B38" s="278">
        <v>1</v>
      </c>
      <c r="C38" s="259">
        <f>+H38</f>
        <v>0.70835261371947933</v>
      </c>
      <c r="E38" s="263" t="s">
        <v>531</v>
      </c>
      <c r="F38" s="263"/>
      <c r="G38" s="280">
        <f>+G36*G37</f>
        <v>137268103.09945107</v>
      </c>
      <c r="H38" s="414">
        <f>IF((G38/K38)&gt;H37,H37,(G38/K38))</f>
        <v>0.70835261371947933</v>
      </c>
      <c r="I38" s="263" t="s">
        <v>171</v>
      </c>
      <c r="J38" s="263"/>
      <c r="K38" s="139">
        <f>SUM(K36:K37)</f>
        <v>193784988.49417919</v>
      </c>
    </row>
    <row r="40" spans="1:12" ht="21" x14ac:dyDescent="0.35">
      <c r="A40" s="266" t="s">
        <v>533</v>
      </c>
    </row>
    <row r="42" spans="1:12" x14ac:dyDescent="0.25">
      <c r="A42" s="247" t="s">
        <v>627</v>
      </c>
      <c r="B42" s="427">
        <v>55.298000000000002</v>
      </c>
    </row>
    <row r="43" spans="1:12" x14ac:dyDescent="0.25">
      <c r="A43" s="247" t="s">
        <v>618</v>
      </c>
      <c r="B43" s="426">
        <f>B42+B58</f>
        <v>56.131296849291822</v>
      </c>
    </row>
    <row r="44" spans="1:12" x14ac:dyDescent="0.25">
      <c r="A44" s="247" t="s">
        <v>619</v>
      </c>
      <c r="B44" s="428">
        <v>-5.5</v>
      </c>
    </row>
    <row r="45" spans="1:12" x14ac:dyDescent="0.25">
      <c r="A45" s="247" t="s">
        <v>655</v>
      </c>
      <c r="B45" s="426">
        <f>B43-B46+B47</f>
        <v>91.131296849291829</v>
      </c>
    </row>
    <row r="46" spans="1:12" x14ac:dyDescent="0.25">
      <c r="A46" s="247" t="s">
        <v>628</v>
      </c>
      <c r="B46" s="425">
        <v>50</v>
      </c>
    </row>
    <row r="47" spans="1:12" x14ac:dyDescent="0.25">
      <c r="A47" s="247" t="s">
        <v>629</v>
      </c>
      <c r="B47" s="425">
        <v>85</v>
      </c>
    </row>
    <row r="49" spans="1:6" x14ac:dyDescent="0.25">
      <c r="A49" s="256"/>
      <c r="B49" s="248"/>
    </row>
    <row r="50" spans="1:6" ht="21" x14ac:dyDescent="0.35">
      <c r="A50" s="290" t="s">
        <v>532</v>
      </c>
      <c r="B50" s="249"/>
      <c r="E50" s="249"/>
    </row>
    <row r="51" spans="1:6" ht="45" x14ac:dyDescent="0.25">
      <c r="B51" s="288" t="s">
        <v>496</v>
      </c>
      <c r="C51" s="249"/>
      <c r="D51" s="249"/>
      <c r="E51" s="249"/>
    </row>
    <row r="52" spans="1:6" x14ac:dyDescent="0.25">
      <c r="A52" s="249" t="s">
        <v>571</v>
      </c>
      <c r="B52" s="274">
        <v>710289734</v>
      </c>
      <c r="C52" s="249"/>
      <c r="D52" s="249"/>
      <c r="E52" s="249"/>
    </row>
    <row r="53" spans="1:6" x14ac:dyDescent="0.25">
      <c r="A53" s="249" t="s">
        <v>643</v>
      </c>
      <c r="B53" s="274">
        <v>740601543</v>
      </c>
      <c r="C53" s="261"/>
      <c r="D53" s="249"/>
      <c r="E53" s="249"/>
    </row>
    <row r="54" spans="1:6" x14ac:dyDescent="0.25">
      <c r="A54" s="249" t="s">
        <v>572</v>
      </c>
      <c r="B54" s="274">
        <v>35177814</v>
      </c>
      <c r="C54" s="249"/>
      <c r="D54" s="249"/>
      <c r="E54" s="249"/>
    </row>
    <row r="55" spans="1:6" x14ac:dyDescent="0.25">
      <c r="A55" s="249" t="s">
        <v>644</v>
      </c>
      <c r="B55" s="274">
        <f>'B) D RI'!U325</f>
        <v>36375763.361832626</v>
      </c>
      <c r="C55" s="261"/>
      <c r="D55" s="249"/>
      <c r="E55" s="249"/>
    </row>
    <row r="56" spans="1:6" x14ac:dyDescent="0.25">
      <c r="A56" s="249" t="s">
        <v>497</v>
      </c>
      <c r="B56" s="286">
        <f>(B53-B52)*100/B52</f>
        <v>4.2675273974887551</v>
      </c>
      <c r="C56" s="249"/>
      <c r="D56" s="249"/>
      <c r="E56" s="249"/>
    </row>
    <row r="57" spans="1:6" x14ac:dyDescent="0.25">
      <c r="A57" s="249" t="s">
        <v>498</v>
      </c>
      <c r="B57" s="286">
        <f>(B55-B54)*100/B54</f>
        <v>3.4054116092393523</v>
      </c>
      <c r="C57" s="261"/>
      <c r="D57" s="249"/>
      <c r="E57" s="249"/>
    </row>
    <row r="58" spans="1:6" x14ac:dyDescent="0.25">
      <c r="A58" s="249" t="s">
        <v>499</v>
      </c>
      <c r="B58" s="287">
        <f>(B53-B52)/B55</f>
        <v>0.83329684929182135</v>
      </c>
      <c r="C58" s="285"/>
      <c r="D58" s="249"/>
      <c r="E58" s="249"/>
    </row>
    <row r="59" spans="1:6" x14ac:dyDescent="0.25">
      <c r="A59" s="249"/>
      <c r="B59" s="249"/>
      <c r="C59" s="249"/>
      <c r="D59" s="249"/>
      <c r="E59" s="249"/>
    </row>
    <row r="60" spans="1:6" ht="21" x14ac:dyDescent="0.35">
      <c r="A60" s="290" t="s">
        <v>559</v>
      </c>
      <c r="B60" s="249"/>
      <c r="C60" s="249"/>
      <c r="D60" s="249"/>
      <c r="E60" s="249"/>
    </row>
    <row r="61" spans="1:6" x14ac:dyDescent="0.25">
      <c r="A61" s="249" t="s">
        <v>560</v>
      </c>
      <c r="B61" s="328">
        <v>2</v>
      </c>
      <c r="C61" s="249">
        <v>2013</v>
      </c>
      <c r="D61" s="387">
        <v>62118300</v>
      </c>
      <c r="E61" s="247">
        <v>2016</v>
      </c>
      <c r="F61" s="387">
        <f>D63*101.5%</f>
        <v>64955763.00176248</v>
      </c>
    </row>
    <row r="62" spans="1:6" x14ac:dyDescent="0.25">
      <c r="A62" s="249" t="s">
        <v>566</v>
      </c>
      <c r="B62" s="337">
        <v>64955763</v>
      </c>
      <c r="C62" s="249">
        <v>2014</v>
      </c>
      <c r="D62" s="387">
        <f>D61*101.5%</f>
        <v>63050074.499999993</v>
      </c>
      <c r="E62" s="249"/>
    </row>
    <row r="63" spans="1:6" x14ac:dyDescent="0.25">
      <c r="A63" s="249"/>
      <c r="B63" s="249"/>
      <c r="C63" s="249">
        <v>2015</v>
      </c>
      <c r="D63" s="387">
        <f>D62*101.5%</f>
        <v>63995825.617499985</v>
      </c>
      <c r="E63" s="249"/>
    </row>
    <row r="64" spans="1:6" ht="21" x14ac:dyDescent="0.35">
      <c r="A64" s="290" t="s">
        <v>537</v>
      </c>
    </row>
    <row r="65" spans="1:2" x14ac:dyDescent="0.25">
      <c r="A65" s="247" t="s">
        <v>449</v>
      </c>
      <c r="B65" s="247">
        <v>5621</v>
      </c>
    </row>
    <row r="66" spans="1:2" x14ac:dyDescent="0.25">
      <c r="A66" s="247" t="s">
        <v>370</v>
      </c>
      <c r="B66" s="247">
        <v>5742</v>
      </c>
    </row>
    <row r="67" spans="1:2" x14ac:dyDescent="0.25">
      <c r="A67" s="247" t="s">
        <v>300</v>
      </c>
      <c r="B67" s="247">
        <v>5401</v>
      </c>
    </row>
    <row r="68" spans="1:2" x14ac:dyDescent="0.25">
      <c r="A68" s="247" t="s">
        <v>20</v>
      </c>
      <c r="B68" s="247">
        <v>5851</v>
      </c>
    </row>
    <row r="69" spans="1:2" x14ac:dyDescent="0.25">
      <c r="A69" s="247" t="s">
        <v>79</v>
      </c>
      <c r="B69" s="247">
        <v>5421</v>
      </c>
    </row>
    <row r="70" spans="1:2" x14ac:dyDescent="0.25">
      <c r="A70" s="247" t="s">
        <v>143</v>
      </c>
      <c r="B70" s="247">
        <v>5701</v>
      </c>
    </row>
    <row r="71" spans="1:2" x14ac:dyDescent="0.25">
      <c r="A71" s="247" t="s">
        <v>304</v>
      </c>
      <c r="B71" s="247">
        <v>5743</v>
      </c>
    </row>
    <row r="72" spans="1:2" x14ac:dyDescent="0.25">
      <c r="A72" s="247" t="s">
        <v>502</v>
      </c>
      <c r="B72" s="247">
        <v>5702</v>
      </c>
    </row>
    <row r="73" spans="1:2" x14ac:dyDescent="0.25">
      <c r="A73" s="247" t="s">
        <v>209</v>
      </c>
      <c r="B73" s="247">
        <v>5511</v>
      </c>
    </row>
    <row r="74" spans="1:2" x14ac:dyDescent="0.25">
      <c r="A74" s="247" t="s">
        <v>80</v>
      </c>
      <c r="B74" s="247">
        <v>5422</v>
      </c>
    </row>
    <row r="75" spans="1:2" x14ac:dyDescent="0.25">
      <c r="A75" s="247" t="s">
        <v>391</v>
      </c>
      <c r="B75" s="247">
        <v>5451</v>
      </c>
    </row>
    <row r="76" spans="1:2" x14ac:dyDescent="0.25">
      <c r="A76" s="247" t="s">
        <v>305</v>
      </c>
      <c r="B76" s="247">
        <v>5744</v>
      </c>
    </row>
    <row r="77" spans="1:2" x14ac:dyDescent="0.25">
      <c r="A77" s="247" t="s">
        <v>81</v>
      </c>
      <c r="B77" s="247">
        <v>5423</v>
      </c>
    </row>
    <row r="78" spans="1:2" x14ac:dyDescent="0.25">
      <c r="A78" s="247" t="s">
        <v>144</v>
      </c>
      <c r="B78" s="247">
        <v>5703</v>
      </c>
    </row>
    <row r="79" spans="1:2" x14ac:dyDescent="0.25">
      <c r="A79" s="247" t="s">
        <v>306</v>
      </c>
      <c r="B79" s="247">
        <v>5745</v>
      </c>
    </row>
    <row r="80" spans="1:2" x14ac:dyDescent="0.25">
      <c r="A80" s="247" t="s">
        <v>307</v>
      </c>
      <c r="B80" s="247">
        <v>5746</v>
      </c>
    </row>
    <row r="81" spans="1:2" x14ac:dyDescent="0.25">
      <c r="A81" s="247" t="s">
        <v>256</v>
      </c>
      <c r="B81" s="247">
        <v>5704</v>
      </c>
    </row>
    <row r="82" spans="1:2" x14ac:dyDescent="0.25">
      <c r="A82" s="247" t="s">
        <v>433</v>
      </c>
      <c r="B82" s="247">
        <v>5581</v>
      </c>
    </row>
    <row r="83" spans="1:2" x14ac:dyDescent="0.25">
      <c r="A83" s="247" t="s">
        <v>59</v>
      </c>
      <c r="B83" s="247">
        <v>5902</v>
      </c>
    </row>
    <row r="84" spans="1:2" x14ac:dyDescent="0.25">
      <c r="A84" s="247" t="s">
        <v>210</v>
      </c>
      <c r="B84" s="247">
        <v>5512</v>
      </c>
    </row>
    <row r="85" spans="1:2" x14ac:dyDescent="0.25">
      <c r="A85" s="247" t="s">
        <v>82</v>
      </c>
      <c r="B85" s="247">
        <v>5424</v>
      </c>
    </row>
    <row r="86" spans="1:2" x14ac:dyDescent="0.25">
      <c r="A86" s="247" t="s">
        <v>394</v>
      </c>
      <c r="B86" s="247">
        <v>5471</v>
      </c>
    </row>
    <row r="87" spans="1:2" x14ac:dyDescent="0.25">
      <c r="A87" s="247" t="s">
        <v>301</v>
      </c>
      <c r="B87" s="247">
        <v>5402</v>
      </c>
    </row>
    <row r="88" spans="1:2" x14ac:dyDescent="0.25">
      <c r="A88" s="247" t="s">
        <v>83</v>
      </c>
      <c r="B88" s="247">
        <v>5425</v>
      </c>
    </row>
    <row r="89" spans="1:2" x14ac:dyDescent="0.25">
      <c r="A89" s="247" t="s">
        <v>60</v>
      </c>
      <c r="B89" s="247">
        <v>5903</v>
      </c>
    </row>
    <row r="90" spans="1:2" x14ac:dyDescent="0.25">
      <c r="A90" s="247" t="s">
        <v>211</v>
      </c>
      <c r="B90" s="247">
        <v>5513</v>
      </c>
    </row>
    <row r="91" spans="1:2" x14ac:dyDescent="0.25">
      <c r="A91" s="247" t="s">
        <v>241</v>
      </c>
      <c r="B91" s="247">
        <v>5881</v>
      </c>
    </row>
    <row r="92" spans="1:2" x14ac:dyDescent="0.25">
      <c r="A92" s="247" t="s">
        <v>308</v>
      </c>
      <c r="B92" s="247">
        <v>5747</v>
      </c>
    </row>
    <row r="93" spans="1:2" x14ac:dyDescent="0.25">
      <c r="A93" s="247" t="s">
        <v>257</v>
      </c>
      <c r="B93" s="247">
        <v>5705</v>
      </c>
    </row>
    <row r="94" spans="1:2" x14ac:dyDescent="0.25">
      <c r="A94" s="247" t="s">
        <v>37</v>
      </c>
      <c r="B94" s="247">
        <v>5551</v>
      </c>
    </row>
    <row r="95" spans="1:2" x14ac:dyDescent="0.25">
      <c r="A95" s="247" t="s">
        <v>258</v>
      </c>
      <c r="B95" s="247">
        <v>5706</v>
      </c>
    </row>
    <row r="96" spans="1:2" x14ac:dyDescent="0.25">
      <c r="A96" s="247" t="s">
        <v>212</v>
      </c>
      <c r="B96" s="247">
        <v>5514</v>
      </c>
    </row>
    <row r="97" spans="1:2" x14ac:dyDescent="0.25">
      <c r="A97" s="247" t="s">
        <v>77</v>
      </c>
      <c r="B97" s="247">
        <v>5426</v>
      </c>
    </row>
    <row r="98" spans="1:2" x14ac:dyDescent="0.25">
      <c r="A98" s="247" t="s">
        <v>236</v>
      </c>
      <c r="B98" s="247">
        <v>5661</v>
      </c>
    </row>
    <row r="99" spans="1:2" x14ac:dyDescent="0.25">
      <c r="A99" s="247" t="s">
        <v>486</v>
      </c>
      <c r="B99" s="247">
        <v>5613</v>
      </c>
    </row>
    <row r="100" spans="1:2" x14ac:dyDescent="0.25">
      <c r="A100" s="247" t="s">
        <v>395</v>
      </c>
      <c r="B100" s="247">
        <v>5472</v>
      </c>
    </row>
    <row r="101" spans="1:2" x14ac:dyDescent="0.25">
      <c r="A101" s="247" t="s">
        <v>244</v>
      </c>
      <c r="B101" s="247">
        <v>5473</v>
      </c>
    </row>
    <row r="102" spans="1:2" x14ac:dyDescent="0.25">
      <c r="A102" s="247" t="s">
        <v>180</v>
      </c>
      <c r="B102" s="247">
        <v>5622</v>
      </c>
    </row>
    <row r="103" spans="1:2" x14ac:dyDescent="0.25">
      <c r="A103" s="247" t="s">
        <v>237</v>
      </c>
      <c r="B103" s="247">
        <v>5662</v>
      </c>
    </row>
    <row r="104" spans="1:2" x14ac:dyDescent="0.25">
      <c r="A104" s="247" t="s">
        <v>213</v>
      </c>
      <c r="B104" s="247">
        <v>5515</v>
      </c>
    </row>
    <row r="105" spans="1:2" x14ac:dyDescent="0.25">
      <c r="A105" s="247" t="s">
        <v>309</v>
      </c>
      <c r="B105" s="247">
        <v>5748</v>
      </c>
    </row>
    <row r="106" spans="1:2" x14ac:dyDescent="0.25">
      <c r="A106" s="247" t="s">
        <v>181</v>
      </c>
      <c r="B106" s="247">
        <v>5623</v>
      </c>
    </row>
    <row r="107" spans="1:2" x14ac:dyDescent="0.25">
      <c r="A107" s="247" t="s">
        <v>38</v>
      </c>
      <c r="B107" s="247">
        <v>5552</v>
      </c>
    </row>
    <row r="108" spans="1:2" x14ac:dyDescent="0.25">
      <c r="A108" s="247" t="s">
        <v>21</v>
      </c>
      <c r="B108" s="247">
        <v>5852</v>
      </c>
    </row>
    <row r="109" spans="1:2" x14ac:dyDescent="0.25">
      <c r="A109" s="247" t="s">
        <v>22</v>
      </c>
      <c r="B109" s="247">
        <v>5853</v>
      </c>
    </row>
    <row r="110" spans="1:2" x14ac:dyDescent="0.25">
      <c r="A110" s="247" t="s">
        <v>23</v>
      </c>
      <c r="B110" s="247">
        <v>5854</v>
      </c>
    </row>
    <row r="111" spans="1:2" x14ac:dyDescent="0.25">
      <c r="A111" s="247" t="s">
        <v>501</v>
      </c>
      <c r="B111" s="247">
        <v>5624</v>
      </c>
    </row>
    <row r="112" spans="1:2" x14ac:dyDescent="0.25">
      <c r="A112" s="247" t="s">
        <v>344</v>
      </c>
      <c r="B112" s="247">
        <v>5625</v>
      </c>
    </row>
    <row r="113" spans="1:2" x14ac:dyDescent="0.25">
      <c r="A113" s="247" t="s">
        <v>238</v>
      </c>
      <c r="B113" s="247">
        <v>5663</v>
      </c>
    </row>
    <row r="114" spans="1:2" x14ac:dyDescent="0.25">
      <c r="A114" s="247" t="s">
        <v>317</v>
      </c>
      <c r="B114" s="247">
        <v>5782</v>
      </c>
    </row>
    <row r="115" spans="1:2" x14ac:dyDescent="0.25">
      <c r="A115" s="247" t="s">
        <v>61</v>
      </c>
      <c r="B115" s="247">
        <v>5904</v>
      </c>
    </row>
    <row r="116" spans="1:2" x14ac:dyDescent="0.25">
      <c r="A116" s="247" t="s">
        <v>39</v>
      </c>
      <c r="B116" s="247">
        <v>5553</v>
      </c>
    </row>
    <row r="117" spans="1:2" x14ac:dyDescent="0.25">
      <c r="A117" s="247" t="s">
        <v>431</v>
      </c>
      <c r="B117" s="247">
        <v>5812</v>
      </c>
    </row>
    <row r="118" spans="1:2" x14ac:dyDescent="0.25">
      <c r="A118" s="247" t="s">
        <v>62</v>
      </c>
      <c r="B118" s="247">
        <v>5905</v>
      </c>
    </row>
    <row r="119" spans="1:2" x14ac:dyDescent="0.25">
      <c r="A119" s="247" t="s">
        <v>242</v>
      </c>
      <c r="B119" s="247">
        <v>5882</v>
      </c>
    </row>
    <row r="120" spans="1:2" x14ac:dyDescent="0.25">
      <c r="A120" s="247" t="s">
        <v>17</v>
      </c>
      <c r="B120" s="247">
        <v>5841</v>
      </c>
    </row>
    <row r="121" spans="1:2" x14ac:dyDescent="0.25">
      <c r="A121" s="247" t="s">
        <v>259</v>
      </c>
      <c r="B121" s="247">
        <v>5707</v>
      </c>
    </row>
    <row r="122" spans="1:2" x14ac:dyDescent="0.25">
      <c r="A122" s="247" t="s">
        <v>260</v>
      </c>
      <c r="B122" s="247">
        <v>5708</v>
      </c>
    </row>
    <row r="123" spans="1:2" x14ac:dyDescent="0.25">
      <c r="A123" s="247" t="s">
        <v>63</v>
      </c>
      <c r="B123" s="247">
        <v>5907</v>
      </c>
    </row>
    <row r="124" spans="1:2" x14ac:dyDescent="0.25">
      <c r="A124" s="247" t="s">
        <v>417</v>
      </c>
      <c r="B124" s="247">
        <v>5475</v>
      </c>
    </row>
    <row r="125" spans="1:2" x14ac:dyDescent="0.25">
      <c r="A125" s="247" t="s">
        <v>291</v>
      </c>
      <c r="B125" s="247">
        <v>5627</v>
      </c>
    </row>
    <row r="126" spans="1:2" x14ac:dyDescent="0.25">
      <c r="A126" s="247" t="s">
        <v>126</v>
      </c>
      <c r="B126" s="247">
        <v>5665</v>
      </c>
    </row>
    <row r="127" spans="1:2" x14ac:dyDescent="0.25">
      <c r="A127" s="247" t="s">
        <v>310</v>
      </c>
      <c r="B127" s="247">
        <v>5749</v>
      </c>
    </row>
    <row r="128" spans="1:2" x14ac:dyDescent="0.25">
      <c r="A128" s="247" t="s">
        <v>64</v>
      </c>
      <c r="B128" s="247">
        <v>5908</v>
      </c>
    </row>
    <row r="129" spans="1:2" x14ac:dyDescent="0.25">
      <c r="A129" s="247" t="s">
        <v>127</v>
      </c>
      <c r="B129" s="247">
        <v>5666</v>
      </c>
    </row>
    <row r="130" spans="1:2" x14ac:dyDescent="0.25">
      <c r="A130" s="247" t="s">
        <v>65</v>
      </c>
      <c r="B130" s="247">
        <v>5909</v>
      </c>
    </row>
    <row r="131" spans="1:2" x14ac:dyDescent="0.25">
      <c r="A131" s="247" t="s">
        <v>434</v>
      </c>
      <c r="B131" s="247">
        <v>5582</v>
      </c>
    </row>
    <row r="132" spans="1:2" x14ac:dyDescent="0.25">
      <c r="A132" s="247" t="s">
        <v>261</v>
      </c>
      <c r="B132" s="247">
        <v>5709</v>
      </c>
    </row>
    <row r="133" spans="1:2" x14ac:dyDescent="0.25">
      <c r="A133" s="247" t="s">
        <v>145</v>
      </c>
      <c r="B133" s="247">
        <v>5403</v>
      </c>
    </row>
    <row r="134" spans="1:2" x14ac:dyDescent="0.25">
      <c r="A134" s="247" t="s">
        <v>418</v>
      </c>
      <c r="B134" s="247">
        <v>5476</v>
      </c>
    </row>
    <row r="135" spans="1:2" x14ac:dyDescent="0.25">
      <c r="A135" s="247" t="s">
        <v>432</v>
      </c>
      <c r="B135" s="247">
        <v>5813</v>
      </c>
    </row>
    <row r="136" spans="1:2" x14ac:dyDescent="0.25">
      <c r="A136" s="247" t="s">
        <v>341</v>
      </c>
      <c r="B136" s="247">
        <v>5601</v>
      </c>
    </row>
    <row r="137" spans="1:2" x14ac:dyDescent="0.25">
      <c r="A137" s="247" t="s">
        <v>292</v>
      </c>
      <c r="B137" s="247">
        <v>5628</v>
      </c>
    </row>
    <row r="138" spans="1:2" x14ac:dyDescent="0.25">
      <c r="A138" s="247" t="s">
        <v>184</v>
      </c>
      <c r="B138" s="247">
        <v>5629</v>
      </c>
    </row>
    <row r="139" spans="1:2" x14ac:dyDescent="0.25">
      <c r="A139" s="247" t="s">
        <v>262</v>
      </c>
      <c r="B139" s="247">
        <v>5710</v>
      </c>
    </row>
    <row r="140" spans="1:2" x14ac:dyDescent="0.25">
      <c r="A140" s="247" t="s">
        <v>263</v>
      </c>
      <c r="B140" s="247">
        <v>5711</v>
      </c>
    </row>
    <row r="141" spans="1:2" x14ac:dyDescent="0.25">
      <c r="A141" s="247" t="s">
        <v>40</v>
      </c>
      <c r="B141" s="247">
        <v>5554</v>
      </c>
    </row>
    <row r="142" spans="1:2" x14ac:dyDescent="0.25">
      <c r="A142" s="247" t="s">
        <v>264</v>
      </c>
      <c r="B142" s="247">
        <v>5712</v>
      </c>
    </row>
    <row r="143" spans="1:2" x14ac:dyDescent="0.25">
      <c r="A143" s="247" t="s">
        <v>146</v>
      </c>
      <c r="B143" s="247">
        <v>5404</v>
      </c>
    </row>
    <row r="144" spans="1:2" x14ac:dyDescent="0.25">
      <c r="A144" s="247" t="s">
        <v>319</v>
      </c>
      <c r="B144" s="247">
        <v>5785</v>
      </c>
    </row>
    <row r="145" spans="1:2" x14ac:dyDescent="0.25">
      <c r="A145" s="247" t="s">
        <v>41</v>
      </c>
      <c r="B145" s="247">
        <v>5555</v>
      </c>
    </row>
    <row r="146" spans="1:2" x14ac:dyDescent="0.25">
      <c r="A146" s="247" t="s">
        <v>10</v>
      </c>
      <c r="B146" s="247">
        <v>5816</v>
      </c>
    </row>
    <row r="147" spans="1:2" x14ac:dyDescent="0.25">
      <c r="A147" s="247" t="s">
        <v>375</v>
      </c>
      <c r="B147" s="247">
        <v>5751</v>
      </c>
    </row>
    <row r="148" spans="1:2" x14ac:dyDescent="0.25">
      <c r="A148" s="247" t="s">
        <v>243</v>
      </c>
      <c r="B148" s="247">
        <v>5883</v>
      </c>
    </row>
    <row r="149" spans="1:2" x14ac:dyDescent="0.25">
      <c r="A149" s="247" t="s">
        <v>53</v>
      </c>
      <c r="B149" s="247">
        <v>5884</v>
      </c>
    </row>
    <row r="150" spans="1:2" x14ac:dyDescent="0.25">
      <c r="A150" s="247" t="s">
        <v>419</v>
      </c>
      <c r="B150" s="247">
        <v>5477</v>
      </c>
    </row>
    <row r="151" spans="1:2" x14ac:dyDescent="0.25">
      <c r="A151" s="247" t="s">
        <v>276</v>
      </c>
      <c r="B151" s="247">
        <v>5478</v>
      </c>
    </row>
    <row r="152" spans="1:2" x14ac:dyDescent="0.25">
      <c r="A152" s="247" t="s">
        <v>265</v>
      </c>
      <c r="B152" s="247">
        <v>5713</v>
      </c>
    </row>
    <row r="153" spans="1:2" x14ac:dyDescent="0.25">
      <c r="A153" s="247" t="s">
        <v>266</v>
      </c>
      <c r="B153" s="247">
        <v>5714</v>
      </c>
    </row>
    <row r="154" spans="1:2" x14ac:dyDescent="0.25">
      <c r="A154" s="247" t="s">
        <v>128</v>
      </c>
      <c r="B154" s="247">
        <v>5668</v>
      </c>
    </row>
    <row r="155" spans="1:2" x14ac:dyDescent="0.25">
      <c r="A155" s="247" t="s">
        <v>435</v>
      </c>
      <c r="B155" s="247">
        <v>5583</v>
      </c>
    </row>
    <row r="156" spans="1:2" x14ac:dyDescent="0.25">
      <c r="A156" s="247" t="s">
        <v>66</v>
      </c>
      <c r="B156" s="247">
        <v>5910</v>
      </c>
    </row>
    <row r="157" spans="1:2" x14ac:dyDescent="0.25">
      <c r="A157" s="247" t="s">
        <v>376</v>
      </c>
      <c r="B157" s="247">
        <v>5752</v>
      </c>
    </row>
    <row r="158" spans="1:2" x14ac:dyDescent="0.25">
      <c r="A158" s="247" t="s">
        <v>277</v>
      </c>
      <c r="B158" s="247">
        <v>5479</v>
      </c>
    </row>
    <row r="159" spans="1:2" x14ac:dyDescent="0.25">
      <c r="A159" s="247" t="s">
        <v>67</v>
      </c>
      <c r="B159" s="247">
        <v>5911</v>
      </c>
    </row>
    <row r="160" spans="1:2" x14ac:dyDescent="0.25">
      <c r="A160" s="247" t="s">
        <v>392</v>
      </c>
      <c r="B160" s="247">
        <v>5456</v>
      </c>
    </row>
    <row r="161" spans="1:2" x14ac:dyDescent="0.25">
      <c r="A161" s="247" t="s">
        <v>214</v>
      </c>
      <c r="B161" s="247">
        <v>5516</v>
      </c>
    </row>
    <row r="162" spans="1:2" x14ac:dyDescent="0.25">
      <c r="A162" s="247" t="s">
        <v>129</v>
      </c>
      <c r="B162" s="247">
        <v>5669</v>
      </c>
    </row>
    <row r="163" spans="1:2" x14ac:dyDescent="0.25">
      <c r="A163" s="247" t="s">
        <v>278</v>
      </c>
      <c r="B163" s="247">
        <v>5480</v>
      </c>
    </row>
    <row r="164" spans="1:2" x14ac:dyDescent="0.25">
      <c r="A164" s="247" t="s">
        <v>68</v>
      </c>
      <c r="B164" s="247">
        <v>5912</v>
      </c>
    </row>
    <row r="165" spans="1:2" x14ac:dyDescent="0.25">
      <c r="A165" s="247" t="s">
        <v>185</v>
      </c>
      <c r="B165" s="247">
        <v>5631</v>
      </c>
    </row>
    <row r="166" spans="1:2" x14ac:dyDescent="0.25">
      <c r="A166" s="247" t="s">
        <v>186</v>
      </c>
      <c r="B166" s="247">
        <v>5632</v>
      </c>
    </row>
    <row r="167" spans="1:2" x14ac:dyDescent="0.25">
      <c r="A167" s="247" t="s">
        <v>279</v>
      </c>
      <c r="B167" s="247">
        <v>5481</v>
      </c>
    </row>
    <row r="168" spans="1:2" x14ac:dyDescent="0.25">
      <c r="A168" s="247" t="s">
        <v>130</v>
      </c>
      <c r="B168" s="247">
        <v>5671</v>
      </c>
    </row>
    <row r="169" spans="1:2" x14ac:dyDescent="0.25">
      <c r="A169" s="247" t="s">
        <v>69</v>
      </c>
      <c r="B169" s="247">
        <v>5913</v>
      </c>
    </row>
    <row r="170" spans="1:2" x14ac:dyDescent="0.25">
      <c r="A170" s="247" t="s">
        <v>267</v>
      </c>
      <c r="B170" s="247">
        <v>5715</v>
      </c>
    </row>
    <row r="171" spans="1:2" x14ac:dyDescent="0.25">
      <c r="A171" s="247" t="s">
        <v>24</v>
      </c>
      <c r="B171" s="247">
        <v>5855</v>
      </c>
    </row>
    <row r="172" spans="1:2" x14ac:dyDescent="0.25">
      <c r="A172" s="247" t="s">
        <v>215</v>
      </c>
      <c r="B172" s="247">
        <v>5518</v>
      </c>
    </row>
    <row r="173" spans="1:2" x14ac:dyDescent="0.25">
      <c r="A173" s="247" t="s">
        <v>187</v>
      </c>
      <c r="B173" s="247">
        <v>5633</v>
      </c>
    </row>
    <row r="174" spans="1:2" x14ac:dyDescent="0.25">
      <c r="A174" s="247" t="s">
        <v>188</v>
      </c>
      <c r="B174" s="247">
        <v>5634</v>
      </c>
    </row>
    <row r="175" spans="1:2" x14ac:dyDescent="0.25">
      <c r="A175" s="247" t="s">
        <v>280</v>
      </c>
      <c r="B175" s="247">
        <v>5482</v>
      </c>
    </row>
    <row r="176" spans="1:2" x14ac:dyDescent="0.25">
      <c r="A176" s="247" t="s">
        <v>189</v>
      </c>
      <c r="B176" s="247">
        <v>5635</v>
      </c>
    </row>
    <row r="177" spans="1:2" x14ac:dyDescent="0.25">
      <c r="A177" s="247" t="s">
        <v>436</v>
      </c>
      <c r="B177" s="247">
        <v>5584</v>
      </c>
    </row>
    <row r="178" spans="1:2" x14ac:dyDescent="0.25">
      <c r="A178" s="247" t="s">
        <v>70</v>
      </c>
      <c r="B178" s="247">
        <v>5914</v>
      </c>
    </row>
    <row r="179" spans="1:2" x14ac:dyDescent="0.25">
      <c r="A179" s="247" t="s">
        <v>320</v>
      </c>
      <c r="B179" s="247">
        <v>5788</v>
      </c>
    </row>
    <row r="180" spans="1:2" x14ac:dyDescent="0.25">
      <c r="A180" s="247" t="s">
        <v>25</v>
      </c>
      <c r="B180" s="247">
        <v>5856</v>
      </c>
    </row>
    <row r="181" spans="1:2" x14ac:dyDescent="0.25">
      <c r="A181" s="247" t="s">
        <v>216</v>
      </c>
      <c r="B181" s="247">
        <v>5520</v>
      </c>
    </row>
    <row r="182" spans="1:2" x14ac:dyDescent="0.25">
      <c r="A182" s="247" t="s">
        <v>71</v>
      </c>
      <c r="B182" s="247">
        <v>5915</v>
      </c>
    </row>
    <row r="183" spans="1:2" x14ac:dyDescent="0.25">
      <c r="A183" s="247" t="s">
        <v>217</v>
      </c>
      <c r="B183" s="247">
        <v>5521</v>
      </c>
    </row>
    <row r="184" spans="1:2" x14ac:dyDescent="0.25">
      <c r="A184" s="247" t="s">
        <v>190</v>
      </c>
      <c r="B184" s="247">
        <v>5636</v>
      </c>
    </row>
    <row r="185" spans="1:2" x14ac:dyDescent="0.25">
      <c r="A185" s="247" t="s">
        <v>268</v>
      </c>
      <c r="B185" s="247">
        <v>5716</v>
      </c>
    </row>
    <row r="186" spans="1:2" x14ac:dyDescent="0.25">
      <c r="A186" s="247" t="s">
        <v>393</v>
      </c>
      <c r="B186" s="247">
        <v>5458</v>
      </c>
    </row>
    <row r="187" spans="1:2" x14ac:dyDescent="0.25">
      <c r="A187" s="247" t="s">
        <v>386</v>
      </c>
      <c r="B187" s="247">
        <v>5427</v>
      </c>
    </row>
    <row r="188" spans="1:2" x14ac:dyDescent="0.25">
      <c r="A188" s="247" t="s">
        <v>321</v>
      </c>
      <c r="B188" s="247">
        <v>5789</v>
      </c>
    </row>
    <row r="189" spans="1:2" x14ac:dyDescent="0.25">
      <c r="A189" s="247" t="s">
        <v>173</v>
      </c>
      <c r="B189" s="247">
        <v>5483</v>
      </c>
    </row>
    <row r="190" spans="1:2" x14ac:dyDescent="0.25">
      <c r="A190" s="247" t="s">
        <v>218</v>
      </c>
      <c r="B190" s="247">
        <v>5522</v>
      </c>
    </row>
    <row r="191" spans="1:2" x14ac:dyDescent="0.25">
      <c r="A191" s="247" t="s">
        <v>42</v>
      </c>
      <c r="B191" s="247">
        <v>5556</v>
      </c>
    </row>
    <row r="192" spans="1:2" x14ac:dyDescent="0.25">
      <c r="A192" s="247" t="s">
        <v>43</v>
      </c>
      <c r="B192" s="247">
        <v>5557</v>
      </c>
    </row>
    <row r="193" spans="1:2" x14ac:dyDescent="0.25">
      <c r="A193" s="247" t="s">
        <v>176</v>
      </c>
      <c r="B193" s="247">
        <v>5604</v>
      </c>
    </row>
    <row r="194" spans="1:2" x14ac:dyDescent="0.25">
      <c r="A194" s="247" t="s">
        <v>131</v>
      </c>
      <c r="B194" s="247">
        <v>5672</v>
      </c>
    </row>
    <row r="195" spans="1:2" x14ac:dyDescent="0.25">
      <c r="A195" s="247" t="s">
        <v>269</v>
      </c>
      <c r="B195" s="247">
        <v>5717</v>
      </c>
    </row>
    <row r="196" spans="1:2" x14ac:dyDescent="0.25">
      <c r="A196" s="247" t="s">
        <v>219</v>
      </c>
      <c r="B196" s="247">
        <v>5523</v>
      </c>
    </row>
    <row r="197" spans="1:2" x14ac:dyDescent="0.25">
      <c r="A197" s="247" t="s">
        <v>270</v>
      </c>
      <c r="B197" s="247">
        <v>5718</v>
      </c>
    </row>
    <row r="198" spans="1:2" x14ac:dyDescent="0.25">
      <c r="A198" s="247" t="s">
        <v>44</v>
      </c>
      <c r="B198" s="247">
        <v>5559</v>
      </c>
    </row>
    <row r="199" spans="1:2" x14ac:dyDescent="0.25">
      <c r="A199" s="247" t="s">
        <v>26</v>
      </c>
      <c r="B199" s="247">
        <v>5857</v>
      </c>
    </row>
    <row r="200" spans="1:2" x14ac:dyDescent="0.25">
      <c r="A200" s="247" t="s">
        <v>387</v>
      </c>
      <c r="B200" s="247">
        <v>5428</v>
      </c>
    </row>
    <row r="201" spans="1:2" x14ac:dyDescent="0.25">
      <c r="A201" s="247" t="s">
        <v>271</v>
      </c>
      <c r="B201" s="247">
        <v>5719</v>
      </c>
    </row>
    <row r="202" spans="1:2" x14ac:dyDescent="0.25">
      <c r="A202" s="247" t="s">
        <v>272</v>
      </c>
      <c r="B202" s="247">
        <v>5720</v>
      </c>
    </row>
    <row r="203" spans="1:2" x14ac:dyDescent="0.25">
      <c r="A203" s="247" t="s">
        <v>273</v>
      </c>
      <c r="B203" s="247">
        <v>5721</v>
      </c>
    </row>
    <row r="204" spans="1:2" x14ac:dyDescent="0.25">
      <c r="A204" s="247" t="s">
        <v>174</v>
      </c>
      <c r="B204" s="247">
        <v>5484</v>
      </c>
    </row>
    <row r="205" spans="1:2" x14ac:dyDescent="0.25">
      <c r="A205" s="247" t="s">
        <v>489</v>
      </c>
      <c r="B205" s="247">
        <v>5541</v>
      </c>
    </row>
    <row r="206" spans="1:2" x14ac:dyDescent="0.25">
      <c r="A206" s="247" t="s">
        <v>175</v>
      </c>
      <c r="B206" s="247">
        <v>5485</v>
      </c>
    </row>
    <row r="207" spans="1:2" x14ac:dyDescent="0.25">
      <c r="A207" s="247" t="s">
        <v>11</v>
      </c>
      <c r="B207" s="247">
        <v>5817</v>
      </c>
    </row>
    <row r="208" spans="1:2" x14ac:dyDescent="0.25">
      <c r="A208" s="247" t="s">
        <v>45</v>
      </c>
      <c r="B208" s="247">
        <v>5560</v>
      </c>
    </row>
    <row r="209" spans="1:2" x14ac:dyDescent="0.25">
      <c r="A209" s="247" t="s">
        <v>46</v>
      </c>
      <c r="B209" s="247">
        <v>5561</v>
      </c>
    </row>
    <row r="210" spans="1:2" x14ac:dyDescent="0.25">
      <c r="A210" s="247" t="s">
        <v>274</v>
      </c>
      <c r="B210" s="247">
        <v>5722</v>
      </c>
    </row>
    <row r="211" spans="1:2" x14ac:dyDescent="0.25">
      <c r="A211" s="247" t="s">
        <v>147</v>
      </c>
      <c r="B211" s="247">
        <v>5405</v>
      </c>
    </row>
    <row r="212" spans="1:2" x14ac:dyDescent="0.25">
      <c r="A212" s="247" t="s">
        <v>12</v>
      </c>
      <c r="B212" s="247">
        <v>5819</v>
      </c>
    </row>
    <row r="213" spans="1:2" x14ac:dyDescent="0.25">
      <c r="A213" s="247" t="s">
        <v>132</v>
      </c>
      <c r="B213" s="247">
        <v>5673</v>
      </c>
    </row>
    <row r="214" spans="1:2" x14ac:dyDescent="0.25">
      <c r="A214" s="247" t="s">
        <v>54</v>
      </c>
      <c r="B214" s="247">
        <v>5885</v>
      </c>
    </row>
    <row r="215" spans="1:2" x14ac:dyDescent="0.25">
      <c r="A215" s="247" t="s">
        <v>491</v>
      </c>
      <c r="B215" s="247">
        <v>5804</v>
      </c>
    </row>
    <row r="216" spans="1:2" x14ac:dyDescent="0.25">
      <c r="A216" s="247" t="s">
        <v>437</v>
      </c>
      <c r="B216" s="247">
        <v>5585</v>
      </c>
    </row>
    <row r="217" spans="1:2" x14ac:dyDescent="0.25">
      <c r="A217" s="247" t="s">
        <v>377</v>
      </c>
      <c r="B217" s="247">
        <v>5754</v>
      </c>
    </row>
    <row r="218" spans="1:2" x14ac:dyDescent="0.25">
      <c r="A218" s="247" t="s">
        <v>245</v>
      </c>
      <c r="B218" s="247">
        <v>5474</v>
      </c>
    </row>
    <row r="219" spans="1:2" x14ac:dyDescent="0.25">
      <c r="A219" s="247" t="s">
        <v>252</v>
      </c>
      <c r="B219" s="247">
        <v>5758</v>
      </c>
    </row>
    <row r="220" spans="1:2" x14ac:dyDescent="0.25">
      <c r="A220" s="247" t="s">
        <v>362</v>
      </c>
      <c r="B220" s="247">
        <v>5726</v>
      </c>
    </row>
    <row r="221" spans="1:2" x14ac:dyDescent="0.25">
      <c r="A221" s="247" t="s">
        <v>204</v>
      </c>
      <c r="B221" s="247">
        <v>5498</v>
      </c>
    </row>
    <row r="222" spans="1:2" x14ac:dyDescent="0.25">
      <c r="A222" s="247" t="s">
        <v>56</v>
      </c>
      <c r="B222" s="247">
        <v>5889</v>
      </c>
    </row>
    <row r="223" spans="1:2" x14ac:dyDescent="0.25">
      <c r="A223" s="247" t="s">
        <v>33</v>
      </c>
      <c r="B223" s="247">
        <v>5871</v>
      </c>
    </row>
    <row r="224" spans="1:2" x14ac:dyDescent="0.25">
      <c r="A224" s="247" t="s">
        <v>369</v>
      </c>
      <c r="B224" s="247">
        <v>5741</v>
      </c>
    </row>
    <row r="225" spans="1:2" x14ac:dyDescent="0.25">
      <c r="A225" s="247" t="s">
        <v>153</v>
      </c>
      <c r="B225" s="247">
        <v>5586</v>
      </c>
    </row>
    <row r="226" spans="1:2" x14ac:dyDescent="0.25">
      <c r="A226" s="247" t="s">
        <v>148</v>
      </c>
      <c r="B226" s="247">
        <v>5406</v>
      </c>
    </row>
    <row r="227" spans="1:2" x14ac:dyDescent="0.25">
      <c r="A227" s="247" t="s">
        <v>191</v>
      </c>
      <c r="B227" s="247">
        <v>5637</v>
      </c>
    </row>
    <row r="228" spans="1:2" x14ac:dyDescent="0.25">
      <c r="A228" s="247" t="s">
        <v>239</v>
      </c>
      <c r="B228" s="247">
        <v>5872</v>
      </c>
    </row>
    <row r="229" spans="1:2" x14ac:dyDescent="0.25">
      <c r="A229" s="247" t="s">
        <v>240</v>
      </c>
      <c r="B229" s="247">
        <v>5873</v>
      </c>
    </row>
    <row r="230" spans="1:2" x14ac:dyDescent="0.25">
      <c r="A230" s="247" t="s">
        <v>154</v>
      </c>
      <c r="B230" s="247">
        <v>5587</v>
      </c>
    </row>
    <row r="231" spans="1:2" x14ac:dyDescent="0.25">
      <c r="A231" s="247" t="s">
        <v>367</v>
      </c>
      <c r="B231" s="247">
        <v>5731</v>
      </c>
    </row>
    <row r="232" spans="1:2" x14ac:dyDescent="0.25">
      <c r="A232" s="247" t="s">
        <v>311</v>
      </c>
      <c r="B232" s="247">
        <v>5750</v>
      </c>
    </row>
    <row r="233" spans="1:2" x14ac:dyDescent="0.25">
      <c r="A233" s="247" t="s">
        <v>149</v>
      </c>
      <c r="B233" s="247">
        <v>5407</v>
      </c>
    </row>
    <row r="234" spans="1:2" x14ac:dyDescent="0.25">
      <c r="A234" s="247" t="s">
        <v>378</v>
      </c>
      <c r="B234" s="247">
        <v>5755</v>
      </c>
    </row>
    <row r="235" spans="1:2" x14ac:dyDescent="0.25">
      <c r="A235" s="247" t="s">
        <v>5</v>
      </c>
      <c r="B235" s="247">
        <v>5486</v>
      </c>
    </row>
    <row r="236" spans="1:2" x14ac:dyDescent="0.25">
      <c r="A236" s="247" t="s">
        <v>192</v>
      </c>
      <c r="B236" s="247">
        <v>5638</v>
      </c>
    </row>
    <row r="237" spans="1:2" x14ac:dyDescent="0.25">
      <c r="A237" s="247" t="s">
        <v>407</v>
      </c>
      <c r="B237" s="247">
        <v>5429</v>
      </c>
    </row>
    <row r="238" spans="1:2" x14ac:dyDescent="0.25">
      <c r="A238" s="247" t="s">
        <v>133</v>
      </c>
      <c r="B238" s="247">
        <v>5674</v>
      </c>
    </row>
    <row r="239" spans="1:2" x14ac:dyDescent="0.25">
      <c r="A239" s="247" t="s">
        <v>134</v>
      </c>
      <c r="B239" s="247">
        <v>5675</v>
      </c>
    </row>
    <row r="240" spans="1:2" x14ac:dyDescent="0.25">
      <c r="A240" s="247" t="s">
        <v>27</v>
      </c>
      <c r="B240" s="247">
        <v>5858</v>
      </c>
    </row>
    <row r="241" spans="1:2" x14ac:dyDescent="0.25">
      <c r="A241" s="247" t="s">
        <v>193</v>
      </c>
      <c r="B241" s="247">
        <v>5639</v>
      </c>
    </row>
    <row r="242" spans="1:2" x14ac:dyDescent="0.25">
      <c r="A242" s="247" t="s">
        <v>6</v>
      </c>
      <c r="B242" s="247">
        <v>5487</v>
      </c>
    </row>
    <row r="243" spans="1:2" x14ac:dyDescent="0.25">
      <c r="A243" s="247" t="s">
        <v>194</v>
      </c>
      <c r="B243" s="247">
        <v>5640</v>
      </c>
    </row>
    <row r="244" spans="1:2" x14ac:dyDescent="0.25">
      <c r="A244" s="247" t="s">
        <v>177</v>
      </c>
      <c r="B244" s="247">
        <v>5606</v>
      </c>
    </row>
    <row r="245" spans="1:2" x14ac:dyDescent="0.25">
      <c r="A245" s="247" t="s">
        <v>322</v>
      </c>
      <c r="B245" s="247">
        <v>5790</v>
      </c>
    </row>
    <row r="246" spans="1:2" x14ac:dyDescent="0.25">
      <c r="A246" s="247" t="s">
        <v>408</v>
      </c>
      <c r="B246" s="247">
        <v>5430</v>
      </c>
    </row>
    <row r="247" spans="1:2" x14ac:dyDescent="0.25">
      <c r="A247" s="247" t="s">
        <v>438</v>
      </c>
      <c r="B247" s="247">
        <v>5919</v>
      </c>
    </row>
    <row r="248" spans="1:2" x14ac:dyDescent="0.25">
      <c r="A248" s="247" t="s">
        <v>47</v>
      </c>
      <c r="B248" s="247">
        <v>5562</v>
      </c>
    </row>
    <row r="249" spans="1:2" x14ac:dyDescent="0.25">
      <c r="A249" s="247" t="s">
        <v>7</v>
      </c>
      <c r="B249" s="247">
        <v>5488</v>
      </c>
    </row>
    <row r="250" spans="1:2" x14ac:dyDescent="0.25">
      <c r="A250" s="247" t="s">
        <v>8</v>
      </c>
      <c r="B250" s="247">
        <v>5489</v>
      </c>
    </row>
    <row r="251" spans="1:2" x14ac:dyDescent="0.25">
      <c r="A251" s="247" t="s">
        <v>323</v>
      </c>
      <c r="B251" s="247">
        <v>5791</v>
      </c>
    </row>
    <row r="252" spans="1:2" x14ac:dyDescent="0.25">
      <c r="A252" s="247" t="s">
        <v>275</v>
      </c>
      <c r="B252" s="247">
        <v>5723</v>
      </c>
    </row>
    <row r="253" spans="1:2" x14ac:dyDescent="0.25">
      <c r="A253" s="247" t="s">
        <v>13</v>
      </c>
      <c r="B253" s="247">
        <v>5821</v>
      </c>
    </row>
    <row r="254" spans="1:2" x14ac:dyDescent="0.25">
      <c r="A254" s="247" t="s">
        <v>9</v>
      </c>
      <c r="B254" s="247">
        <v>5490</v>
      </c>
    </row>
    <row r="255" spans="1:2" x14ac:dyDescent="0.25">
      <c r="A255" s="247" t="s">
        <v>409</v>
      </c>
      <c r="B255" s="247">
        <v>5431</v>
      </c>
    </row>
    <row r="256" spans="1:2" x14ac:dyDescent="0.25">
      <c r="A256" s="247" t="s">
        <v>439</v>
      </c>
      <c r="B256" s="247">
        <v>5921</v>
      </c>
    </row>
    <row r="257" spans="1:2" x14ac:dyDescent="0.25">
      <c r="A257" s="247" t="s">
        <v>312</v>
      </c>
      <c r="B257" s="247">
        <v>5922</v>
      </c>
    </row>
    <row r="258" spans="1:2" x14ac:dyDescent="0.25">
      <c r="A258" s="247" t="s">
        <v>503</v>
      </c>
      <c r="B258" s="247">
        <v>5693</v>
      </c>
    </row>
    <row r="259" spans="1:2" x14ac:dyDescent="0.25">
      <c r="A259" s="247" t="s">
        <v>379</v>
      </c>
      <c r="B259" s="247">
        <v>5756</v>
      </c>
    </row>
    <row r="260" spans="1:2" x14ac:dyDescent="0.25">
      <c r="A260" s="247" t="s">
        <v>410</v>
      </c>
      <c r="B260" s="247">
        <v>5432</v>
      </c>
    </row>
    <row r="261" spans="1:2" x14ac:dyDescent="0.25">
      <c r="A261" s="247" t="s">
        <v>490</v>
      </c>
      <c r="B261" s="247">
        <v>5540</v>
      </c>
    </row>
    <row r="262" spans="1:2" x14ac:dyDescent="0.25">
      <c r="A262" s="247" t="s">
        <v>197</v>
      </c>
      <c r="B262" s="247">
        <v>5491</v>
      </c>
    </row>
    <row r="263" spans="1:2" x14ac:dyDescent="0.25">
      <c r="A263" s="247" t="s">
        <v>324</v>
      </c>
      <c r="B263" s="247">
        <v>5792</v>
      </c>
    </row>
    <row r="264" spans="1:2" x14ac:dyDescent="0.25">
      <c r="A264" s="247" t="s">
        <v>55</v>
      </c>
      <c r="B264" s="247">
        <v>5886</v>
      </c>
    </row>
    <row r="265" spans="1:2" x14ac:dyDescent="0.25">
      <c r="A265" s="247" t="s">
        <v>198</v>
      </c>
      <c r="B265" s="247">
        <v>5492</v>
      </c>
    </row>
    <row r="266" spans="1:2" x14ac:dyDescent="0.25">
      <c r="A266" s="247" t="s">
        <v>28</v>
      </c>
      <c r="B266" s="247">
        <v>5859</v>
      </c>
    </row>
    <row r="267" spans="1:2" x14ac:dyDescent="0.25">
      <c r="A267" s="247" t="s">
        <v>195</v>
      </c>
      <c r="B267" s="247">
        <v>5642</v>
      </c>
    </row>
    <row r="268" spans="1:2" x14ac:dyDescent="0.25">
      <c r="A268" s="247" t="s">
        <v>220</v>
      </c>
      <c r="B268" s="247">
        <v>5527</v>
      </c>
    </row>
    <row r="269" spans="1:2" x14ac:dyDescent="0.25">
      <c r="A269" s="247" t="s">
        <v>135</v>
      </c>
      <c r="B269" s="247">
        <v>5678</v>
      </c>
    </row>
    <row r="270" spans="1:2" x14ac:dyDescent="0.25">
      <c r="A270" s="247" t="s">
        <v>327</v>
      </c>
      <c r="B270" s="247">
        <v>5563</v>
      </c>
    </row>
    <row r="271" spans="1:2" x14ac:dyDescent="0.25">
      <c r="A271" s="247" t="s">
        <v>328</v>
      </c>
      <c r="B271" s="247">
        <v>5564</v>
      </c>
    </row>
    <row r="272" spans="1:2" x14ac:dyDescent="0.25">
      <c r="A272" s="247" t="s">
        <v>150</v>
      </c>
      <c r="B272" s="247">
        <v>5408</v>
      </c>
    </row>
    <row r="273" spans="1:2" x14ac:dyDescent="0.25">
      <c r="A273" s="247" t="s">
        <v>75</v>
      </c>
      <c r="B273" s="247">
        <v>5724</v>
      </c>
    </row>
    <row r="274" spans="1:2" x14ac:dyDescent="0.25">
      <c r="A274" s="247" t="s">
        <v>136</v>
      </c>
      <c r="B274" s="247">
        <v>5680</v>
      </c>
    </row>
    <row r="275" spans="1:2" x14ac:dyDescent="0.25">
      <c r="A275" s="247" t="s">
        <v>151</v>
      </c>
      <c r="B275" s="247">
        <v>5409</v>
      </c>
    </row>
    <row r="276" spans="1:2" x14ac:dyDescent="0.25">
      <c r="A276" s="247" t="s">
        <v>329</v>
      </c>
      <c r="B276" s="247">
        <v>5565</v>
      </c>
    </row>
    <row r="277" spans="1:2" x14ac:dyDescent="0.25">
      <c r="A277" s="247" t="s">
        <v>313</v>
      </c>
      <c r="B277" s="247">
        <v>5923</v>
      </c>
    </row>
    <row r="278" spans="1:2" x14ac:dyDescent="0.25">
      <c r="A278" s="247" t="s">
        <v>380</v>
      </c>
      <c r="B278" s="247">
        <v>5757</v>
      </c>
    </row>
    <row r="279" spans="1:2" x14ac:dyDescent="0.25">
      <c r="A279" s="247" t="s">
        <v>314</v>
      </c>
      <c r="B279" s="247">
        <v>5924</v>
      </c>
    </row>
    <row r="280" spans="1:2" x14ac:dyDescent="0.25">
      <c r="A280" s="247" t="s">
        <v>163</v>
      </c>
      <c r="B280" s="247">
        <v>5410</v>
      </c>
    </row>
    <row r="281" spans="1:2" x14ac:dyDescent="0.25">
      <c r="A281" s="247" t="s">
        <v>164</v>
      </c>
      <c r="B281" s="247">
        <v>5411</v>
      </c>
    </row>
    <row r="282" spans="1:2" x14ac:dyDescent="0.25">
      <c r="A282" s="247" t="s">
        <v>199</v>
      </c>
      <c r="B282" s="247">
        <v>5493</v>
      </c>
    </row>
    <row r="283" spans="1:2" x14ac:dyDescent="0.25">
      <c r="A283" s="247" t="s">
        <v>493</v>
      </c>
      <c r="B283" s="247">
        <v>5805</v>
      </c>
    </row>
    <row r="284" spans="1:2" x14ac:dyDescent="0.25">
      <c r="A284" s="247" t="s">
        <v>443</v>
      </c>
      <c r="B284" s="247">
        <v>5925</v>
      </c>
    </row>
    <row r="285" spans="1:2" x14ac:dyDescent="0.25">
      <c r="A285" s="247" t="s">
        <v>221</v>
      </c>
      <c r="B285" s="247">
        <v>5529</v>
      </c>
    </row>
    <row r="286" spans="1:2" x14ac:dyDescent="0.25">
      <c r="A286" s="247" t="s">
        <v>222</v>
      </c>
      <c r="B286" s="247">
        <v>5530</v>
      </c>
    </row>
    <row r="287" spans="1:2" x14ac:dyDescent="0.25">
      <c r="A287" s="247" t="s">
        <v>200</v>
      </c>
      <c r="B287" s="247">
        <v>5494</v>
      </c>
    </row>
    <row r="288" spans="1:2" x14ac:dyDescent="0.25">
      <c r="A288" s="247" t="s">
        <v>155</v>
      </c>
      <c r="B288" s="247">
        <v>5588</v>
      </c>
    </row>
    <row r="289" spans="1:2" x14ac:dyDescent="0.25">
      <c r="A289" s="247" t="s">
        <v>14</v>
      </c>
      <c r="B289" s="247">
        <v>5822</v>
      </c>
    </row>
    <row r="290" spans="1:2" x14ac:dyDescent="0.25">
      <c r="A290" s="247" t="s">
        <v>201</v>
      </c>
      <c r="B290" s="247">
        <v>5495</v>
      </c>
    </row>
    <row r="291" spans="1:2" x14ac:dyDescent="0.25">
      <c r="A291" s="247" t="s">
        <v>202</v>
      </c>
      <c r="B291" s="247">
        <v>5496</v>
      </c>
    </row>
    <row r="292" spans="1:2" x14ac:dyDescent="0.25">
      <c r="A292" s="247" t="s">
        <v>223</v>
      </c>
      <c r="B292" s="247">
        <v>5531</v>
      </c>
    </row>
    <row r="293" spans="1:2" x14ac:dyDescent="0.25">
      <c r="A293" s="247" t="s">
        <v>29</v>
      </c>
      <c r="B293" s="247">
        <v>5860</v>
      </c>
    </row>
    <row r="294" spans="1:2" x14ac:dyDescent="0.25">
      <c r="A294" s="247" t="s">
        <v>224</v>
      </c>
      <c r="B294" s="247">
        <v>5533</v>
      </c>
    </row>
    <row r="295" spans="1:2" x14ac:dyDescent="0.25">
      <c r="A295" s="247" t="s">
        <v>203</v>
      </c>
      <c r="B295" s="247">
        <v>5497</v>
      </c>
    </row>
    <row r="296" spans="1:2" x14ac:dyDescent="0.25">
      <c r="A296" s="247" t="s">
        <v>444</v>
      </c>
      <c r="B296" s="247">
        <v>5926</v>
      </c>
    </row>
    <row r="297" spans="1:2" x14ac:dyDescent="0.25">
      <c r="A297" s="247" t="s">
        <v>76</v>
      </c>
      <c r="B297" s="247">
        <v>5725</v>
      </c>
    </row>
    <row r="298" spans="1:2" x14ac:dyDescent="0.25">
      <c r="A298" s="247" t="s">
        <v>253</v>
      </c>
      <c r="B298" s="247">
        <v>5759</v>
      </c>
    </row>
    <row r="299" spans="1:2" x14ac:dyDescent="0.25">
      <c r="A299" s="247" t="s">
        <v>196</v>
      </c>
      <c r="B299" s="247">
        <v>5643</v>
      </c>
    </row>
    <row r="300" spans="1:2" x14ac:dyDescent="0.25">
      <c r="A300" s="247" t="s">
        <v>137</v>
      </c>
      <c r="B300" s="247">
        <v>5683</v>
      </c>
    </row>
    <row r="301" spans="1:2" x14ac:dyDescent="0.25">
      <c r="A301" s="247" t="s">
        <v>156</v>
      </c>
      <c r="B301" s="247">
        <v>5589</v>
      </c>
    </row>
    <row r="302" spans="1:2" x14ac:dyDescent="0.25">
      <c r="A302" s="247" t="s">
        <v>330</v>
      </c>
      <c r="B302" s="247">
        <v>5566</v>
      </c>
    </row>
    <row r="303" spans="1:2" x14ac:dyDescent="0.25">
      <c r="A303" s="247" t="s">
        <v>343</v>
      </c>
      <c r="B303" s="247">
        <v>5607</v>
      </c>
    </row>
    <row r="304" spans="1:2" x14ac:dyDescent="0.25">
      <c r="A304" s="247" t="s">
        <v>157</v>
      </c>
      <c r="B304" s="247">
        <v>5590</v>
      </c>
    </row>
    <row r="305" spans="1:2" x14ac:dyDescent="0.25">
      <c r="A305" s="247" t="s">
        <v>254</v>
      </c>
      <c r="B305" s="247">
        <v>5760</v>
      </c>
    </row>
    <row r="306" spans="1:2" x14ac:dyDescent="0.25">
      <c r="A306" s="247" t="s">
        <v>440</v>
      </c>
      <c r="B306" s="247">
        <v>5591</v>
      </c>
    </row>
    <row r="307" spans="1:2" x14ac:dyDescent="0.25">
      <c r="A307" s="247" t="s">
        <v>165</v>
      </c>
      <c r="B307" s="247">
        <v>5412</v>
      </c>
    </row>
    <row r="308" spans="1:2" x14ac:dyDescent="0.25">
      <c r="A308" s="247" t="s">
        <v>355</v>
      </c>
      <c r="B308" s="247">
        <v>5644</v>
      </c>
    </row>
    <row r="309" spans="1:2" x14ac:dyDescent="0.25">
      <c r="A309" s="247" t="s">
        <v>161</v>
      </c>
      <c r="B309" s="247">
        <v>5609</v>
      </c>
    </row>
    <row r="310" spans="1:2" x14ac:dyDescent="0.25">
      <c r="A310" s="247" t="s">
        <v>166</v>
      </c>
      <c r="B310" s="247">
        <v>5413</v>
      </c>
    </row>
    <row r="311" spans="1:2" x14ac:dyDescent="0.25">
      <c r="A311" s="247" t="s">
        <v>30</v>
      </c>
      <c r="B311" s="247">
        <v>5861</v>
      </c>
    </row>
    <row r="312" spans="1:2" x14ac:dyDescent="0.25">
      <c r="A312" s="247" t="s">
        <v>168</v>
      </c>
      <c r="B312" s="247">
        <v>5761</v>
      </c>
    </row>
    <row r="313" spans="1:2" x14ac:dyDescent="0.25">
      <c r="A313" s="247" t="s">
        <v>251</v>
      </c>
      <c r="B313" s="247">
        <v>5592</v>
      </c>
    </row>
    <row r="314" spans="1:2" x14ac:dyDescent="0.25">
      <c r="A314" s="247" t="s">
        <v>356</v>
      </c>
      <c r="B314" s="247">
        <v>5645</v>
      </c>
    </row>
    <row r="315" spans="1:2" x14ac:dyDescent="0.25">
      <c r="A315" s="247" t="s">
        <v>325</v>
      </c>
      <c r="B315" s="247">
        <v>5798</v>
      </c>
    </row>
    <row r="316" spans="1:2" x14ac:dyDescent="0.25">
      <c r="A316" s="247" t="s">
        <v>138</v>
      </c>
      <c r="B316" s="247">
        <v>5684</v>
      </c>
    </row>
    <row r="317" spans="1:2" x14ac:dyDescent="0.25">
      <c r="A317" s="247" t="s">
        <v>18</v>
      </c>
      <c r="B317" s="247">
        <v>5842</v>
      </c>
    </row>
    <row r="318" spans="1:2" x14ac:dyDescent="0.25">
      <c r="A318" s="247" t="s">
        <v>19</v>
      </c>
      <c r="B318" s="247">
        <v>5843</v>
      </c>
    </row>
    <row r="319" spans="1:2" x14ac:dyDescent="0.25">
      <c r="A319" s="247" t="s">
        <v>445</v>
      </c>
      <c r="B319" s="247">
        <v>5928</v>
      </c>
    </row>
    <row r="320" spans="1:2" x14ac:dyDescent="0.25">
      <c r="A320" s="247" t="s">
        <v>225</v>
      </c>
      <c r="B320" s="247">
        <v>5534</v>
      </c>
    </row>
    <row r="321" spans="1:2" x14ac:dyDescent="0.25">
      <c r="A321" s="247" t="s">
        <v>34</v>
      </c>
      <c r="B321" s="247">
        <v>5535</v>
      </c>
    </row>
    <row r="322" spans="1:2" x14ac:dyDescent="0.25">
      <c r="A322" s="247" t="s">
        <v>363</v>
      </c>
      <c r="B322" s="247">
        <v>5727</v>
      </c>
    </row>
    <row r="323" spans="1:2" x14ac:dyDescent="0.25">
      <c r="A323" s="247" t="s">
        <v>152</v>
      </c>
      <c r="B323" s="247">
        <v>5568</v>
      </c>
    </row>
    <row r="324" spans="1:2" x14ac:dyDescent="0.25">
      <c r="A324" s="247" t="s">
        <v>411</v>
      </c>
      <c r="B324" s="247">
        <v>5434</v>
      </c>
    </row>
    <row r="325" spans="1:2" x14ac:dyDescent="0.25">
      <c r="A325" s="247" t="s">
        <v>388</v>
      </c>
      <c r="B325" s="247">
        <v>5435</v>
      </c>
    </row>
    <row r="326" spans="1:2" x14ac:dyDescent="0.25">
      <c r="A326" s="247" t="s">
        <v>389</v>
      </c>
      <c r="B326" s="247">
        <v>5436</v>
      </c>
    </row>
    <row r="327" spans="1:2" x14ac:dyDescent="0.25">
      <c r="A327" s="247" t="s">
        <v>357</v>
      </c>
      <c r="B327" s="247">
        <v>5646</v>
      </c>
    </row>
    <row r="328" spans="1:2" x14ac:dyDescent="0.25">
      <c r="A328" s="247" t="s">
        <v>358</v>
      </c>
      <c r="B328" s="247">
        <v>5648</v>
      </c>
    </row>
    <row r="329" spans="1:2" x14ac:dyDescent="0.25">
      <c r="A329" s="247" t="s">
        <v>139</v>
      </c>
      <c r="B329" s="247">
        <v>5686</v>
      </c>
    </row>
    <row r="330" spans="1:2" x14ac:dyDescent="0.25">
      <c r="A330" s="247" t="s">
        <v>390</v>
      </c>
      <c r="B330" s="247">
        <v>5437</v>
      </c>
    </row>
    <row r="331" spans="1:2" x14ac:dyDescent="0.25">
      <c r="A331" s="247" t="s">
        <v>340</v>
      </c>
      <c r="B331" s="247">
        <v>5611</v>
      </c>
    </row>
    <row r="332" spans="1:2" x14ac:dyDescent="0.25">
      <c r="A332" s="247" t="s">
        <v>205</v>
      </c>
      <c r="B332" s="247">
        <v>5499</v>
      </c>
    </row>
    <row r="333" spans="1:2" x14ac:dyDescent="0.25">
      <c r="A333" s="247" t="s">
        <v>169</v>
      </c>
      <c r="B333" s="247">
        <v>5762</v>
      </c>
    </row>
    <row r="334" spans="1:2" x14ac:dyDescent="0.25">
      <c r="A334" s="247" t="s">
        <v>326</v>
      </c>
      <c r="B334" s="247">
        <v>5799</v>
      </c>
    </row>
    <row r="335" spans="1:2" x14ac:dyDescent="0.25">
      <c r="A335" s="247" t="s">
        <v>206</v>
      </c>
      <c r="B335" s="247">
        <v>5500</v>
      </c>
    </row>
    <row r="336" spans="1:2" x14ac:dyDescent="0.25">
      <c r="A336" s="247" t="s">
        <v>364</v>
      </c>
      <c r="B336" s="247">
        <v>5728</v>
      </c>
    </row>
    <row r="337" spans="1:2" x14ac:dyDescent="0.25">
      <c r="A337" s="247" t="s">
        <v>625</v>
      </c>
      <c r="B337" s="247">
        <v>5888</v>
      </c>
    </row>
    <row r="338" spans="1:2" x14ac:dyDescent="0.25">
      <c r="A338" s="247" t="s">
        <v>162</v>
      </c>
      <c r="B338" s="247">
        <v>5610</v>
      </c>
    </row>
    <row r="339" spans="1:2" x14ac:dyDescent="0.25">
      <c r="A339" s="247" t="s">
        <v>446</v>
      </c>
      <c r="B339" s="247">
        <v>5929</v>
      </c>
    </row>
    <row r="340" spans="1:2" x14ac:dyDescent="0.25">
      <c r="A340" s="247" t="s">
        <v>207</v>
      </c>
      <c r="B340" s="247">
        <v>5501</v>
      </c>
    </row>
    <row r="341" spans="1:2" x14ac:dyDescent="0.25">
      <c r="A341" s="247" t="s">
        <v>447</v>
      </c>
      <c r="B341" s="247">
        <v>5930</v>
      </c>
    </row>
    <row r="342" spans="1:2" x14ac:dyDescent="0.25">
      <c r="A342" s="247" t="s">
        <v>140</v>
      </c>
      <c r="B342" s="247">
        <v>5688</v>
      </c>
    </row>
    <row r="343" spans="1:2" x14ac:dyDescent="0.25">
      <c r="A343" s="247" t="s">
        <v>365</v>
      </c>
      <c r="B343" s="247">
        <v>5729</v>
      </c>
    </row>
    <row r="344" spans="1:2" x14ac:dyDescent="0.25">
      <c r="A344" s="247" t="s">
        <v>31</v>
      </c>
      <c r="B344" s="247">
        <v>5862</v>
      </c>
    </row>
    <row r="345" spans="1:2" x14ac:dyDescent="0.25">
      <c r="A345" s="247" t="s">
        <v>487</v>
      </c>
      <c r="B345" s="247">
        <v>5571</v>
      </c>
    </row>
    <row r="346" spans="1:2" x14ac:dyDescent="0.25">
      <c r="A346" s="247" t="s">
        <v>359</v>
      </c>
      <c r="B346" s="247">
        <v>5649</v>
      </c>
    </row>
    <row r="347" spans="1:2" x14ac:dyDescent="0.25">
      <c r="A347" s="247" t="s">
        <v>366</v>
      </c>
      <c r="B347" s="247">
        <v>5730</v>
      </c>
    </row>
    <row r="348" spans="1:2" x14ac:dyDescent="0.25">
      <c r="A348" s="247" t="s">
        <v>15</v>
      </c>
      <c r="B348" s="247">
        <v>5827</v>
      </c>
    </row>
    <row r="349" spans="1:2" x14ac:dyDescent="0.25">
      <c r="A349" s="247" t="s">
        <v>448</v>
      </c>
      <c r="B349" s="247">
        <v>5931</v>
      </c>
    </row>
    <row r="350" spans="1:2" x14ac:dyDescent="0.25">
      <c r="A350" s="247" t="s">
        <v>624</v>
      </c>
      <c r="B350" s="247">
        <v>5828</v>
      </c>
    </row>
    <row r="351" spans="1:2" x14ac:dyDescent="0.25">
      <c r="A351" s="247" t="s">
        <v>315</v>
      </c>
      <c r="B351" s="247">
        <v>5932</v>
      </c>
    </row>
    <row r="352" spans="1:2" x14ac:dyDescent="0.25">
      <c r="A352" s="247" t="s">
        <v>492</v>
      </c>
      <c r="B352" s="247">
        <v>5831</v>
      </c>
    </row>
    <row r="353" spans="1:2" x14ac:dyDescent="0.25">
      <c r="A353" s="247" t="s">
        <v>441</v>
      </c>
      <c r="B353" s="247">
        <v>5933</v>
      </c>
    </row>
    <row r="354" spans="1:2" x14ac:dyDescent="0.25">
      <c r="A354" s="247" t="s">
        <v>170</v>
      </c>
      <c r="B354" s="247">
        <v>5763</v>
      </c>
    </row>
    <row r="355" spans="1:2" x14ac:dyDescent="0.25">
      <c r="A355" s="247" t="s">
        <v>442</v>
      </c>
      <c r="B355" s="247">
        <v>5934</v>
      </c>
    </row>
    <row r="356" spans="1:2" x14ac:dyDescent="0.25">
      <c r="A356" s="247" t="s">
        <v>381</v>
      </c>
      <c r="B356" s="247">
        <v>5764</v>
      </c>
    </row>
    <row r="357" spans="1:2" x14ac:dyDescent="0.25">
      <c r="A357" s="247" t="s">
        <v>382</v>
      </c>
      <c r="B357" s="247">
        <v>5765</v>
      </c>
    </row>
    <row r="358" spans="1:2" x14ac:dyDescent="0.25">
      <c r="A358" s="247" t="s">
        <v>360</v>
      </c>
      <c r="B358" s="247">
        <v>5650</v>
      </c>
    </row>
    <row r="359" spans="1:2" x14ac:dyDescent="0.25">
      <c r="A359" s="247" t="s">
        <v>57</v>
      </c>
      <c r="B359" s="247">
        <v>5890</v>
      </c>
    </row>
    <row r="360" spans="1:2" x14ac:dyDescent="0.25">
      <c r="A360" s="247" t="s">
        <v>58</v>
      </c>
      <c r="B360" s="247">
        <v>5891</v>
      </c>
    </row>
    <row r="361" spans="1:2" x14ac:dyDescent="0.25">
      <c r="A361" s="247" t="s">
        <v>368</v>
      </c>
      <c r="B361" s="247">
        <v>5732</v>
      </c>
    </row>
    <row r="362" spans="1:2" x14ac:dyDescent="0.25">
      <c r="A362" s="247" t="s">
        <v>342</v>
      </c>
      <c r="B362" s="247">
        <v>5935</v>
      </c>
    </row>
    <row r="363" spans="1:2" x14ac:dyDescent="0.25">
      <c r="A363" s="247" t="s">
        <v>141</v>
      </c>
      <c r="B363" s="247">
        <v>5690</v>
      </c>
    </row>
    <row r="364" spans="1:2" x14ac:dyDescent="0.25">
      <c r="A364" s="247" t="s">
        <v>35</v>
      </c>
      <c r="B364" s="247">
        <v>5537</v>
      </c>
    </row>
    <row r="365" spans="1:2" x14ac:dyDescent="0.25">
      <c r="A365" s="247" t="s">
        <v>361</v>
      </c>
      <c r="B365" s="247">
        <v>5651</v>
      </c>
    </row>
    <row r="366" spans="1:2" x14ac:dyDescent="0.25">
      <c r="A366" s="247" t="s">
        <v>232</v>
      </c>
      <c r="B366" s="247">
        <v>5652</v>
      </c>
    </row>
    <row r="367" spans="1:2" x14ac:dyDescent="0.25">
      <c r="A367" s="247" t="s">
        <v>16</v>
      </c>
      <c r="B367" s="247">
        <v>5830</v>
      </c>
    </row>
    <row r="368" spans="1:2" x14ac:dyDescent="0.25">
      <c r="A368" s="247" t="s">
        <v>167</v>
      </c>
      <c r="B368" s="247">
        <v>5414</v>
      </c>
    </row>
    <row r="369" spans="1:2" x14ac:dyDescent="0.25">
      <c r="A369" s="247" t="s">
        <v>32</v>
      </c>
      <c r="B369" s="247">
        <v>5863</v>
      </c>
    </row>
    <row r="370" spans="1:2" x14ac:dyDescent="0.25">
      <c r="A370" s="247" t="s">
        <v>36</v>
      </c>
      <c r="B370" s="247">
        <v>5539</v>
      </c>
    </row>
    <row r="371" spans="1:2" x14ac:dyDescent="0.25">
      <c r="A371" s="247" t="s">
        <v>142</v>
      </c>
      <c r="B371" s="247">
        <v>5692</v>
      </c>
    </row>
    <row r="372" spans="1:2" x14ac:dyDescent="0.25">
      <c r="A372" s="247" t="s">
        <v>208</v>
      </c>
      <c r="B372" s="247">
        <v>5503</v>
      </c>
    </row>
    <row r="373" spans="1:2" x14ac:dyDescent="0.25">
      <c r="A373" s="247" t="s">
        <v>233</v>
      </c>
      <c r="B373" s="247">
        <v>5653</v>
      </c>
    </row>
    <row r="374" spans="1:2" x14ac:dyDescent="0.25">
      <c r="A374" s="247" t="s">
        <v>316</v>
      </c>
      <c r="B374" s="247">
        <v>5937</v>
      </c>
    </row>
    <row r="375" spans="1:2" x14ac:dyDescent="0.25">
      <c r="A375" s="247" t="s">
        <v>383</v>
      </c>
      <c r="B375" s="247">
        <v>5766</v>
      </c>
    </row>
    <row r="376" spans="1:2" x14ac:dyDescent="0.25">
      <c r="A376" s="247" t="s">
        <v>430</v>
      </c>
      <c r="B376" s="247">
        <v>5803</v>
      </c>
    </row>
    <row r="377" spans="1:2" x14ac:dyDescent="0.25">
      <c r="A377" s="247" t="s">
        <v>234</v>
      </c>
      <c r="B377" s="247">
        <v>5654</v>
      </c>
    </row>
    <row r="378" spans="1:2" x14ac:dyDescent="0.25">
      <c r="A378" s="247" t="s">
        <v>488</v>
      </c>
      <c r="B378" s="247">
        <v>5464</v>
      </c>
    </row>
    <row r="379" spans="1:2" x14ac:dyDescent="0.25">
      <c r="A379" s="247" t="s">
        <v>235</v>
      </c>
      <c r="B379" s="247">
        <v>5655</v>
      </c>
    </row>
    <row r="380" spans="1:2" x14ac:dyDescent="0.25">
      <c r="A380" s="247" t="s">
        <v>183</v>
      </c>
      <c r="B380" s="247">
        <v>5938</v>
      </c>
    </row>
    <row r="381" spans="1:2" x14ac:dyDescent="0.25">
      <c r="A381" s="247" t="s">
        <v>182</v>
      </c>
      <c r="B381" s="247">
        <v>5939</v>
      </c>
    </row>
    <row r="382" spans="1:2" x14ac:dyDescent="0.25">
      <c r="A382" s="247" t="s">
        <v>78</v>
      </c>
      <c r="B382" s="247">
        <v>5415</v>
      </c>
    </row>
  </sheetData>
  <protectedRanges>
    <protectedRange sqref="B22:H22" name="Plage2"/>
    <protectedRange sqref="A65:A420 B11:B12 B16:E17 B24 B28 B32:B33 B37:B38 G37 B43:B44 B52:B54 B61:B62 B5:B8" name="Plage1"/>
  </protectedRanges>
  <sortState ref="A56:A373">
    <sortCondition ref="A56"/>
  </sortState>
  <phoneticPr fontId="9" type="noConversion"/>
  <printOptions horizontalCentered="1"/>
  <pageMargins left="0" right="0" top="0" bottom="0" header="0.51181102362204722" footer="0.51181102362204722"/>
  <pageSetup paperSize="9"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23"/>
  <sheetViews>
    <sheetView workbookViewId="0"/>
  </sheetViews>
  <sheetFormatPr baseColWidth="10" defaultColWidth="11" defaultRowHeight="15" x14ac:dyDescent="0.25"/>
  <cols>
    <col min="1" max="1" width="7.25" style="14" customWidth="1"/>
    <col min="2" max="2" width="25.375" style="14" customWidth="1"/>
    <col min="3" max="3" width="8.375" style="14" bestFit="1" customWidth="1"/>
    <col min="4" max="4" width="13.625" style="14" customWidth="1"/>
    <col min="5" max="5" width="9" style="14" bestFit="1" customWidth="1"/>
    <col min="6" max="6" width="10.875" style="15" bestFit="1" customWidth="1"/>
    <col min="7" max="7" width="11" style="16"/>
    <col min="8" max="8" width="11" style="14"/>
    <col min="9" max="9" width="13.375" style="6" customWidth="1"/>
    <col min="10" max="12" width="11" style="14"/>
    <col min="13" max="13" width="11.625" style="16" bestFit="1" customWidth="1"/>
    <col min="14" max="16384" width="11" style="14"/>
  </cols>
  <sheetData>
    <row r="1" spans="1:12" ht="21" x14ac:dyDescent="0.25">
      <c r="A1" s="57" t="s">
        <v>516</v>
      </c>
      <c r="B1" s="45"/>
      <c r="C1" s="125"/>
      <c r="D1" s="125"/>
    </row>
    <row r="3" spans="1:12" ht="60" x14ac:dyDescent="0.25">
      <c r="A3" s="551" t="s">
        <v>50</v>
      </c>
      <c r="B3" s="551" t="s">
        <v>120</v>
      </c>
      <c r="C3" s="551" t="s">
        <v>347</v>
      </c>
      <c r="D3" s="551" t="s">
        <v>3</v>
      </c>
      <c r="E3" s="172" t="s">
        <v>398</v>
      </c>
      <c r="F3" s="556" t="s">
        <v>354</v>
      </c>
      <c r="G3" s="586" t="s">
        <v>91</v>
      </c>
      <c r="H3" s="551" t="s">
        <v>396</v>
      </c>
      <c r="I3" s="556" t="s">
        <v>397</v>
      </c>
    </row>
    <row r="4" spans="1:12" x14ac:dyDescent="0.25">
      <c r="A4" s="555"/>
      <c r="B4" s="555"/>
      <c r="C4" s="555"/>
      <c r="D4" s="552"/>
      <c r="E4" s="173">
        <f>+Paramètres!B28</f>
        <v>0.27</v>
      </c>
      <c r="F4" s="558"/>
      <c r="G4" s="587"/>
      <c r="H4" s="555"/>
      <c r="I4" s="558"/>
    </row>
    <row r="5" spans="1:12" x14ac:dyDescent="0.25">
      <c r="A5" s="49">
        <f>'A) Base RI'!A7</f>
        <v>5401</v>
      </c>
      <c r="B5" s="121" t="str">
        <f>'A) Base RI'!B7</f>
        <v>Aigle</v>
      </c>
      <c r="C5" s="126">
        <f>'A) Base RI'!AN7</f>
        <v>9740</v>
      </c>
      <c r="D5" s="167">
        <f>'D) Ecrêtage'!N5</f>
        <v>28.152378566177404</v>
      </c>
      <c r="E5" s="156">
        <f t="shared" ref="E5:E15" si="0">IF($D$323-D5&lt;0,0,$D$323-D5)</f>
        <v>15.942683020460798</v>
      </c>
      <c r="F5" s="171">
        <f t="shared" ref="F5:F68" si="1">(C5*E5*G5)*$E$4</f>
        <v>2830009.5769865271</v>
      </c>
      <c r="G5" s="151">
        <f>'A) Base RI'!AM7</f>
        <v>67.5</v>
      </c>
      <c r="H5" s="157">
        <f>G5/$G$323</f>
        <v>0.99913755140856886</v>
      </c>
      <c r="I5" s="174">
        <f>F5*H5</f>
        <v>2827568.8392131184</v>
      </c>
      <c r="J5" s="52"/>
      <c r="K5" s="158"/>
      <c r="L5" s="16"/>
    </row>
    <row r="6" spans="1:12" x14ac:dyDescent="0.25">
      <c r="A6" s="53">
        <f>'A) Base RI'!A8</f>
        <v>5402</v>
      </c>
      <c r="B6" s="9" t="str">
        <f>'A) Base RI'!B8</f>
        <v>Bex</v>
      </c>
      <c r="C6" s="127">
        <f>'A) Base RI'!AN8</f>
        <v>7424</v>
      </c>
      <c r="D6" s="168">
        <f>'D) Ecrêtage'!N6</f>
        <v>22.712641641877127</v>
      </c>
      <c r="E6" s="37">
        <f t="shared" si="0"/>
        <v>21.382419944761075</v>
      </c>
      <c r="F6" s="171">
        <f t="shared" si="1"/>
        <v>3043104.9522921029</v>
      </c>
      <c r="G6" s="152">
        <f>'A) Base RI'!AM8</f>
        <v>71</v>
      </c>
      <c r="H6" s="160">
        <f t="shared" ref="H6:H69" si="2">G6/$G$323</f>
        <v>1.0509446837038279</v>
      </c>
      <c r="I6" s="175">
        <f t="shared" ref="I6:I61" si="3">F6*H6</f>
        <v>3198134.971564176</v>
      </c>
      <c r="J6" s="52"/>
      <c r="L6" s="161"/>
    </row>
    <row r="7" spans="1:12" x14ac:dyDescent="0.25">
      <c r="A7" s="53">
        <f>'A) Base RI'!A9</f>
        <v>5403</v>
      </c>
      <c r="B7" s="9" t="str">
        <f>'A) Base RI'!B9</f>
        <v>Chessel</v>
      </c>
      <c r="C7" s="127">
        <f>'A) Base RI'!AN9</f>
        <v>395</v>
      </c>
      <c r="D7" s="168">
        <f>'D) Ecrêtage'!N7</f>
        <v>21.105967688207866</v>
      </c>
      <c r="E7" s="37">
        <f t="shared" si="0"/>
        <v>22.989093898430337</v>
      </c>
      <c r="F7" s="171">
        <f t="shared" si="1"/>
        <v>186335.80168433726</v>
      </c>
      <c r="G7" s="152">
        <f>'A) Base RI'!AM9</f>
        <v>76</v>
      </c>
      <c r="H7" s="160">
        <f t="shared" si="2"/>
        <v>1.1249548726970553</v>
      </c>
      <c r="I7" s="175">
        <f t="shared" si="3"/>
        <v>209619.36806270736</v>
      </c>
      <c r="J7" s="52"/>
      <c r="L7" s="161"/>
    </row>
    <row r="8" spans="1:12" x14ac:dyDescent="0.25">
      <c r="A8" s="53">
        <f>'A) Base RI'!A10</f>
        <v>5404</v>
      </c>
      <c r="B8" s="9" t="str">
        <f>'A) Base RI'!B10</f>
        <v>Corbeyrier</v>
      </c>
      <c r="C8" s="127">
        <f>'A) Base RI'!AN10</f>
        <v>440</v>
      </c>
      <c r="D8" s="168">
        <f>'D) Ecrêtage'!N8</f>
        <v>76.197177910507065</v>
      </c>
      <c r="E8" s="37">
        <f t="shared" si="0"/>
        <v>0</v>
      </c>
      <c r="F8" s="171">
        <f t="shared" si="1"/>
        <v>0</v>
      </c>
      <c r="G8" s="152">
        <f>'A) Base RI'!AM10</f>
        <v>70</v>
      </c>
      <c r="H8" s="160">
        <f t="shared" si="2"/>
        <v>1.0361426459051826</v>
      </c>
      <c r="I8" s="175">
        <f t="shared" si="3"/>
        <v>0</v>
      </c>
    </row>
    <row r="9" spans="1:12" x14ac:dyDescent="0.25">
      <c r="A9" s="53">
        <f>'A) Base RI'!A11</f>
        <v>5405</v>
      </c>
      <c r="B9" s="9" t="str">
        <f>'A) Base RI'!B11</f>
        <v>Gryon</v>
      </c>
      <c r="C9" s="127">
        <f>'A) Base RI'!AN11</f>
        <v>1342</v>
      </c>
      <c r="D9" s="168">
        <f>'D) Ecrêtage'!N9</f>
        <v>48.334539427057464</v>
      </c>
      <c r="E9" s="37">
        <f t="shared" si="0"/>
        <v>0</v>
      </c>
      <c r="F9" s="171">
        <f t="shared" si="1"/>
        <v>0</v>
      </c>
      <c r="G9" s="152">
        <f>'A) Base RI'!AM11</f>
        <v>75</v>
      </c>
      <c r="H9" s="160">
        <f t="shared" si="2"/>
        <v>1.1101528348984098</v>
      </c>
      <c r="I9" s="175">
        <f t="shared" si="3"/>
        <v>0</v>
      </c>
    </row>
    <row r="10" spans="1:12" x14ac:dyDescent="0.25">
      <c r="A10" s="53">
        <f>'A) Base RI'!A12</f>
        <v>5406</v>
      </c>
      <c r="B10" s="9" t="str">
        <f>'A) Base RI'!B12</f>
        <v>Lavey-Morcles</v>
      </c>
      <c r="C10" s="127">
        <f>'A) Base RI'!AN12</f>
        <v>922</v>
      </c>
      <c r="D10" s="168">
        <f>'D) Ecrêtage'!N10</f>
        <v>21.961916378967953</v>
      </c>
      <c r="E10" s="37">
        <f t="shared" si="0"/>
        <v>22.13314520767025</v>
      </c>
      <c r="F10" s="171">
        <f t="shared" si="1"/>
        <v>391197.58692781773</v>
      </c>
      <c r="G10" s="152">
        <f>'A) Base RI'!AM12</f>
        <v>71</v>
      </c>
      <c r="H10" s="160">
        <f t="shared" si="2"/>
        <v>1.0509446837038279</v>
      </c>
      <c r="I10" s="175">
        <f t="shared" si="3"/>
        <v>411127.02425955608</v>
      </c>
    </row>
    <row r="11" spans="1:12" x14ac:dyDescent="0.25">
      <c r="A11" s="53">
        <f>'A) Base RI'!A13</f>
        <v>5407</v>
      </c>
      <c r="B11" s="9" t="str">
        <f>'A) Base RI'!B13</f>
        <v>Leysin</v>
      </c>
      <c r="C11" s="127">
        <f>'A) Base RI'!AN13</f>
        <v>4088</v>
      </c>
      <c r="D11" s="168">
        <f>'D) Ecrêtage'!N11</f>
        <v>20.20816407622058</v>
      </c>
      <c r="E11" s="37">
        <f t="shared" si="0"/>
        <v>23.886897510417622</v>
      </c>
      <c r="F11" s="171">
        <f t="shared" si="1"/>
        <v>2056501.3556956872</v>
      </c>
      <c r="G11" s="152">
        <f>'A) Base RI'!AM13</f>
        <v>78</v>
      </c>
      <c r="H11" s="160">
        <f t="shared" si="2"/>
        <v>1.1545589482943461</v>
      </c>
      <c r="I11" s="175">
        <f t="shared" si="3"/>
        <v>2374352.0423979098</v>
      </c>
    </row>
    <row r="12" spans="1:12" x14ac:dyDescent="0.25">
      <c r="A12" s="53">
        <f>'A) Base RI'!A14</f>
        <v>5408</v>
      </c>
      <c r="B12" s="9" t="str">
        <f>'A) Base RI'!B14</f>
        <v>Noville</v>
      </c>
      <c r="C12" s="127">
        <f>'A) Base RI'!AN14</f>
        <v>1056</v>
      </c>
      <c r="D12" s="168">
        <f>'D) Ecrêtage'!N12</f>
        <v>31.647310927748826</v>
      </c>
      <c r="E12" s="37">
        <f t="shared" si="0"/>
        <v>12.447750658889376</v>
      </c>
      <c r="F12" s="171">
        <f t="shared" si="1"/>
        <v>278604.55942720931</v>
      </c>
      <c r="G12" s="152">
        <f>'A) Base RI'!AM14</f>
        <v>78.5</v>
      </c>
      <c r="H12" s="160">
        <f t="shared" si="2"/>
        <v>1.1619599671936689</v>
      </c>
      <c r="I12" s="175">
        <f t="shared" si="3"/>
        <v>323727.34473204671</v>
      </c>
    </row>
    <row r="13" spans="1:12" x14ac:dyDescent="0.25">
      <c r="A13" s="53">
        <f>'A) Base RI'!A15</f>
        <v>5409</v>
      </c>
      <c r="B13" s="9" t="str">
        <f>'A) Base RI'!B15</f>
        <v>Ollon</v>
      </c>
      <c r="C13" s="127">
        <f>'A) Base RI'!AN15</f>
        <v>7473</v>
      </c>
      <c r="D13" s="168">
        <f>'D) Ecrêtage'!N13</f>
        <v>48.980963385230567</v>
      </c>
      <c r="E13" s="37">
        <f t="shared" si="0"/>
        <v>0</v>
      </c>
      <c r="F13" s="171">
        <f t="shared" si="1"/>
        <v>0</v>
      </c>
      <c r="G13" s="152">
        <f>'A) Base RI'!AM15</f>
        <v>68</v>
      </c>
      <c r="H13" s="160">
        <f t="shared" si="2"/>
        <v>1.0065385703078915</v>
      </c>
      <c r="I13" s="175">
        <f t="shared" si="3"/>
        <v>0</v>
      </c>
    </row>
    <row r="14" spans="1:12" x14ac:dyDescent="0.25">
      <c r="A14" s="53">
        <f>'A) Base RI'!A16</f>
        <v>5410</v>
      </c>
      <c r="B14" s="9" t="str">
        <f>'A) Base RI'!B16</f>
        <v>Ormont-Dessous</v>
      </c>
      <c r="C14" s="127">
        <f>'A) Base RI'!AN16</f>
        <v>1105</v>
      </c>
      <c r="D14" s="168">
        <f>'D) Ecrêtage'!N14</f>
        <v>32.988425589147958</v>
      </c>
      <c r="E14" s="37">
        <f t="shared" si="0"/>
        <v>11.106635997490244</v>
      </c>
      <c r="F14" s="171">
        <f t="shared" si="1"/>
        <v>260122.69071332036</v>
      </c>
      <c r="G14" s="152">
        <f>'A) Base RI'!AM16</f>
        <v>78.5</v>
      </c>
      <c r="H14" s="160">
        <f t="shared" si="2"/>
        <v>1.1619599671936689</v>
      </c>
      <c r="I14" s="175">
        <f t="shared" si="3"/>
        <v>302252.15316757862</v>
      </c>
    </row>
    <row r="15" spans="1:12" x14ac:dyDescent="0.25">
      <c r="A15" s="53">
        <f>'A) Base RI'!A17</f>
        <v>5411</v>
      </c>
      <c r="B15" s="9" t="str">
        <f>'A) Base RI'!B17</f>
        <v>Ormont-Dessus</v>
      </c>
      <c r="C15" s="127">
        <f>'A) Base RI'!AN17</f>
        <v>1479</v>
      </c>
      <c r="D15" s="168">
        <f>'D) Ecrêtage'!N15</f>
        <v>50.066210188249528</v>
      </c>
      <c r="E15" s="37">
        <f t="shared" si="0"/>
        <v>0</v>
      </c>
      <c r="F15" s="171">
        <f t="shared" si="1"/>
        <v>0</v>
      </c>
      <c r="G15" s="152">
        <f>'A) Base RI'!AM17</f>
        <v>76</v>
      </c>
      <c r="H15" s="160">
        <f t="shared" si="2"/>
        <v>1.1249548726970553</v>
      </c>
      <c r="I15" s="175">
        <f t="shared" si="3"/>
        <v>0</v>
      </c>
    </row>
    <row r="16" spans="1:12" x14ac:dyDescent="0.25">
      <c r="A16" s="53">
        <f>'A) Base RI'!A18</f>
        <v>5412</v>
      </c>
      <c r="B16" s="9" t="str">
        <f>'A) Base RI'!B18</f>
        <v>Rennaz</v>
      </c>
      <c r="C16" s="127">
        <f>'A) Base RI'!AN18</f>
        <v>843</v>
      </c>
      <c r="D16" s="168">
        <f>'D) Ecrêtage'!N16</f>
        <v>31.108218443829362</v>
      </c>
      <c r="E16" s="37">
        <f t="shared" ref="E16:E79" si="4">IF($D$323-D16&lt;0,0,$D$323-D16)</f>
        <v>12.986843142808841</v>
      </c>
      <c r="F16" s="171">
        <f t="shared" si="1"/>
        <v>199525.63732209362</v>
      </c>
      <c r="G16" s="152">
        <f>'A) Base RI'!AM18</f>
        <v>67.5</v>
      </c>
      <c r="H16" s="160">
        <f t="shared" si="2"/>
        <v>0.99913755140856886</v>
      </c>
      <c r="I16" s="175">
        <f t="shared" si="3"/>
        <v>199353.55671723079</v>
      </c>
    </row>
    <row r="17" spans="1:9" x14ac:dyDescent="0.25">
      <c r="A17" s="53">
        <f>'A) Base RI'!A19</f>
        <v>5413</v>
      </c>
      <c r="B17" s="9" t="str">
        <f>'A) Base RI'!B19</f>
        <v>Roche</v>
      </c>
      <c r="C17" s="127">
        <f>'A) Base RI'!AN19</f>
        <v>1597</v>
      </c>
      <c r="D17" s="168">
        <f>'D) Ecrêtage'!N17</f>
        <v>24.373342756639289</v>
      </c>
      <c r="E17" s="37">
        <f t="shared" si="4"/>
        <v>19.721718829998913</v>
      </c>
      <c r="F17" s="171">
        <f t="shared" si="1"/>
        <v>578258.9400768918</v>
      </c>
      <c r="G17" s="152">
        <f>'A) Base RI'!AM19</f>
        <v>68</v>
      </c>
      <c r="H17" s="160">
        <f t="shared" si="2"/>
        <v>1.0065385703078915</v>
      </c>
      <c r="I17" s="175">
        <f t="shared" si="3"/>
        <v>582039.92681275134</v>
      </c>
    </row>
    <row r="18" spans="1:9" x14ac:dyDescent="0.25">
      <c r="A18" s="53">
        <f>'A) Base RI'!A20</f>
        <v>5414</v>
      </c>
      <c r="B18" s="9" t="str">
        <f>'A) Base RI'!B20</f>
        <v>Villeneuve</v>
      </c>
      <c r="C18" s="127">
        <f>'A) Base RI'!AN20</f>
        <v>5457</v>
      </c>
      <c r="D18" s="168">
        <f>'D) Ecrêtage'!N18</f>
        <v>29.29512026834302</v>
      </c>
      <c r="E18" s="37">
        <f t="shared" si="4"/>
        <v>14.799941318295183</v>
      </c>
      <c r="F18" s="171">
        <f t="shared" si="1"/>
        <v>1504619.9021884429</v>
      </c>
      <c r="G18" s="152">
        <f>'A) Base RI'!AM20</f>
        <v>69</v>
      </c>
      <c r="H18" s="160">
        <f t="shared" si="2"/>
        <v>1.021340608106537</v>
      </c>
      <c r="I18" s="175">
        <f t="shared" si="3"/>
        <v>1536729.4058703426</v>
      </c>
    </row>
    <row r="19" spans="1:9" x14ac:dyDescent="0.25">
      <c r="A19" s="53">
        <f>'A) Base RI'!A21</f>
        <v>5415</v>
      </c>
      <c r="B19" s="9" t="str">
        <f>'A) Base RI'!B21</f>
        <v>Yvorne</v>
      </c>
      <c r="C19" s="127">
        <f>'A) Base RI'!AN21</f>
        <v>1061</v>
      </c>
      <c r="D19" s="168">
        <f>'D) Ecrêtage'!N19</f>
        <v>33.672709214783829</v>
      </c>
      <c r="E19" s="37">
        <f t="shared" si="4"/>
        <v>10.422352371854373</v>
      </c>
      <c r="F19" s="171">
        <f t="shared" si="1"/>
        <v>204519.8529516109</v>
      </c>
      <c r="G19" s="152">
        <f>'A) Base RI'!AM21</f>
        <v>68.5</v>
      </c>
      <c r="H19" s="160">
        <f t="shared" si="2"/>
        <v>1.0139395892072143</v>
      </c>
      <c r="I19" s="175">
        <f t="shared" si="3"/>
        <v>207370.77568647623</v>
      </c>
    </row>
    <row r="20" spans="1:9" x14ac:dyDescent="0.25">
      <c r="A20" s="53">
        <f>'A) Base RI'!A22</f>
        <v>5421</v>
      </c>
      <c r="B20" s="9" t="str">
        <f>'A) Base RI'!B22</f>
        <v>Apples</v>
      </c>
      <c r="C20" s="127">
        <f>'A) Base RI'!AN22</f>
        <v>1412</v>
      </c>
      <c r="D20" s="168">
        <f>'D) Ecrêtage'!N20</f>
        <v>41.788642649470702</v>
      </c>
      <c r="E20" s="37">
        <f t="shared" si="4"/>
        <v>2.3064189371674999</v>
      </c>
      <c r="F20" s="171">
        <f t="shared" si="1"/>
        <v>66826.735826036063</v>
      </c>
      <c r="G20" s="152">
        <f>'A) Base RI'!AM22</f>
        <v>76</v>
      </c>
      <c r="H20" s="160">
        <f t="shared" si="2"/>
        <v>1.1249548726970553</v>
      </c>
      <c r="I20" s="175">
        <f t="shared" si="3"/>
        <v>75177.062093938148</v>
      </c>
    </row>
    <row r="21" spans="1:9" x14ac:dyDescent="0.25">
      <c r="A21" s="53">
        <f>'A) Base RI'!A23</f>
        <v>5422</v>
      </c>
      <c r="B21" s="9" t="str">
        <f>'A) Base RI'!B23</f>
        <v>Aubonne</v>
      </c>
      <c r="C21" s="127">
        <f>'A) Base RI'!AN23</f>
        <v>3272</v>
      </c>
      <c r="D21" s="168">
        <f>'D) Ecrêtage'!N21</f>
        <v>63.025726155470188</v>
      </c>
      <c r="E21" s="37">
        <f t="shared" si="4"/>
        <v>0</v>
      </c>
      <c r="F21" s="171">
        <f t="shared" si="1"/>
        <v>0</v>
      </c>
      <c r="G21" s="152">
        <f>'A) Base RI'!AM23</f>
        <v>68</v>
      </c>
      <c r="H21" s="160">
        <f t="shared" si="2"/>
        <v>1.0065385703078915</v>
      </c>
      <c r="I21" s="175">
        <f t="shared" si="3"/>
        <v>0</v>
      </c>
    </row>
    <row r="22" spans="1:9" x14ac:dyDescent="0.25">
      <c r="A22" s="53">
        <f>'A) Base RI'!A24</f>
        <v>5423</v>
      </c>
      <c r="B22" s="9" t="str">
        <f>'A) Base RI'!B24</f>
        <v>Ballens</v>
      </c>
      <c r="C22" s="127">
        <f>'A) Base RI'!AN24</f>
        <v>508</v>
      </c>
      <c r="D22" s="168">
        <f>'D) Ecrêtage'!N22</f>
        <v>30.232392445509529</v>
      </c>
      <c r="E22" s="37">
        <f t="shared" si="4"/>
        <v>13.862669141128674</v>
      </c>
      <c r="F22" s="171">
        <f t="shared" si="1"/>
        <v>131196.85525840742</v>
      </c>
      <c r="G22" s="152">
        <f>'A) Base RI'!AM24</f>
        <v>69</v>
      </c>
      <c r="H22" s="160">
        <f t="shared" si="2"/>
        <v>1.021340608106537</v>
      </c>
      <c r="I22" s="175">
        <f t="shared" si="3"/>
        <v>133996.67593128714</v>
      </c>
    </row>
    <row r="23" spans="1:9" x14ac:dyDescent="0.25">
      <c r="A23" s="53">
        <f>'A) Base RI'!A25</f>
        <v>5424</v>
      </c>
      <c r="B23" s="9" t="str">
        <f>'A) Base RI'!B25</f>
        <v>Berolle</v>
      </c>
      <c r="C23" s="127">
        <f>'A) Base RI'!AN25</f>
        <v>301</v>
      </c>
      <c r="D23" s="168">
        <f>'D) Ecrêtage'!N23</f>
        <v>30.093830090175604</v>
      </c>
      <c r="E23" s="37">
        <f t="shared" si="4"/>
        <v>14.001231496462598</v>
      </c>
      <c r="F23" s="171">
        <f t="shared" si="1"/>
        <v>87616.766446248701</v>
      </c>
      <c r="G23" s="152">
        <f>'A) Base RI'!AM25</f>
        <v>77</v>
      </c>
      <c r="H23" s="160">
        <f t="shared" si="2"/>
        <v>1.1397569104957008</v>
      </c>
      <c r="I23" s="175">
        <f t="shared" si="3"/>
        <v>99861.815032399798</v>
      </c>
    </row>
    <row r="24" spans="1:9" x14ac:dyDescent="0.25">
      <c r="A24" s="53">
        <f>'A) Base RI'!A26</f>
        <v>5425</v>
      </c>
      <c r="B24" s="9" t="str">
        <f>'A) Base RI'!B26</f>
        <v>Bière</v>
      </c>
      <c r="C24" s="127">
        <f>'A) Base RI'!AN26</f>
        <v>1546</v>
      </c>
      <c r="D24" s="168">
        <f>'D) Ecrêtage'!N24</f>
        <v>25.493558519138574</v>
      </c>
      <c r="E24" s="37">
        <f t="shared" si="4"/>
        <v>18.601503067499628</v>
      </c>
      <c r="F24" s="171">
        <f t="shared" si="1"/>
        <v>527995.47990962735</v>
      </c>
      <c r="G24" s="152">
        <f>'A) Base RI'!AM26</f>
        <v>68</v>
      </c>
      <c r="H24" s="160">
        <f t="shared" si="2"/>
        <v>1.0065385703078915</v>
      </c>
      <c r="I24" s="175">
        <f t="shared" si="3"/>
        <v>531447.81547726539</v>
      </c>
    </row>
    <row r="25" spans="1:9" x14ac:dyDescent="0.25">
      <c r="A25" s="53">
        <f>'A) Base RI'!A27</f>
        <v>5426</v>
      </c>
      <c r="B25" s="9" t="str">
        <f>'A) Base RI'!B27</f>
        <v>Bougy-Villars</v>
      </c>
      <c r="C25" s="127">
        <f>'A) Base RI'!AN27</f>
        <v>467</v>
      </c>
      <c r="D25" s="168">
        <f>'D) Ecrêtage'!N25</f>
        <v>76.424686094186683</v>
      </c>
      <c r="E25" s="37">
        <f t="shared" si="4"/>
        <v>0</v>
      </c>
      <c r="F25" s="171">
        <f t="shared" si="1"/>
        <v>0</v>
      </c>
      <c r="G25" s="152">
        <f>'A) Base RI'!AM27</f>
        <v>62</v>
      </c>
      <c r="H25" s="160">
        <f t="shared" si="2"/>
        <v>0.91772634351601878</v>
      </c>
      <c r="I25" s="175">
        <f t="shared" si="3"/>
        <v>0</v>
      </c>
    </row>
    <row r="26" spans="1:9" x14ac:dyDescent="0.25">
      <c r="A26" s="53">
        <f>'A) Base RI'!A28</f>
        <v>5427</v>
      </c>
      <c r="B26" s="9" t="str">
        <f>'A) Base RI'!B28</f>
        <v>Féchy</v>
      </c>
      <c r="C26" s="127">
        <f>'A) Base RI'!AN28</f>
        <v>887</v>
      </c>
      <c r="D26" s="168">
        <f>'D) Ecrêtage'!N26</f>
        <v>69.079808813727283</v>
      </c>
      <c r="E26" s="37">
        <f t="shared" si="4"/>
        <v>0</v>
      </c>
      <c r="F26" s="171">
        <f t="shared" si="1"/>
        <v>0</v>
      </c>
      <c r="G26" s="152">
        <f>'A) Base RI'!AM28</f>
        <v>64</v>
      </c>
      <c r="H26" s="160">
        <f t="shared" si="2"/>
        <v>0.94733041911330973</v>
      </c>
      <c r="I26" s="175">
        <f t="shared" si="3"/>
        <v>0</v>
      </c>
    </row>
    <row r="27" spans="1:9" x14ac:dyDescent="0.25">
      <c r="A27" s="53">
        <f>'A) Base RI'!A29</f>
        <v>5428</v>
      </c>
      <c r="B27" s="9" t="str">
        <f>'A) Base RI'!B29</f>
        <v>Gimel</v>
      </c>
      <c r="C27" s="127">
        <f>'A) Base RI'!AN29</f>
        <v>1948</v>
      </c>
      <c r="D27" s="168">
        <f>'D) Ecrêtage'!N27</f>
        <v>29.776500373343286</v>
      </c>
      <c r="E27" s="37">
        <f t="shared" si="4"/>
        <v>14.318561213294917</v>
      </c>
      <c r="F27" s="171">
        <f t="shared" si="1"/>
        <v>538465.81758573849</v>
      </c>
      <c r="G27" s="152">
        <f>'A) Base RI'!AM29</f>
        <v>71.5</v>
      </c>
      <c r="H27" s="160">
        <f t="shared" si="2"/>
        <v>1.0583457026031506</v>
      </c>
      <c r="I27" s="175">
        <f t="shared" si="3"/>
        <v>569882.98404055834</v>
      </c>
    </row>
    <row r="28" spans="1:9" x14ac:dyDescent="0.25">
      <c r="A28" s="53">
        <f>'A) Base RI'!A30</f>
        <v>5429</v>
      </c>
      <c r="B28" s="9" t="str">
        <f>'A) Base RI'!B30</f>
        <v>Longirod</v>
      </c>
      <c r="C28" s="127">
        <f>'A) Base RI'!AN30</f>
        <v>460</v>
      </c>
      <c r="D28" s="168">
        <f>'D) Ecrêtage'!N28</f>
        <v>26.459455448201822</v>
      </c>
      <c r="E28" s="37">
        <f t="shared" si="4"/>
        <v>17.63560613843638</v>
      </c>
      <c r="F28" s="171">
        <f t="shared" si="1"/>
        <v>177417.72487389771</v>
      </c>
      <c r="G28" s="152">
        <f>'A) Base RI'!AM30</f>
        <v>81</v>
      </c>
      <c r="H28" s="160">
        <f t="shared" si="2"/>
        <v>1.1989650616902825</v>
      </c>
      <c r="I28" s="175">
        <f t="shared" si="3"/>
        <v>212717.65344838233</v>
      </c>
    </row>
    <row r="29" spans="1:9" x14ac:dyDescent="0.25">
      <c r="A29" s="53">
        <f>'A) Base RI'!A31</f>
        <v>5430</v>
      </c>
      <c r="B29" s="9" t="str">
        <f>'A) Base RI'!B31</f>
        <v>Marchissy</v>
      </c>
      <c r="C29" s="127">
        <f>'A) Base RI'!AN31</f>
        <v>430</v>
      </c>
      <c r="D29" s="168">
        <f>'D) Ecrêtage'!N29</f>
        <v>24.588756255519574</v>
      </c>
      <c r="E29" s="37">
        <f t="shared" si="4"/>
        <v>19.506305331118629</v>
      </c>
      <c r="F29" s="171">
        <f t="shared" si="1"/>
        <v>178909.88186648698</v>
      </c>
      <c r="G29" s="152">
        <f>'A) Base RI'!AM31</f>
        <v>79</v>
      </c>
      <c r="H29" s="160">
        <f t="shared" si="2"/>
        <v>1.1693609860929917</v>
      </c>
      <c r="I29" s="175">
        <f t="shared" si="3"/>
        <v>209210.23588117585</v>
      </c>
    </row>
    <row r="30" spans="1:9" x14ac:dyDescent="0.25">
      <c r="A30" s="53">
        <f>'A) Base RI'!A32</f>
        <v>5431</v>
      </c>
      <c r="B30" s="9" t="str">
        <f>'A) Base RI'!B32</f>
        <v>Mollens</v>
      </c>
      <c r="C30" s="127">
        <f>'A) Base RI'!AN32</f>
        <v>295</v>
      </c>
      <c r="D30" s="168">
        <f>'D) Ecrêtage'!N30</f>
        <v>37.986546037562988</v>
      </c>
      <c r="E30" s="37">
        <f t="shared" si="4"/>
        <v>6.1085155490752143</v>
      </c>
      <c r="F30" s="171">
        <f t="shared" si="1"/>
        <v>36004.201497804221</v>
      </c>
      <c r="G30" s="152">
        <f>'A) Base RI'!AM32</f>
        <v>74</v>
      </c>
      <c r="H30" s="160">
        <f t="shared" si="2"/>
        <v>1.0953507970997642</v>
      </c>
      <c r="I30" s="175">
        <f t="shared" si="3"/>
        <v>39437.23080956038</v>
      </c>
    </row>
    <row r="31" spans="1:9" x14ac:dyDescent="0.25">
      <c r="A31" s="53">
        <f>'A) Base RI'!A33</f>
        <v>5432</v>
      </c>
      <c r="B31" s="9" t="str">
        <f>'A) Base RI'!B33</f>
        <v>Montherod</v>
      </c>
      <c r="C31" s="127">
        <f>'A) Base RI'!AN33</f>
        <v>522</v>
      </c>
      <c r="D31" s="168">
        <f>'D) Ecrêtage'!N31</f>
        <v>33.956741821396996</v>
      </c>
      <c r="E31" s="37">
        <f t="shared" si="4"/>
        <v>10.138319765241206</v>
      </c>
      <c r="F31" s="171">
        <f t="shared" si="1"/>
        <v>111453.79344162148</v>
      </c>
      <c r="G31" s="152">
        <f>'A) Base RI'!AM33</f>
        <v>78</v>
      </c>
      <c r="H31" s="160">
        <f t="shared" si="2"/>
        <v>1.1545589482943461</v>
      </c>
      <c r="I31" s="175">
        <f t="shared" si="3"/>
        <v>128679.9745393738</v>
      </c>
    </row>
    <row r="32" spans="1:9" x14ac:dyDescent="0.25">
      <c r="A32" s="53">
        <f>'A) Base RI'!A34</f>
        <v>5434</v>
      </c>
      <c r="B32" s="9" t="str">
        <f>'A) Base RI'!B34</f>
        <v>Saint-George</v>
      </c>
      <c r="C32" s="127">
        <f>'A) Base RI'!AN34</f>
        <v>991</v>
      </c>
      <c r="D32" s="168">
        <f>'D) Ecrêtage'!N32</f>
        <v>36.221726634601922</v>
      </c>
      <c r="E32" s="37">
        <f t="shared" si="4"/>
        <v>7.8733349520362808</v>
      </c>
      <c r="F32" s="171">
        <f t="shared" si="1"/>
        <v>144306.77396846985</v>
      </c>
      <c r="G32" s="152">
        <f>'A) Base RI'!AM34</f>
        <v>68.5</v>
      </c>
      <c r="H32" s="160">
        <f t="shared" si="2"/>
        <v>1.0139395892072143</v>
      </c>
      <c r="I32" s="175">
        <f t="shared" si="3"/>
        <v>146318.35111740863</v>
      </c>
    </row>
    <row r="33" spans="1:9" x14ac:dyDescent="0.25">
      <c r="A33" s="53">
        <f>'A) Base RI'!A35</f>
        <v>5435</v>
      </c>
      <c r="B33" s="9" t="str">
        <f>'A) Base RI'!B35</f>
        <v>Saint-Livres</v>
      </c>
      <c r="C33" s="127">
        <f>'A) Base RI'!AN35</f>
        <v>689</v>
      </c>
      <c r="D33" s="168">
        <f>'D) Ecrêtage'!N33</f>
        <v>32.508170631665301</v>
      </c>
      <c r="E33" s="37">
        <f t="shared" si="4"/>
        <v>11.586890954972901</v>
      </c>
      <c r="F33" s="171">
        <f t="shared" si="1"/>
        <v>148730.14338039904</v>
      </c>
      <c r="G33" s="152">
        <f>'A) Base RI'!AM35</f>
        <v>69</v>
      </c>
      <c r="H33" s="160">
        <f t="shared" si="2"/>
        <v>1.021340608106537</v>
      </c>
      <c r="I33" s="175">
        <f t="shared" si="3"/>
        <v>151904.1350839092</v>
      </c>
    </row>
    <row r="34" spans="1:9" x14ac:dyDescent="0.25">
      <c r="A34" s="53">
        <f>'A) Base RI'!A36</f>
        <v>5436</v>
      </c>
      <c r="B34" s="9" t="str">
        <f>'A) Base RI'!B36</f>
        <v>Saint-Oyens</v>
      </c>
      <c r="C34" s="127">
        <f>'A) Base RI'!AN36</f>
        <v>350</v>
      </c>
      <c r="D34" s="168">
        <f>'D) Ecrêtage'!N34</f>
        <v>29.927442328042329</v>
      </c>
      <c r="E34" s="37">
        <f t="shared" si="4"/>
        <v>14.167619258595874</v>
      </c>
      <c r="F34" s="171">
        <f t="shared" si="1"/>
        <v>108446.04161492211</v>
      </c>
      <c r="G34" s="152">
        <f>'A) Base RI'!AM36</f>
        <v>81</v>
      </c>
      <c r="H34" s="160">
        <f t="shared" si="2"/>
        <v>1.1989650616902825</v>
      </c>
      <c r="I34" s="175">
        <f t="shared" si="3"/>
        <v>130023.01497490203</v>
      </c>
    </row>
    <row r="35" spans="1:9" x14ac:dyDescent="0.25">
      <c r="A35" s="53">
        <f>'A) Base RI'!A37</f>
        <v>5437</v>
      </c>
      <c r="B35" s="9" t="str">
        <f>'A) Base RI'!B37</f>
        <v>Saubraz</v>
      </c>
      <c r="C35" s="127">
        <f>'A) Base RI'!AN37</f>
        <v>420</v>
      </c>
      <c r="D35" s="168">
        <f>'D) Ecrêtage'!N35</f>
        <v>24.139983630952383</v>
      </c>
      <c r="E35" s="37">
        <f t="shared" si="4"/>
        <v>19.95507795568582</v>
      </c>
      <c r="F35" s="171">
        <f t="shared" si="1"/>
        <v>181032.46721398176</v>
      </c>
      <c r="G35" s="152">
        <f>'A) Base RI'!AM37</f>
        <v>80</v>
      </c>
      <c r="H35" s="160">
        <f t="shared" si="2"/>
        <v>1.1841630238916372</v>
      </c>
      <c r="I35" s="175">
        <f t="shared" si="3"/>
        <v>214371.9537986723</v>
      </c>
    </row>
    <row r="36" spans="1:9" x14ac:dyDescent="0.25">
      <c r="A36" s="53">
        <f>'A) Base RI'!A38</f>
        <v>5451</v>
      </c>
      <c r="B36" s="9" t="str">
        <f>'A) Base RI'!B38</f>
        <v>Avenches</v>
      </c>
      <c r="C36" s="127">
        <f>'A) Base RI'!AN38</f>
        <v>4129</v>
      </c>
      <c r="D36" s="168">
        <f>'D) Ecrêtage'!N36</f>
        <v>26.448976464889661</v>
      </c>
      <c r="E36" s="37">
        <f t="shared" si="4"/>
        <v>17.646085121748541</v>
      </c>
      <c r="F36" s="171">
        <f t="shared" si="1"/>
        <v>1337722.1851869673</v>
      </c>
      <c r="G36" s="152">
        <f>'A) Base RI'!AM38</f>
        <v>68</v>
      </c>
      <c r="H36" s="160">
        <f t="shared" si="2"/>
        <v>1.0065385703078915</v>
      </c>
      <c r="I36" s="175">
        <f t="shared" si="3"/>
        <v>1346468.9757472386</v>
      </c>
    </row>
    <row r="37" spans="1:9" x14ac:dyDescent="0.25">
      <c r="A37" s="53">
        <f>'A) Base RI'!A39</f>
        <v>5456</v>
      </c>
      <c r="B37" s="9" t="str">
        <f>'A) Base RI'!B39</f>
        <v>Cudrefin</v>
      </c>
      <c r="C37" s="127">
        <f>'A) Base RI'!AN39</f>
        <v>1555</v>
      </c>
      <c r="D37" s="168">
        <f>'D) Ecrêtage'!N37</f>
        <v>33.037825494577369</v>
      </c>
      <c r="E37" s="37">
        <f t="shared" si="4"/>
        <v>11.057236092060833</v>
      </c>
      <c r="F37" s="171">
        <f t="shared" si="1"/>
        <v>273900.45382185275</v>
      </c>
      <c r="G37" s="152">
        <f>'A) Base RI'!AM39</f>
        <v>59</v>
      </c>
      <c r="H37" s="160">
        <f t="shared" si="2"/>
        <v>0.87332023012008242</v>
      </c>
      <c r="I37" s="175">
        <f t="shared" si="3"/>
        <v>239202.80736169545</v>
      </c>
    </row>
    <row r="38" spans="1:9" x14ac:dyDescent="0.25">
      <c r="A38" s="53">
        <f>'A) Base RI'!A40</f>
        <v>5458</v>
      </c>
      <c r="B38" s="9" t="str">
        <f>'A) Base RI'!B40</f>
        <v>Faoug</v>
      </c>
      <c r="C38" s="127">
        <f>'A) Base RI'!AN40</f>
        <v>870</v>
      </c>
      <c r="D38" s="168">
        <f>'D) Ecrêtage'!N38</f>
        <v>36.427693067528736</v>
      </c>
      <c r="E38" s="37">
        <f t="shared" si="4"/>
        <v>7.6673685191094663</v>
      </c>
      <c r="F38" s="171">
        <f t="shared" si="1"/>
        <v>115268.15136888408</v>
      </c>
      <c r="G38" s="152">
        <f>'A) Base RI'!AM40</f>
        <v>64</v>
      </c>
      <c r="H38" s="160">
        <f t="shared" si="2"/>
        <v>0.94733041911330973</v>
      </c>
      <c r="I38" s="175">
        <f t="shared" si="3"/>
        <v>109197.02614670138</v>
      </c>
    </row>
    <row r="39" spans="1:9" x14ac:dyDescent="0.25">
      <c r="A39" s="53">
        <f>'A) Base RI'!A41</f>
        <v>5464</v>
      </c>
      <c r="B39" s="9" t="str">
        <f>'A) Base RI'!B41</f>
        <v>Vully-les-Lacs</v>
      </c>
      <c r="C39" s="127">
        <f>'A) Base RI'!AN41</f>
        <v>2935</v>
      </c>
      <c r="D39" s="168">
        <f>'D) Ecrêtage'!N39</f>
        <v>32.814441268953352</v>
      </c>
      <c r="E39" s="37">
        <f t="shared" si="4"/>
        <v>11.28062031768485</v>
      </c>
      <c r="F39" s="171">
        <f t="shared" si="1"/>
        <v>598934.94724020723</v>
      </c>
      <c r="G39" s="152">
        <f>'A) Base RI'!AM41</f>
        <v>67</v>
      </c>
      <c r="H39" s="160">
        <f t="shared" si="2"/>
        <v>0.99173653250924609</v>
      </c>
      <c r="I39" s="175">
        <f t="shared" si="3"/>
        <v>593985.66777461139</v>
      </c>
    </row>
    <row r="40" spans="1:9" x14ac:dyDescent="0.25">
      <c r="A40" s="53">
        <f>'A) Base RI'!A42</f>
        <v>5471</v>
      </c>
      <c r="B40" s="9" t="str">
        <f>'A) Base RI'!B42</f>
        <v>Bettens</v>
      </c>
      <c r="C40" s="127">
        <f>'A) Base RI'!AN42</f>
        <v>584</v>
      </c>
      <c r="D40" s="168">
        <f>'D) Ecrêtage'!N40</f>
        <v>28.166244156338333</v>
      </c>
      <c r="E40" s="37">
        <f t="shared" si="4"/>
        <v>15.928817430299869</v>
      </c>
      <c r="F40" s="171">
        <f t="shared" si="1"/>
        <v>175815.91526867784</v>
      </c>
      <c r="G40" s="152">
        <f>'A) Base RI'!AM42</f>
        <v>70</v>
      </c>
      <c r="H40" s="160">
        <f t="shared" si="2"/>
        <v>1.0361426459051826</v>
      </c>
      <c r="I40" s="175">
        <f t="shared" si="3"/>
        <v>182170.36763872925</v>
      </c>
    </row>
    <row r="41" spans="1:9" x14ac:dyDescent="0.25">
      <c r="A41" s="53">
        <f>'A) Base RI'!A43</f>
        <v>5472</v>
      </c>
      <c r="B41" s="9" t="str">
        <f>'A) Base RI'!B43</f>
        <v>Bournens</v>
      </c>
      <c r="C41" s="127">
        <f>'A) Base RI'!AN43</f>
        <v>370</v>
      </c>
      <c r="D41" s="168">
        <f>'D) Ecrêtage'!N41</f>
        <v>38.356219256756752</v>
      </c>
      <c r="E41" s="37">
        <f t="shared" si="4"/>
        <v>5.7388423298814502</v>
      </c>
      <c r="F41" s="171">
        <f t="shared" si="1"/>
        <v>45864.827900412558</v>
      </c>
      <c r="G41" s="152">
        <f>'A) Base RI'!AM43</f>
        <v>80</v>
      </c>
      <c r="H41" s="160">
        <f t="shared" si="2"/>
        <v>1.1841630238916372</v>
      </c>
      <c r="I41" s="175">
        <f t="shared" si="3"/>
        <v>54311.433296822062</v>
      </c>
    </row>
    <row r="42" spans="1:9" x14ac:dyDescent="0.25">
      <c r="A42" s="53">
        <f>'A) Base RI'!A44</f>
        <v>5473</v>
      </c>
      <c r="B42" s="9" t="str">
        <f>'A) Base RI'!B44</f>
        <v>Boussens</v>
      </c>
      <c r="C42" s="127">
        <f>'A) Base RI'!AN44</f>
        <v>980</v>
      </c>
      <c r="D42" s="168">
        <f>'D) Ecrêtage'!N42</f>
        <v>33.425564182194613</v>
      </c>
      <c r="E42" s="37">
        <f t="shared" si="4"/>
        <v>10.66949740444359</v>
      </c>
      <c r="F42" s="171">
        <f t="shared" si="1"/>
        <v>194797.28191188842</v>
      </c>
      <c r="G42" s="152">
        <f>'A) Base RI'!AM44</f>
        <v>69</v>
      </c>
      <c r="H42" s="160">
        <f t="shared" si="2"/>
        <v>1.021340608106537</v>
      </c>
      <c r="I42" s="175">
        <f t="shared" si="3"/>
        <v>198954.37436538865</v>
      </c>
    </row>
    <row r="43" spans="1:9" x14ac:dyDescent="0.25">
      <c r="A43" s="53">
        <f>'A) Base RI'!A45</f>
        <v>5474</v>
      </c>
      <c r="B43" s="9" t="str">
        <f>'A) Base RI'!B45</f>
        <v>La Chaux (Cossonay)</v>
      </c>
      <c r="C43" s="127">
        <f>'A) Base RI'!AN45</f>
        <v>421</v>
      </c>
      <c r="D43" s="168">
        <f>'D) Ecrêtage'!N43</f>
        <v>30.700377322598221</v>
      </c>
      <c r="E43" s="37">
        <f t="shared" si="4"/>
        <v>13.394684264039981</v>
      </c>
      <c r="F43" s="171">
        <f t="shared" si="1"/>
        <v>117238.1795425937</v>
      </c>
      <c r="G43" s="152">
        <f>'A) Base RI'!AM45</f>
        <v>77</v>
      </c>
      <c r="H43" s="160">
        <f t="shared" si="2"/>
        <v>1.1397569104957008</v>
      </c>
      <c r="I43" s="175">
        <f t="shared" si="3"/>
        <v>133623.02530760688</v>
      </c>
    </row>
    <row r="44" spans="1:9" x14ac:dyDescent="0.25">
      <c r="A44" s="53">
        <f>'A) Base RI'!A46</f>
        <v>5475</v>
      </c>
      <c r="B44" s="9" t="str">
        <f>'A) Base RI'!B46</f>
        <v>Chavannes-le-Veyron</v>
      </c>
      <c r="C44" s="127">
        <f>'A) Base RI'!AN46</f>
        <v>143</v>
      </c>
      <c r="D44" s="168">
        <f>'D) Ecrêtage'!N44</f>
        <v>18.690870947234583</v>
      </c>
      <c r="E44" s="37">
        <f t="shared" si="4"/>
        <v>25.40419063940362</v>
      </c>
      <c r="F44" s="171">
        <f t="shared" si="1"/>
        <v>75525.896645227782</v>
      </c>
      <c r="G44" s="152">
        <f>'A) Base RI'!AM46</f>
        <v>77</v>
      </c>
      <c r="H44" s="160">
        <f t="shared" si="2"/>
        <v>1.1397569104957008</v>
      </c>
      <c r="I44" s="175">
        <f t="shared" si="3"/>
        <v>86081.162622782431</v>
      </c>
    </row>
    <row r="45" spans="1:9" x14ac:dyDescent="0.25">
      <c r="A45" s="53">
        <f>'A) Base RI'!A47</f>
        <v>5476</v>
      </c>
      <c r="B45" s="9" t="str">
        <f>'A) Base RI'!B47</f>
        <v>Chevilly</v>
      </c>
      <c r="C45" s="127">
        <f>'A) Base RI'!AN47</f>
        <v>299</v>
      </c>
      <c r="D45" s="168">
        <f>'D) Ecrêtage'!N45</f>
        <v>34.274087498870109</v>
      </c>
      <c r="E45" s="37">
        <f t="shared" si="4"/>
        <v>9.8209740877680929</v>
      </c>
      <c r="F45" s="171">
        <f t="shared" si="1"/>
        <v>58670.695619808343</v>
      </c>
      <c r="G45" s="152">
        <f>'A) Base RI'!AM47</f>
        <v>74</v>
      </c>
      <c r="H45" s="160">
        <f t="shared" si="2"/>
        <v>1.0953507970997642</v>
      </c>
      <c r="I45" s="175">
        <f t="shared" si="3"/>
        <v>64264.993213554713</v>
      </c>
    </row>
    <row r="46" spans="1:9" x14ac:dyDescent="0.25">
      <c r="A46" s="53">
        <f>'A) Base RI'!A48</f>
        <v>5477</v>
      </c>
      <c r="B46" s="9" t="str">
        <f>'A) Base RI'!B48</f>
        <v>Cossonay</v>
      </c>
      <c r="C46" s="127">
        <f>'A) Base RI'!AN48</f>
        <v>3632</v>
      </c>
      <c r="D46" s="168">
        <f>'D) Ecrêtage'!N46</f>
        <v>34.674307621526786</v>
      </c>
      <c r="E46" s="37">
        <f t="shared" si="4"/>
        <v>9.4207539651114161</v>
      </c>
      <c r="F46" s="171">
        <f t="shared" si="1"/>
        <v>640218.9140664374</v>
      </c>
      <c r="G46" s="152">
        <f>'A) Base RI'!AM48</f>
        <v>69.3</v>
      </c>
      <c r="H46" s="160">
        <f t="shared" si="2"/>
        <v>1.0257812194461307</v>
      </c>
      <c r="I46" s="175">
        <f t="shared" si="3"/>
        <v>656724.53838354768</v>
      </c>
    </row>
    <row r="47" spans="1:9" x14ac:dyDescent="0.25">
      <c r="A47" s="53">
        <f>'A) Base RI'!A49</f>
        <v>5478</v>
      </c>
      <c r="B47" s="9" t="str">
        <f>'A) Base RI'!B49</f>
        <v>Cottens</v>
      </c>
      <c r="C47" s="127">
        <f>'A) Base RI'!AN49</f>
        <v>483</v>
      </c>
      <c r="D47" s="168">
        <f>'D) Ecrêtage'!N47</f>
        <v>29.948897935202282</v>
      </c>
      <c r="E47" s="37">
        <f t="shared" si="4"/>
        <v>14.14616365143592</v>
      </c>
      <c r="F47" s="171">
        <f t="shared" si="1"/>
        <v>136515.2889319981</v>
      </c>
      <c r="G47" s="152">
        <f>'A) Base RI'!AM49</f>
        <v>74</v>
      </c>
      <c r="H47" s="160">
        <f t="shared" si="2"/>
        <v>1.0953507970997642</v>
      </c>
      <c r="I47" s="175">
        <f t="shared" si="3"/>
        <v>149532.13054796876</v>
      </c>
    </row>
    <row r="48" spans="1:9" x14ac:dyDescent="0.25">
      <c r="A48" s="53">
        <f>'A) Base RI'!A50</f>
        <v>5479</v>
      </c>
      <c r="B48" s="9" t="str">
        <f>'A) Base RI'!B50</f>
        <v>Cuarnens</v>
      </c>
      <c r="C48" s="127">
        <f>'A) Base RI'!AN50</f>
        <v>481</v>
      </c>
      <c r="D48" s="168">
        <f>'D) Ecrêtage'!N48</f>
        <v>24.039125469125473</v>
      </c>
      <c r="E48" s="37">
        <f t="shared" si="4"/>
        <v>20.055936117512729</v>
      </c>
      <c r="F48" s="171">
        <f t="shared" si="1"/>
        <v>200559.16061576613</v>
      </c>
      <c r="G48" s="152">
        <f>'A) Base RI'!AM50</f>
        <v>77</v>
      </c>
      <c r="H48" s="160">
        <f t="shared" si="2"/>
        <v>1.1397569104957008</v>
      </c>
      <c r="I48" s="175">
        <f t="shared" si="3"/>
        <v>228588.68927503665</v>
      </c>
    </row>
    <row r="49" spans="1:9" x14ac:dyDescent="0.25">
      <c r="A49" s="53">
        <f>'A) Base RI'!A51</f>
        <v>5480</v>
      </c>
      <c r="B49" s="9" t="str">
        <f>'A) Base RI'!B51</f>
        <v>Daillens</v>
      </c>
      <c r="C49" s="127">
        <f>'A) Base RI'!AN51</f>
        <v>958</v>
      </c>
      <c r="D49" s="168">
        <f>'D) Ecrêtage'!N49</f>
        <v>36.380055720544561</v>
      </c>
      <c r="E49" s="37">
        <f t="shared" si="4"/>
        <v>7.7150058660936409</v>
      </c>
      <c r="F49" s="171">
        <f t="shared" si="1"/>
        <v>141685.00262998848</v>
      </c>
      <c r="G49" s="152">
        <f>'A) Base RI'!AM51</f>
        <v>71</v>
      </c>
      <c r="H49" s="160">
        <f t="shared" si="2"/>
        <v>1.0509446837038279</v>
      </c>
      <c r="I49" s="175">
        <f t="shared" si="3"/>
        <v>148903.10027454927</v>
      </c>
    </row>
    <row r="50" spans="1:9" x14ac:dyDescent="0.25">
      <c r="A50" s="53">
        <f>'A) Base RI'!A52</f>
        <v>5481</v>
      </c>
      <c r="B50" s="9" t="str">
        <f>'A) Base RI'!B52</f>
        <v>Dizy</v>
      </c>
      <c r="C50" s="127">
        <f>'A) Base RI'!AN52</f>
        <v>222</v>
      </c>
      <c r="D50" s="168">
        <f>'D) Ecrêtage'!N50</f>
        <v>40.091228190215531</v>
      </c>
      <c r="E50" s="37">
        <f t="shared" si="4"/>
        <v>4.0038333964226709</v>
      </c>
      <c r="F50" s="171">
        <f t="shared" si="1"/>
        <v>18959.192128744417</v>
      </c>
      <c r="G50" s="152">
        <f>'A) Base RI'!AM52</f>
        <v>79</v>
      </c>
      <c r="H50" s="160">
        <f t="shared" si="2"/>
        <v>1.1693609860929917</v>
      </c>
      <c r="I50" s="175">
        <f t="shared" si="3"/>
        <v>22170.139603195057</v>
      </c>
    </row>
    <row r="51" spans="1:9" x14ac:dyDescent="0.25">
      <c r="A51" s="53">
        <f>'A) Base RI'!A53</f>
        <v>5482</v>
      </c>
      <c r="B51" s="9" t="str">
        <f>'A) Base RI'!B53</f>
        <v>Eclépens</v>
      </c>
      <c r="C51" s="127">
        <f>'A) Base RI'!AN53</f>
        <v>1043</v>
      </c>
      <c r="D51" s="168">
        <f>'D) Ecrêtage'!N51</f>
        <v>25.687447163283171</v>
      </c>
      <c r="E51" s="37">
        <f t="shared" si="4"/>
        <v>18.407614423355032</v>
      </c>
      <c r="F51" s="171">
        <f t="shared" si="1"/>
        <v>238453.34169700649</v>
      </c>
      <c r="G51" s="152">
        <f>'A) Base RI'!AM53</f>
        <v>46</v>
      </c>
      <c r="H51" s="160">
        <f t="shared" si="2"/>
        <v>0.68089373873769132</v>
      </c>
      <c r="I51" s="175">
        <f t="shared" si="3"/>
        <v>162361.38734257096</v>
      </c>
    </row>
    <row r="52" spans="1:9" x14ac:dyDescent="0.25">
      <c r="A52" s="53">
        <f>'A) Base RI'!A54</f>
        <v>5483</v>
      </c>
      <c r="B52" s="9" t="str">
        <f>'A) Base RI'!B54</f>
        <v>Ferreyres</v>
      </c>
      <c r="C52" s="127">
        <f>'A) Base RI'!AN54</f>
        <v>316</v>
      </c>
      <c r="D52" s="168">
        <f>'D) Ecrêtage'!N52</f>
        <v>30.929922551632242</v>
      </c>
      <c r="E52" s="37">
        <f t="shared" si="4"/>
        <v>13.165139035005961</v>
      </c>
      <c r="F52" s="171">
        <f t="shared" si="1"/>
        <v>85366.974347469863</v>
      </c>
      <c r="G52" s="152">
        <f>'A) Base RI'!AM54</f>
        <v>76</v>
      </c>
      <c r="H52" s="160">
        <f t="shared" si="2"/>
        <v>1.1249548726970553</v>
      </c>
      <c r="I52" s="175">
        <f t="shared" si="3"/>
        <v>96033.99375959074</v>
      </c>
    </row>
    <row r="53" spans="1:9" x14ac:dyDescent="0.25">
      <c r="A53" s="53">
        <f>'A) Base RI'!A55</f>
        <v>5484</v>
      </c>
      <c r="B53" s="9" t="str">
        <f>'A) Base RI'!B55</f>
        <v>Gollion</v>
      </c>
      <c r="C53" s="127">
        <f>'A) Base RI'!AN55</f>
        <v>902</v>
      </c>
      <c r="D53" s="168">
        <f>'D) Ecrêtage'!N53</f>
        <v>32.221420566908378</v>
      </c>
      <c r="E53" s="37">
        <f t="shared" si="4"/>
        <v>11.873641019729824</v>
      </c>
      <c r="F53" s="171">
        <f t="shared" si="1"/>
        <v>213986.28351193015</v>
      </c>
      <c r="G53" s="152">
        <f>'A) Base RI'!AM55</f>
        <v>74</v>
      </c>
      <c r="H53" s="160">
        <f t="shared" si="2"/>
        <v>1.0953507970997642</v>
      </c>
      <c r="I53" s="175">
        <f t="shared" si="3"/>
        <v>234390.04621320881</v>
      </c>
    </row>
    <row r="54" spans="1:9" x14ac:dyDescent="0.25">
      <c r="A54" s="53">
        <f>'A) Base RI'!A56</f>
        <v>5485</v>
      </c>
      <c r="B54" s="9" t="str">
        <f>'A) Base RI'!B56</f>
        <v>Grancy</v>
      </c>
      <c r="C54" s="127">
        <f>'A) Base RI'!AN56</f>
        <v>408</v>
      </c>
      <c r="D54" s="168">
        <f>'D) Ecrêtage'!N54</f>
        <v>36.945950980392155</v>
      </c>
      <c r="E54" s="37">
        <f t="shared" si="4"/>
        <v>7.1491106062460474</v>
      </c>
      <c r="F54" s="171">
        <f t="shared" si="1"/>
        <v>55128.22170688452</v>
      </c>
      <c r="G54" s="152">
        <f>'A) Base RI'!AM56</f>
        <v>70</v>
      </c>
      <c r="H54" s="160">
        <f t="shared" si="2"/>
        <v>1.0361426459051826</v>
      </c>
      <c r="I54" s="175">
        <f t="shared" si="3"/>
        <v>57120.701503418844</v>
      </c>
    </row>
    <row r="55" spans="1:9" x14ac:dyDescent="0.25">
      <c r="A55" s="53">
        <f>'A) Base RI'!A57</f>
        <v>5486</v>
      </c>
      <c r="B55" s="9" t="str">
        <f>'A) Base RI'!B57</f>
        <v>L'Isle</v>
      </c>
      <c r="C55" s="127">
        <f>'A) Base RI'!AN57</f>
        <v>1033</v>
      </c>
      <c r="D55" s="168">
        <f>'D) Ecrêtage'!N55</f>
        <v>28.881496662760483</v>
      </c>
      <c r="E55" s="37">
        <f t="shared" si="4"/>
        <v>15.213564923877719</v>
      </c>
      <c r="F55" s="171">
        <f t="shared" si="1"/>
        <v>322484.36986182386</v>
      </c>
      <c r="G55" s="152">
        <f>'A) Base RI'!AM57</f>
        <v>76</v>
      </c>
      <c r="H55" s="160">
        <f t="shared" si="2"/>
        <v>1.1249548726970553</v>
      </c>
      <c r="I55" s="175">
        <f t="shared" si="3"/>
        <v>362780.36324469815</v>
      </c>
    </row>
    <row r="56" spans="1:9" x14ac:dyDescent="0.25">
      <c r="A56" s="53">
        <f>'A) Base RI'!A58</f>
        <v>5487</v>
      </c>
      <c r="B56" s="9" t="str">
        <f>'A) Base RI'!B58</f>
        <v>Lussery-Villars</v>
      </c>
      <c r="C56" s="127">
        <f>'A) Base RI'!AN58</f>
        <v>462</v>
      </c>
      <c r="D56" s="168">
        <f>'D) Ecrêtage'!N56</f>
        <v>28.449781321619554</v>
      </c>
      <c r="E56" s="37">
        <f t="shared" si="4"/>
        <v>15.645280265018648</v>
      </c>
      <c r="F56" s="171">
        <f t="shared" si="1"/>
        <v>132708.27369757299</v>
      </c>
      <c r="G56" s="152">
        <f>'A) Base RI'!AM58</f>
        <v>68</v>
      </c>
      <c r="H56" s="160">
        <f t="shared" si="2"/>
        <v>1.0065385703078915</v>
      </c>
      <c r="I56" s="175">
        <f t="shared" si="3"/>
        <v>133575.99607558348</v>
      </c>
    </row>
    <row r="57" spans="1:9" x14ac:dyDescent="0.25">
      <c r="A57" s="53">
        <f>'A) Base RI'!A59</f>
        <v>5488</v>
      </c>
      <c r="B57" s="9" t="str">
        <f>'A) Base RI'!B59</f>
        <v>Mauraz</v>
      </c>
      <c r="C57" s="127">
        <f>'A) Base RI'!AN59</f>
        <v>53</v>
      </c>
      <c r="D57" s="168">
        <f>'D) Ecrêtage'!N57</f>
        <v>30.281073431922493</v>
      </c>
      <c r="E57" s="37">
        <f t="shared" si="4"/>
        <v>13.813988154715709</v>
      </c>
      <c r="F57" s="171">
        <f t="shared" si="1"/>
        <v>14628.184616554654</v>
      </c>
      <c r="G57" s="152">
        <f>'A) Base RI'!AM59</f>
        <v>74</v>
      </c>
      <c r="H57" s="160">
        <f t="shared" si="2"/>
        <v>1.0953507970997642</v>
      </c>
      <c r="I57" s="175">
        <f t="shared" si="3"/>
        <v>16022.993679865649</v>
      </c>
    </row>
    <row r="58" spans="1:9" x14ac:dyDescent="0.25">
      <c r="A58" s="53">
        <f>'A) Base RI'!A60</f>
        <v>5489</v>
      </c>
      <c r="B58" s="9" t="str">
        <f>'A) Base RI'!B60</f>
        <v>Mex</v>
      </c>
      <c r="C58" s="127">
        <f>'A) Base RI'!AN60</f>
        <v>710</v>
      </c>
      <c r="D58" s="168">
        <f>'D) Ecrêtage'!N58</f>
        <v>62.469685534416001</v>
      </c>
      <c r="E58" s="37">
        <f t="shared" si="4"/>
        <v>0</v>
      </c>
      <c r="F58" s="171">
        <f t="shared" si="1"/>
        <v>0</v>
      </c>
      <c r="G58" s="152">
        <f>'A) Base RI'!AM60</f>
        <v>61</v>
      </c>
      <c r="H58" s="160">
        <f t="shared" si="2"/>
        <v>0.90292430571737325</v>
      </c>
      <c r="I58" s="175">
        <f t="shared" si="3"/>
        <v>0</v>
      </c>
    </row>
    <row r="59" spans="1:9" x14ac:dyDescent="0.25">
      <c r="A59" s="53">
        <f>'A) Base RI'!A61</f>
        <v>5490</v>
      </c>
      <c r="B59" s="9" t="str">
        <f>'A) Base RI'!B61</f>
        <v>Moiry</v>
      </c>
      <c r="C59" s="127">
        <f>'A) Base RI'!AN61</f>
        <v>304</v>
      </c>
      <c r="D59" s="168">
        <f>'D) Ecrêtage'!N59</f>
        <v>24.493181855100715</v>
      </c>
      <c r="E59" s="37">
        <f t="shared" si="4"/>
        <v>19.601879731537487</v>
      </c>
      <c r="F59" s="171">
        <f t="shared" si="1"/>
        <v>130322.70535753235</v>
      </c>
      <c r="G59" s="152">
        <f>'A) Base RI'!AM61</f>
        <v>81</v>
      </c>
      <c r="H59" s="160">
        <f t="shared" si="2"/>
        <v>1.1989650616902825</v>
      </c>
      <c r="I59" s="175">
        <f t="shared" si="3"/>
        <v>156252.37046863828</v>
      </c>
    </row>
    <row r="60" spans="1:9" x14ac:dyDescent="0.25">
      <c r="A60" s="53">
        <f>'A) Base RI'!A62</f>
        <v>5491</v>
      </c>
      <c r="B60" s="9" t="str">
        <f>'A) Base RI'!B62</f>
        <v>Mont-la-Ville</v>
      </c>
      <c r="C60" s="127">
        <f>'A) Base RI'!AN62</f>
        <v>402</v>
      </c>
      <c r="D60" s="168">
        <f>'D) Ecrêtage'!N60</f>
        <v>21.782170070699134</v>
      </c>
      <c r="E60" s="37">
        <f t="shared" si="4"/>
        <v>22.312891515939068</v>
      </c>
      <c r="F60" s="171">
        <f t="shared" si="1"/>
        <v>184059.934630642</v>
      </c>
      <c r="G60" s="152">
        <f>'A) Base RI'!AM62</f>
        <v>76</v>
      </c>
      <c r="H60" s="160">
        <f t="shared" si="2"/>
        <v>1.1249548726970553</v>
      </c>
      <c r="I60" s="175">
        <f t="shared" si="3"/>
        <v>207059.12033104218</v>
      </c>
    </row>
    <row r="61" spans="1:9" x14ac:dyDescent="0.25">
      <c r="A61" s="53">
        <f>'A) Base RI'!A63</f>
        <v>5492</v>
      </c>
      <c r="B61" s="9" t="str">
        <f>'A) Base RI'!B63</f>
        <v>Montricher</v>
      </c>
      <c r="C61" s="127">
        <f>'A) Base RI'!AN63</f>
        <v>951</v>
      </c>
      <c r="D61" s="168">
        <f>'D) Ecrêtage'!N61</f>
        <v>122.73626711124011</v>
      </c>
      <c r="E61" s="37">
        <f t="shared" si="4"/>
        <v>0</v>
      </c>
      <c r="F61" s="171">
        <f t="shared" si="1"/>
        <v>0</v>
      </c>
      <c r="G61" s="152">
        <f>'A) Base RI'!AM63</f>
        <v>64</v>
      </c>
      <c r="H61" s="160">
        <f t="shared" si="2"/>
        <v>0.94733041911330973</v>
      </c>
      <c r="I61" s="175">
        <f t="shared" si="3"/>
        <v>0</v>
      </c>
    </row>
    <row r="62" spans="1:9" x14ac:dyDescent="0.25">
      <c r="A62" s="53">
        <f>'A) Base RI'!A64</f>
        <v>5493</v>
      </c>
      <c r="B62" s="9" t="str">
        <f>'A) Base RI'!B64</f>
        <v>Orny</v>
      </c>
      <c r="C62" s="127">
        <f>'A) Base RI'!AN64</f>
        <v>371</v>
      </c>
      <c r="D62" s="168">
        <f>'D) Ecrêtage'!N62</f>
        <v>24.472001567829949</v>
      </c>
      <c r="E62" s="37">
        <f t="shared" si="4"/>
        <v>19.623060018808253</v>
      </c>
      <c r="F62" s="171">
        <f t="shared" si="1"/>
        <v>143491.86031213368</v>
      </c>
      <c r="G62" s="152">
        <f>'A) Base RI'!AM64</f>
        <v>73</v>
      </c>
      <c r="H62" s="160">
        <f t="shared" si="2"/>
        <v>1.0805487593011189</v>
      </c>
      <c r="I62" s="175">
        <f t="shared" ref="I62:I116" si="5">F62*H62</f>
        <v>155049.9516300855</v>
      </c>
    </row>
    <row r="63" spans="1:9" x14ac:dyDescent="0.25">
      <c r="A63" s="53">
        <f>'A) Base RI'!A65</f>
        <v>5494</v>
      </c>
      <c r="B63" s="9" t="str">
        <f>'A) Base RI'!B65</f>
        <v>Pampigny</v>
      </c>
      <c r="C63" s="127">
        <f>'A) Base RI'!AN65</f>
        <v>1116</v>
      </c>
      <c r="D63" s="168">
        <f>'D) Ecrêtage'!N63</f>
        <v>32.973111492291061</v>
      </c>
      <c r="E63" s="37">
        <f t="shared" si="4"/>
        <v>11.121950094347142</v>
      </c>
      <c r="F63" s="171">
        <f t="shared" si="1"/>
        <v>251344.95018215108</v>
      </c>
      <c r="G63" s="152">
        <f>'A) Base RI'!AM65</f>
        <v>75</v>
      </c>
      <c r="H63" s="160">
        <f t="shared" si="2"/>
        <v>1.1101528348984098</v>
      </c>
      <c r="I63" s="175">
        <f t="shared" si="5"/>
        <v>279031.3089821146</v>
      </c>
    </row>
    <row r="64" spans="1:9" x14ac:dyDescent="0.25">
      <c r="A64" s="53">
        <f>'A) Base RI'!A66</f>
        <v>5495</v>
      </c>
      <c r="B64" s="9" t="str">
        <f>'A) Base RI'!B66</f>
        <v>Penthalaz</v>
      </c>
      <c r="C64" s="127">
        <f>'A) Base RI'!AN66</f>
        <v>3252</v>
      </c>
      <c r="D64" s="168">
        <f>'D) Ecrêtage'!N64</f>
        <v>30.57688441208736</v>
      </c>
      <c r="E64" s="37">
        <f t="shared" si="4"/>
        <v>13.518177174550843</v>
      </c>
      <c r="F64" s="171">
        <f t="shared" si="1"/>
        <v>878343.02118935401</v>
      </c>
      <c r="G64" s="152">
        <f>'A) Base RI'!AM66</f>
        <v>74</v>
      </c>
      <c r="H64" s="160">
        <f t="shared" si="2"/>
        <v>1.0953507970997642</v>
      </c>
      <c r="I64" s="175">
        <f t="shared" si="5"/>
        <v>962093.72838677408</v>
      </c>
    </row>
    <row r="65" spans="1:9" x14ac:dyDescent="0.25">
      <c r="A65" s="53">
        <f>'A) Base RI'!A67</f>
        <v>5496</v>
      </c>
      <c r="B65" s="9" t="str">
        <f>'A) Base RI'!B67</f>
        <v>Penthaz</v>
      </c>
      <c r="C65" s="127">
        <f>'A) Base RI'!AN67</f>
        <v>1703</v>
      </c>
      <c r="D65" s="168">
        <f>'D) Ecrêtage'!N65</f>
        <v>31.066146402785474</v>
      </c>
      <c r="E65" s="37">
        <f t="shared" si="4"/>
        <v>13.028915183852728</v>
      </c>
      <c r="F65" s="171">
        <f t="shared" si="1"/>
        <v>425348.60983879992</v>
      </c>
      <c r="G65" s="152">
        <f>'A) Base RI'!AM67</f>
        <v>71</v>
      </c>
      <c r="H65" s="160">
        <f t="shared" si="2"/>
        <v>1.0509446837038279</v>
      </c>
      <c r="I65" s="175">
        <f t="shared" si="5"/>
        <v>447017.86023090046</v>
      </c>
    </row>
    <row r="66" spans="1:9" x14ac:dyDescent="0.25">
      <c r="A66" s="53">
        <f>'A) Base RI'!A68</f>
        <v>5497</v>
      </c>
      <c r="B66" s="9" t="str">
        <f>'A) Base RI'!B68</f>
        <v>Pompaples</v>
      </c>
      <c r="C66" s="127">
        <f>'A) Base RI'!AN68</f>
        <v>859</v>
      </c>
      <c r="D66" s="168">
        <f>'D) Ecrêtage'!N66</f>
        <v>25.928531061487995</v>
      </c>
      <c r="E66" s="37">
        <f t="shared" si="4"/>
        <v>18.166530525150208</v>
      </c>
      <c r="F66" s="171">
        <f t="shared" si="1"/>
        <v>278081.98603007384</v>
      </c>
      <c r="G66" s="152">
        <f>'A) Base RI'!AM68</f>
        <v>66</v>
      </c>
      <c r="H66" s="160">
        <f t="shared" si="2"/>
        <v>0.97693449471060068</v>
      </c>
      <c r="I66" s="175">
        <f t="shared" si="5"/>
        <v>271667.88451041048</v>
      </c>
    </row>
    <row r="67" spans="1:9" x14ac:dyDescent="0.25">
      <c r="A67" s="53">
        <f>'A) Base RI'!A69</f>
        <v>5498</v>
      </c>
      <c r="B67" s="9" t="str">
        <f>'A) Base RI'!B69</f>
        <v>La Sarraz</v>
      </c>
      <c r="C67" s="127">
        <f>'A) Base RI'!AN69</f>
        <v>2567</v>
      </c>
      <c r="D67" s="168">
        <f>'D) Ecrêtage'!N67</f>
        <v>28.751312462372059</v>
      </c>
      <c r="E67" s="37">
        <f t="shared" si="4"/>
        <v>15.343749124266143</v>
      </c>
      <c r="F67" s="171">
        <f t="shared" si="1"/>
        <v>701883.53931548307</v>
      </c>
      <c r="G67" s="152">
        <f>'A) Base RI'!AM69</f>
        <v>66</v>
      </c>
      <c r="H67" s="160">
        <f t="shared" si="2"/>
        <v>0.97693449471060068</v>
      </c>
      <c r="I67" s="175">
        <f t="shared" si="5"/>
        <v>685694.24082685949</v>
      </c>
    </row>
    <row r="68" spans="1:9" x14ac:dyDescent="0.25">
      <c r="A68" s="53">
        <f>'A) Base RI'!A70</f>
        <v>5499</v>
      </c>
      <c r="B68" s="9" t="str">
        <f>'A) Base RI'!B70</f>
        <v>Senarclens</v>
      </c>
      <c r="C68" s="127">
        <f>'A) Base RI'!AN70</f>
        <v>459</v>
      </c>
      <c r="D68" s="168">
        <f>'D) Ecrêtage'!N68</f>
        <v>40.492237011592955</v>
      </c>
      <c r="E68" s="37">
        <f t="shared" si="4"/>
        <v>3.602824575045247</v>
      </c>
      <c r="F68" s="171">
        <f t="shared" si="1"/>
        <v>30585.116396596983</v>
      </c>
      <c r="G68" s="152">
        <f>'A) Base RI'!AM70</f>
        <v>68.5</v>
      </c>
      <c r="H68" s="160">
        <f t="shared" si="2"/>
        <v>1.0139395892072143</v>
      </c>
      <c r="I68" s="175">
        <f t="shared" si="5"/>
        <v>31011.460355020379</v>
      </c>
    </row>
    <row r="69" spans="1:9" x14ac:dyDescent="0.25">
      <c r="A69" s="53">
        <f>'A) Base RI'!A71</f>
        <v>5500</v>
      </c>
      <c r="B69" s="9" t="str">
        <f>'A) Base RI'!B71</f>
        <v>Sévery</v>
      </c>
      <c r="C69" s="127">
        <f>'A) Base RI'!AN71</f>
        <v>243</v>
      </c>
      <c r="D69" s="168">
        <f>'D) Ecrêtage'!N69</f>
        <v>33.040134557071688</v>
      </c>
      <c r="E69" s="37">
        <f t="shared" si="4"/>
        <v>11.054927029566514</v>
      </c>
      <c r="F69" s="171">
        <f t="shared" ref="F69:F132" si="6">(C69*E69*G69)*$E$4</f>
        <v>55123.845943149288</v>
      </c>
      <c r="G69" s="152">
        <f>'A) Base RI'!AM71</f>
        <v>76</v>
      </c>
      <c r="H69" s="160">
        <f t="shared" si="2"/>
        <v>1.1249548726970553</v>
      </c>
      <c r="I69" s="175">
        <f t="shared" si="5"/>
        <v>62011.839095547599</v>
      </c>
    </row>
    <row r="70" spans="1:9" x14ac:dyDescent="0.25">
      <c r="A70" s="53">
        <f>'A) Base RI'!A72</f>
        <v>5501</v>
      </c>
      <c r="B70" s="9" t="str">
        <f>'A) Base RI'!B72</f>
        <v>Sullens</v>
      </c>
      <c r="C70" s="127">
        <f>'A) Base RI'!AN72</f>
        <v>978</v>
      </c>
      <c r="D70" s="168">
        <f>'D) Ecrêtage'!N70</f>
        <v>36.541564563248613</v>
      </c>
      <c r="E70" s="37">
        <f t="shared" si="4"/>
        <v>7.5534970233895891</v>
      </c>
      <c r="F70" s="171">
        <f t="shared" si="6"/>
        <v>139620.34967973785</v>
      </c>
      <c r="G70" s="152">
        <f>'A) Base RI'!AM72</f>
        <v>70</v>
      </c>
      <c r="H70" s="160">
        <f t="shared" ref="H70:H133" si="7">G70/$G$323</f>
        <v>1.0361426459051826</v>
      </c>
      <c r="I70" s="175">
        <f t="shared" si="5"/>
        <v>144666.59853937037</v>
      </c>
    </row>
    <row r="71" spans="1:9" x14ac:dyDescent="0.25">
      <c r="A71" s="53">
        <f>'A) Base RI'!A73</f>
        <v>5503</v>
      </c>
      <c r="B71" s="9" t="str">
        <f>'A) Base RI'!B73</f>
        <v>Vufflens-la-Ville</v>
      </c>
      <c r="C71" s="127">
        <f>'A) Base RI'!AN73</f>
        <v>1252</v>
      </c>
      <c r="D71" s="168">
        <f>'D) Ecrêtage'!N71</f>
        <v>51.859157686010839</v>
      </c>
      <c r="E71" s="37">
        <f t="shared" si="4"/>
        <v>0</v>
      </c>
      <c r="F71" s="171">
        <f t="shared" si="6"/>
        <v>0</v>
      </c>
      <c r="G71" s="152">
        <f>'A) Base RI'!AM73</f>
        <v>67</v>
      </c>
      <c r="H71" s="160">
        <f t="shared" si="7"/>
        <v>0.99173653250924609</v>
      </c>
      <c r="I71" s="175">
        <f t="shared" si="5"/>
        <v>0</v>
      </c>
    </row>
    <row r="72" spans="1:9" x14ac:dyDescent="0.25">
      <c r="A72" s="53">
        <f>'A) Base RI'!A74</f>
        <v>5511</v>
      </c>
      <c r="B72" s="9" t="str">
        <f>'A) Base RI'!B74</f>
        <v>Assens</v>
      </c>
      <c r="C72" s="127">
        <f>'A) Base RI'!AN74</f>
        <v>1060</v>
      </c>
      <c r="D72" s="168">
        <f>'D) Ecrêtage'!N72</f>
        <v>37.729572102425877</v>
      </c>
      <c r="E72" s="37">
        <f t="shared" si="4"/>
        <v>6.3654894842123255</v>
      </c>
      <c r="F72" s="171">
        <f t="shared" si="6"/>
        <v>127526.21632670975</v>
      </c>
      <c r="G72" s="152">
        <f>'A) Base RI'!AM74</f>
        <v>70</v>
      </c>
      <c r="H72" s="160">
        <f t="shared" si="7"/>
        <v>1.0361426459051826</v>
      </c>
      <c r="I72" s="175">
        <f t="shared" si="5"/>
        <v>132135.35120703373</v>
      </c>
    </row>
    <row r="73" spans="1:9" x14ac:dyDescent="0.25">
      <c r="A73" s="53">
        <f>'A) Base RI'!A75</f>
        <v>5512</v>
      </c>
      <c r="B73" s="9" t="str">
        <f>'A) Base RI'!B75</f>
        <v>Bercher</v>
      </c>
      <c r="C73" s="127">
        <f>'A) Base RI'!AN75</f>
        <v>1157</v>
      </c>
      <c r="D73" s="168">
        <f>'D) Ecrêtage'!N73</f>
        <v>30.333848123146947</v>
      </c>
      <c r="E73" s="37">
        <f t="shared" si="4"/>
        <v>13.761213463491256</v>
      </c>
      <c r="F73" s="171">
        <f t="shared" si="6"/>
        <v>339610.37243494263</v>
      </c>
      <c r="G73" s="152">
        <f>'A) Base RI'!AM75</f>
        <v>79</v>
      </c>
      <c r="H73" s="160">
        <f t="shared" si="7"/>
        <v>1.1693609860929917</v>
      </c>
      <c r="I73" s="175">
        <f t="shared" si="5"/>
        <v>397127.11999793269</v>
      </c>
    </row>
    <row r="74" spans="1:9" x14ac:dyDescent="0.25">
      <c r="A74" s="53">
        <f>'A) Base RI'!A76</f>
        <v>5513</v>
      </c>
      <c r="B74" s="9" t="str">
        <f>'A) Base RI'!B76</f>
        <v>Bioley-Orjulaz</v>
      </c>
      <c r="C74" s="127">
        <f>'A) Base RI'!AN76</f>
        <v>483</v>
      </c>
      <c r="D74" s="168">
        <f>'D) Ecrêtage'!N74</f>
        <v>46.462169834995926</v>
      </c>
      <c r="E74" s="37">
        <f t="shared" si="4"/>
        <v>0</v>
      </c>
      <c r="F74" s="171">
        <f t="shared" si="6"/>
        <v>0</v>
      </c>
      <c r="G74" s="152">
        <f>'A) Base RI'!AM76</f>
        <v>66</v>
      </c>
      <c r="H74" s="160">
        <f t="shared" si="7"/>
        <v>0.97693449471060068</v>
      </c>
      <c r="I74" s="175">
        <f t="shared" si="5"/>
        <v>0</v>
      </c>
    </row>
    <row r="75" spans="1:9" x14ac:dyDescent="0.25">
      <c r="A75" s="53">
        <f>'A) Base RI'!A77</f>
        <v>5514</v>
      </c>
      <c r="B75" s="9" t="str">
        <f>'A) Base RI'!B77</f>
        <v>Bottens</v>
      </c>
      <c r="C75" s="127">
        <f>'A) Base RI'!AN77</f>
        <v>1240</v>
      </c>
      <c r="D75" s="168">
        <f>'D) Ecrêtage'!N75</f>
        <v>32.725762038335674</v>
      </c>
      <c r="E75" s="37">
        <f t="shared" si="4"/>
        <v>11.369299548302529</v>
      </c>
      <c r="F75" s="171">
        <f t="shared" si="6"/>
        <v>262644.46272524638</v>
      </c>
      <c r="G75" s="152">
        <f>'A) Base RI'!AM77</f>
        <v>69</v>
      </c>
      <c r="H75" s="160">
        <f t="shared" si="7"/>
        <v>1.021340608106537</v>
      </c>
      <c r="I75" s="175">
        <f t="shared" si="5"/>
        <v>268249.45527561783</v>
      </c>
    </row>
    <row r="76" spans="1:9" x14ac:dyDescent="0.25">
      <c r="A76" s="53">
        <f>'A) Base RI'!A78</f>
        <v>5515</v>
      </c>
      <c r="B76" s="9" t="str">
        <f>'A) Base RI'!B78</f>
        <v>Bretigny-sur-Morrens</v>
      </c>
      <c r="C76" s="127">
        <f>'A) Base RI'!AN78</f>
        <v>817</v>
      </c>
      <c r="D76" s="168">
        <f>'D) Ecrêtage'!N76</f>
        <v>31.40144481145521</v>
      </c>
      <c r="E76" s="37">
        <f t="shared" si="4"/>
        <v>12.693616775182992</v>
      </c>
      <c r="F76" s="171">
        <f t="shared" si="6"/>
        <v>204406.19948394599</v>
      </c>
      <c r="G76" s="152">
        <f>'A) Base RI'!AM78</f>
        <v>73</v>
      </c>
      <c r="H76" s="160">
        <f t="shared" si="7"/>
        <v>1.0805487593011189</v>
      </c>
      <c r="I76" s="175">
        <f t="shared" si="5"/>
        <v>220870.86524583487</v>
      </c>
    </row>
    <row r="77" spans="1:9" x14ac:dyDescent="0.25">
      <c r="A77" s="53">
        <f>'A) Base RI'!A79</f>
        <v>5516</v>
      </c>
      <c r="B77" s="9" t="str">
        <f>'A) Base RI'!B79</f>
        <v>Cugy</v>
      </c>
      <c r="C77" s="127">
        <f>'A) Base RI'!AN79</f>
        <v>2739</v>
      </c>
      <c r="D77" s="168">
        <f>'D) Ecrêtage'!N77</f>
        <v>39.325503781359188</v>
      </c>
      <c r="E77" s="37">
        <f t="shared" si="4"/>
        <v>4.769557805279014</v>
      </c>
      <c r="F77" s="171">
        <f t="shared" si="6"/>
        <v>246906.17586165926</v>
      </c>
      <c r="G77" s="152">
        <f>'A) Base RI'!AM79</f>
        <v>70</v>
      </c>
      <c r="H77" s="160">
        <f t="shared" si="7"/>
        <v>1.0361426459051826</v>
      </c>
      <c r="I77" s="175">
        <f t="shared" si="5"/>
        <v>255830.01834762993</v>
      </c>
    </row>
    <row r="78" spans="1:9" x14ac:dyDescent="0.25">
      <c r="A78" s="53">
        <f>'A) Base RI'!A80</f>
        <v>5518</v>
      </c>
      <c r="B78" s="9" t="str">
        <f>'A) Base RI'!B80</f>
        <v>Echallens</v>
      </c>
      <c r="C78" s="127">
        <f>'A) Base RI'!AN80</f>
        <v>5677</v>
      </c>
      <c r="D78" s="168">
        <f>'D) Ecrêtage'!N78</f>
        <v>32.987044784788317</v>
      </c>
      <c r="E78" s="37">
        <f t="shared" si="4"/>
        <v>11.108016801849885</v>
      </c>
      <c r="F78" s="171">
        <f t="shared" si="6"/>
        <v>1259943.0234543539</v>
      </c>
      <c r="G78" s="152">
        <f>'A) Base RI'!AM80</f>
        <v>74</v>
      </c>
      <c r="H78" s="160">
        <f t="shared" si="7"/>
        <v>1.0953507970997642</v>
      </c>
      <c r="I78" s="175">
        <f t="shared" si="5"/>
        <v>1380079.5950410136</v>
      </c>
    </row>
    <row r="79" spans="1:9" x14ac:dyDescent="0.25">
      <c r="A79" s="53">
        <f>'A) Base RI'!A81</f>
        <v>5520</v>
      </c>
      <c r="B79" s="9" t="str">
        <f>'A) Base RI'!B81</f>
        <v>Essertines-sur-Yverdon</v>
      </c>
      <c r="C79" s="127">
        <f>'A) Base RI'!AN81</f>
        <v>943</v>
      </c>
      <c r="D79" s="168">
        <f>'D) Ecrêtage'!N79</f>
        <v>29.79480018594111</v>
      </c>
      <c r="E79" s="37">
        <f t="shared" si="4"/>
        <v>14.300261400697092</v>
      </c>
      <c r="F79" s="171">
        <f t="shared" si="6"/>
        <v>265792.23753189854</v>
      </c>
      <c r="G79" s="152">
        <f>'A) Base RI'!AM81</f>
        <v>73</v>
      </c>
      <c r="H79" s="160">
        <f t="shared" si="7"/>
        <v>1.0805487593011189</v>
      </c>
      <c r="I79" s="175">
        <f t="shared" si="5"/>
        <v>287201.47249696124</v>
      </c>
    </row>
    <row r="80" spans="1:9" x14ac:dyDescent="0.25">
      <c r="A80" s="53">
        <f>'A) Base RI'!A82</f>
        <v>5521</v>
      </c>
      <c r="B80" s="9" t="str">
        <f>'A) Base RI'!B82</f>
        <v>Etagnières</v>
      </c>
      <c r="C80" s="127">
        <f>'A) Base RI'!AN82</f>
        <v>1118</v>
      </c>
      <c r="D80" s="168">
        <f>'D) Ecrêtage'!N80</f>
        <v>36.366768569118037</v>
      </c>
      <c r="E80" s="37">
        <f t="shared" ref="E80:E143" si="8">IF($D$323-D80&lt;0,0,$D$323-D80)</f>
        <v>7.7282930175201656</v>
      </c>
      <c r="F80" s="171">
        <f t="shared" si="6"/>
        <v>170298.9647096105</v>
      </c>
      <c r="G80" s="152">
        <f>'A) Base RI'!AM82</f>
        <v>73</v>
      </c>
      <c r="H80" s="160">
        <f t="shared" si="7"/>
        <v>1.0805487593011189</v>
      </c>
      <c r="I80" s="175">
        <f t="shared" si="5"/>
        <v>184016.33502723466</v>
      </c>
    </row>
    <row r="81" spans="1:9" x14ac:dyDescent="0.25">
      <c r="A81" s="53">
        <f>'A) Base RI'!A83</f>
        <v>5522</v>
      </c>
      <c r="B81" s="9" t="str">
        <f>'A) Base RI'!B83</f>
        <v>Fey</v>
      </c>
      <c r="C81" s="127">
        <f>'A) Base RI'!AN83</f>
        <v>696</v>
      </c>
      <c r="D81" s="168">
        <f>'D) Ecrêtage'!N81</f>
        <v>27.455688697318006</v>
      </c>
      <c r="E81" s="37">
        <f t="shared" si="8"/>
        <v>16.639372889320196</v>
      </c>
      <c r="F81" s="171">
        <f t="shared" si="6"/>
        <v>234515.32150207888</v>
      </c>
      <c r="G81" s="152">
        <f>'A) Base RI'!AM83</f>
        <v>75</v>
      </c>
      <c r="H81" s="160">
        <f t="shared" si="7"/>
        <v>1.1101528348984098</v>
      </c>
      <c r="I81" s="175">
        <f t="shared" si="5"/>
        <v>260347.84899264487</v>
      </c>
    </row>
    <row r="82" spans="1:9" x14ac:dyDescent="0.25">
      <c r="A82" s="53">
        <f>'A) Base RI'!A84</f>
        <v>5523</v>
      </c>
      <c r="B82" s="9" t="str">
        <f>'A) Base RI'!B84</f>
        <v>Froideville</v>
      </c>
      <c r="C82" s="127">
        <f>'A) Base RI'!AN84</f>
        <v>2459</v>
      </c>
      <c r="D82" s="168">
        <f>'D) Ecrêtage'!N82</f>
        <v>31.394085903555151</v>
      </c>
      <c r="E82" s="37">
        <f t="shared" si="8"/>
        <v>12.700975683083051</v>
      </c>
      <c r="F82" s="171">
        <f t="shared" si="6"/>
        <v>640874.46768046916</v>
      </c>
      <c r="G82" s="152">
        <f>'A) Base RI'!AM84</f>
        <v>76</v>
      </c>
      <c r="H82" s="160">
        <f t="shared" si="7"/>
        <v>1.1249548726970553</v>
      </c>
      <c r="I82" s="175">
        <f t="shared" si="5"/>
        <v>720954.85520427523</v>
      </c>
    </row>
    <row r="83" spans="1:9" x14ac:dyDescent="0.25">
      <c r="A83" s="53">
        <f>'A) Base RI'!A85</f>
        <v>5527</v>
      </c>
      <c r="B83" s="9" t="str">
        <f>'A) Base RI'!B85</f>
        <v>Morrens</v>
      </c>
      <c r="C83" s="127">
        <f>'A) Base RI'!AN85</f>
        <v>1074</v>
      </c>
      <c r="D83" s="168">
        <f>'D) Ecrêtage'!N83</f>
        <v>34.972734938495037</v>
      </c>
      <c r="E83" s="37">
        <f t="shared" si="8"/>
        <v>9.1223266481431651</v>
      </c>
      <c r="F83" s="171">
        <f t="shared" si="6"/>
        <v>187815.75198142743</v>
      </c>
      <c r="G83" s="152">
        <f>'A) Base RI'!AM85</f>
        <v>71</v>
      </c>
      <c r="H83" s="160">
        <f t="shared" si="7"/>
        <v>1.0509446837038279</v>
      </c>
      <c r="I83" s="175">
        <f t="shared" si="5"/>
        <v>197383.96606071782</v>
      </c>
    </row>
    <row r="84" spans="1:9" x14ac:dyDescent="0.25">
      <c r="A84" s="53">
        <f>'A) Base RI'!A86</f>
        <v>5529</v>
      </c>
      <c r="B84" s="9" t="str">
        <f>'A) Base RI'!B86</f>
        <v>Oulens-sous-Echallens</v>
      </c>
      <c r="C84" s="127">
        <f>'A) Base RI'!AN86</f>
        <v>560</v>
      </c>
      <c r="D84" s="168">
        <f>'D) Ecrêtage'!N84</f>
        <v>35.490825704225358</v>
      </c>
      <c r="E84" s="37">
        <f t="shared" si="8"/>
        <v>8.6042358824128442</v>
      </c>
      <c r="F84" s="171">
        <f t="shared" si="6"/>
        <v>92368.193044878368</v>
      </c>
      <c r="G84" s="152">
        <f>'A) Base RI'!AM86</f>
        <v>71</v>
      </c>
      <c r="H84" s="160">
        <f t="shared" si="7"/>
        <v>1.0509446837038279</v>
      </c>
      <c r="I84" s="175">
        <f t="shared" si="5"/>
        <v>97073.861423843817</v>
      </c>
    </row>
    <row r="85" spans="1:9" x14ac:dyDescent="0.25">
      <c r="A85" s="53">
        <f>'A) Base RI'!A87</f>
        <v>5530</v>
      </c>
      <c r="B85" s="9" t="str">
        <f>'A) Base RI'!B87</f>
        <v>Pailly</v>
      </c>
      <c r="C85" s="127">
        <f>'A) Base RI'!AN87</f>
        <v>534</v>
      </c>
      <c r="D85" s="168">
        <f>'D) Ecrêtage'!N85</f>
        <v>28.599302726430679</v>
      </c>
      <c r="E85" s="37">
        <f t="shared" si="8"/>
        <v>15.495758860207523</v>
      </c>
      <c r="F85" s="171">
        <f t="shared" si="6"/>
        <v>173148.83471601587</v>
      </c>
      <c r="G85" s="152">
        <f>'A) Base RI'!AM87</f>
        <v>77.5</v>
      </c>
      <c r="H85" s="160">
        <f t="shared" si="7"/>
        <v>1.1471579293950234</v>
      </c>
      <c r="I85" s="175">
        <f t="shared" si="5"/>
        <v>198629.0587099859</v>
      </c>
    </row>
    <row r="86" spans="1:9" x14ac:dyDescent="0.25">
      <c r="A86" s="53">
        <f>'A) Base RI'!A88</f>
        <v>5531</v>
      </c>
      <c r="B86" s="9" t="str">
        <f>'A) Base RI'!B88</f>
        <v>Penthéréaz</v>
      </c>
      <c r="C86" s="127">
        <f>'A) Base RI'!AN88</f>
        <v>411</v>
      </c>
      <c r="D86" s="168">
        <f>'D) Ecrêtage'!N86</f>
        <v>29.444525859379869</v>
      </c>
      <c r="E86" s="37">
        <f t="shared" si="8"/>
        <v>14.650535727258333</v>
      </c>
      <c r="F86" s="171">
        <f t="shared" si="6"/>
        <v>126810.05607300087</v>
      </c>
      <c r="G86" s="152">
        <f>'A) Base RI'!AM88</f>
        <v>78</v>
      </c>
      <c r="H86" s="160">
        <f t="shared" si="7"/>
        <v>1.1545589482943461</v>
      </c>
      <c r="I86" s="175">
        <f t="shared" si="5"/>
        <v>146409.68497279094</v>
      </c>
    </row>
    <row r="87" spans="1:9" x14ac:dyDescent="0.25">
      <c r="A87" s="53">
        <f>'A) Base RI'!A89</f>
        <v>5533</v>
      </c>
      <c r="B87" s="9" t="str">
        <f>'A) Base RI'!B89</f>
        <v>Poliez-Pittet</v>
      </c>
      <c r="C87" s="127">
        <f>'A) Base RI'!AN89</f>
        <v>844</v>
      </c>
      <c r="D87" s="168">
        <f>'D) Ecrêtage'!N87</f>
        <v>32.044041452506505</v>
      </c>
      <c r="E87" s="37">
        <f t="shared" si="8"/>
        <v>12.051020134131697</v>
      </c>
      <c r="F87" s="171">
        <f t="shared" si="6"/>
        <v>194979.23923978113</v>
      </c>
      <c r="G87" s="152">
        <f>'A) Base RI'!AM89</f>
        <v>71</v>
      </c>
      <c r="H87" s="160">
        <f t="shared" si="7"/>
        <v>1.0509446837038279</v>
      </c>
      <c r="I87" s="175">
        <f t="shared" si="5"/>
        <v>204912.39491166477</v>
      </c>
    </row>
    <row r="88" spans="1:9" x14ac:dyDescent="0.25">
      <c r="A88" s="53">
        <f>'A) Base RI'!A90</f>
        <v>5534</v>
      </c>
      <c r="B88" s="9" t="str">
        <f>'A) Base RI'!B90</f>
        <v>Rueyres</v>
      </c>
      <c r="C88" s="127">
        <f>'A) Base RI'!AN90</f>
        <v>271</v>
      </c>
      <c r="D88" s="168">
        <f>'D) Ecrêtage'!N88</f>
        <v>40.347446292271144</v>
      </c>
      <c r="E88" s="37">
        <f t="shared" si="8"/>
        <v>3.7476152943670584</v>
      </c>
      <c r="F88" s="171">
        <f t="shared" si="6"/>
        <v>20017.54980948515</v>
      </c>
      <c r="G88" s="152">
        <f>'A) Base RI'!AM90</f>
        <v>73</v>
      </c>
      <c r="H88" s="160">
        <f t="shared" si="7"/>
        <v>1.0805487593011189</v>
      </c>
      <c r="I88" s="175">
        <f t="shared" si="5"/>
        <v>21629.93861088753</v>
      </c>
    </row>
    <row r="89" spans="1:9" x14ac:dyDescent="0.25">
      <c r="A89" s="53">
        <f>'A) Base RI'!A91</f>
        <v>5535</v>
      </c>
      <c r="B89" s="9" t="str">
        <f>'A) Base RI'!B91</f>
        <v>Saint-Barthélemy</v>
      </c>
      <c r="C89" s="127">
        <f>'A) Base RI'!AN91</f>
        <v>777</v>
      </c>
      <c r="D89" s="168">
        <f>'D) Ecrêtage'!N89</f>
        <v>26.637769884169884</v>
      </c>
      <c r="E89" s="37">
        <f t="shared" si="8"/>
        <v>17.457291702468318</v>
      </c>
      <c r="F89" s="171">
        <f t="shared" si="6"/>
        <v>274677.3919695621</v>
      </c>
      <c r="G89" s="152">
        <f>'A) Base RI'!AM91</f>
        <v>75</v>
      </c>
      <c r="H89" s="160">
        <f t="shared" si="7"/>
        <v>1.1101528348984098</v>
      </c>
      <c r="I89" s="175">
        <f t="shared" si="5"/>
        <v>304933.88537751103</v>
      </c>
    </row>
    <row r="90" spans="1:9" x14ac:dyDescent="0.25">
      <c r="A90" s="53">
        <f>'A) Base RI'!A92</f>
        <v>5537</v>
      </c>
      <c r="B90" s="9" t="str">
        <f>'A) Base RI'!B92</f>
        <v>Villars-le-Terroir</v>
      </c>
      <c r="C90" s="127">
        <f>'A) Base RI'!AN92</f>
        <v>1066</v>
      </c>
      <c r="D90" s="168">
        <f>'D) Ecrêtage'!N90</f>
        <v>28.181180382430799</v>
      </c>
      <c r="E90" s="37">
        <f t="shared" si="8"/>
        <v>15.913881204207403</v>
      </c>
      <c r="F90" s="171">
        <f t="shared" si="6"/>
        <v>334364.33003823319</v>
      </c>
      <c r="G90" s="152">
        <f>'A) Base RI'!AM92</f>
        <v>73</v>
      </c>
      <c r="H90" s="160">
        <f t="shared" si="7"/>
        <v>1.0805487593011189</v>
      </c>
      <c r="I90" s="175">
        <f t="shared" si="5"/>
        <v>361296.96197736275</v>
      </c>
    </row>
    <row r="91" spans="1:9" x14ac:dyDescent="0.25">
      <c r="A91" s="53">
        <f>'A) Base RI'!A93</f>
        <v>5539</v>
      </c>
      <c r="B91" s="9" t="str">
        <f>'A) Base RI'!B93</f>
        <v>Vuarrens</v>
      </c>
      <c r="C91" s="127">
        <f>'A) Base RI'!AN93</f>
        <v>993</v>
      </c>
      <c r="D91" s="168">
        <f>'D) Ecrêtage'!N91</f>
        <v>22.887242262504191</v>
      </c>
      <c r="E91" s="37">
        <f t="shared" si="8"/>
        <v>21.207819324134011</v>
      </c>
      <c r="F91" s="171">
        <f t="shared" si="6"/>
        <v>426452.13292451773</v>
      </c>
      <c r="G91" s="152">
        <f>'A) Base RI'!AM93</f>
        <v>75</v>
      </c>
      <c r="H91" s="160">
        <f t="shared" si="7"/>
        <v>1.1101528348984098</v>
      </c>
      <c r="I91" s="175">
        <f t="shared" si="5"/>
        <v>473427.04431462684</v>
      </c>
    </row>
    <row r="92" spans="1:9" x14ac:dyDescent="0.25">
      <c r="A92" s="53">
        <f>'A) Base RI'!A94</f>
        <v>5540</v>
      </c>
      <c r="B92" s="9" t="str">
        <f>'A) Base RI'!B94</f>
        <v>Montilliez</v>
      </c>
      <c r="C92" s="127">
        <f>'A) Base RI'!AN94</f>
        <v>1698</v>
      </c>
      <c r="D92" s="168">
        <f>'D) Ecrêtage'!N92</f>
        <v>32.317829441632448</v>
      </c>
      <c r="E92" s="37">
        <f t="shared" si="8"/>
        <v>11.777232145005755</v>
      </c>
      <c r="F92" s="171">
        <f t="shared" si="6"/>
        <v>399554.84884075104</v>
      </c>
      <c r="G92" s="152">
        <f>'A) Base RI'!AM94</f>
        <v>74</v>
      </c>
      <c r="H92" s="160">
        <f t="shared" si="7"/>
        <v>1.0953507970997642</v>
      </c>
      <c r="I92" s="175">
        <f>F92*H92</f>
        <v>437652.72216279246</v>
      </c>
    </row>
    <row r="93" spans="1:9" x14ac:dyDescent="0.25">
      <c r="A93" s="53">
        <f>'A) Base RI'!A95</f>
        <v>5541</v>
      </c>
      <c r="B93" s="9" t="str">
        <f>'A) Base RI'!B95</f>
        <v>Goumoëns</v>
      </c>
      <c r="C93" s="127">
        <f>'A) Base RI'!AN95</f>
        <v>1051</v>
      </c>
      <c r="D93" s="168">
        <f>'D) Ecrêtage'!N93</f>
        <v>30.921094690276412</v>
      </c>
      <c r="E93" s="37">
        <f t="shared" si="8"/>
        <v>13.17396689636179</v>
      </c>
      <c r="F93" s="171">
        <f t="shared" si="6"/>
        <v>287854.99713590508</v>
      </c>
      <c r="G93" s="152">
        <f>'A) Base RI'!AM95</f>
        <v>77</v>
      </c>
      <c r="H93" s="160">
        <f t="shared" si="7"/>
        <v>1.1397569104957008</v>
      </c>
      <c r="I93" s="175">
        <f>F93*H93</f>
        <v>328084.72220636799</v>
      </c>
    </row>
    <row r="94" spans="1:9" x14ac:dyDescent="0.25">
      <c r="A94" s="53">
        <f>'A) Base RI'!A96</f>
        <v>5551</v>
      </c>
      <c r="B94" s="9" t="str">
        <f>'A) Base RI'!B96</f>
        <v>Bonvillars</v>
      </c>
      <c r="C94" s="127">
        <f>'A) Base RI'!AN96</f>
        <v>495</v>
      </c>
      <c r="D94" s="168">
        <f>'D) Ecrêtage'!N94</f>
        <v>38.973668476977565</v>
      </c>
      <c r="E94" s="37">
        <f t="shared" si="8"/>
        <v>5.1213931096606373</v>
      </c>
      <c r="F94" s="171">
        <f t="shared" si="6"/>
        <v>37646.080400837927</v>
      </c>
      <c r="G94" s="152">
        <f>'A) Base RI'!AM96</f>
        <v>55</v>
      </c>
      <c r="H94" s="160">
        <f t="shared" si="7"/>
        <v>0.81411207892550053</v>
      </c>
      <c r="I94" s="175">
        <f t="shared" si="5"/>
        <v>30648.128778522707</v>
      </c>
    </row>
    <row r="95" spans="1:9" x14ac:dyDescent="0.25">
      <c r="A95" s="53">
        <f>'A) Base RI'!A97</f>
        <v>5552</v>
      </c>
      <c r="B95" s="9" t="str">
        <f>'A) Base RI'!B97</f>
        <v>Bullet</v>
      </c>
      <c r="C95" s="127">
        <f>'A) Base RI'!AN97</f>
        <v>629</v>
      </c>
      <c r="D95" s="168">
        <f>'D) Ecrêtage'!N95</f>
        <v>25.016752895752891</v>
      </c>
      <c r="E95" s="37">
        <f t="shared" si="8"/>
        <v>19.078308690885311</v>
      </c>
      <c r="F95" s="171">
        <f t="shared" si="6"/>
        <v>226804.84154811371</v>
      </c>
      <c r="G95" s="152">
        <f>'A) Base RI'!AM97</f>
        <v>70</v>
      </c>
      <c r="H95" s="160">
        <f t="shared" si="7"/>
        <v>1.0361426459051826</v>
      </c>
      <c r="I95" s="175">
        <f t="shared" si="5"/>
        <v>235002.16862576822</v>
      </c>
    </row>
    <row r="96" spans="1:9" x14ac:dyDescent="0.25">
      <c r="A96" s="53">
        <f>'A) Base RI'!A98</f>
        <v>5553</v>
      </c>
      <c r="B96" s="9" t="str">
        <f>'A) Base RI'!B98</f>
        <v>Champagne</v>
      </c>
      <c r="C96" s="127">
        <f>'A) Base RI'!AN98</f>
        <v>1027</v>
      </c>
      <c r="D96" s="168">
        <f>'D) Ecrêtage'!N96</f>
        <v>32.492486514891581</v>
      </c>
      <c r="E96" s="37">
        <f t="shared" si="8"/>
        <v>11.602575071746621</v>
      </c>
      <c r="F96" s="171">
        <f t="shared" si="6"/>
        <v>202688.5166236111</v>
      </c>
      <c r="G96" s="152">
        <f>'A) Base RI'!AM98</f>
        <v>63</v>
      </c>
      <c r="H96" s="160">
        <f t="shared" si="7"/>
        <v>0.9325283813146642</v>
      </c>
      <c r="I96" s="175">
        <f t="shared" si="5"/>
        <v>189012.79431808647</v>
      </c>
    </row>
    <row r="97" spans="1:9" x14ac:dyDescent="0.25">
      <c r="A97" s="53">
        <f>'A) Base RI'!A99</f>
        <v>5554</v>
      </c>
      <c r="B97" s="9" t="str">
        <f>'A) Base RI'!B99</f>
        <v>Concise</v>
      </c>
      <c r="C97" s="127">
        <f>'A) Base RI'!AN99</f>
        <v>960</v>
      </c>
      <c r="D97" s="168">
        <f>'D) Ecrêtage'!N97</f>
        <v>30.194488333333332</v>
      </c>
      <c r="E97" s="37">
        <f t="shared" si="8"/>
        <v>13.90057325330487</v>
      </c>
      <c r="F97" s="171">
        <f t="shared" si="6"/>
        <v>270227.1440442467</v>
      </c>
      <c r="G97" s="152">
        <f>'A) Base RI'!AM99</f>
        <v>75</v>
      </c>
      <c r="H97" s="160">
        <f t="shared" si="7"/>
        <v>1.1101528348984098</v>
      </c>
      <c r="I97" s="175">
        <f t="shared" si="5"/>
        <v>299993.43002722139</v>
      </c>
    </row>
    <row r="98" spans="1:9" x14ac:dyDescent="0.25">
      <c r="A98" s="53">
        <f>'A) Base RI'!A100</f>
        <v>5555</v>
      </c>
      <c r="B98" s="9" t="str">
        <f>'A) Base RI'!B100</f>
        <v>Corcelles-près-Concise</v>
      </c>
      <c r="C98" s="127">
        <f>'A) Base RI'!AN100</f>
        <v>379</v>
      </c>
      <c r="D98" s="168">
        <f>'D) Ecrêtage'!N98</f>
        <v>29.130270169831661</v>
      </c>
      <c r="E98" s="37">
        <f t="shared" si="8"/>
        <v>14.964791416806541</v>
      </c>
      <c r="F98" s="171">
        <f t="shared" si="6"/>
        <v>108725.64450340877</v>
      </c>
      <c r="G98" s="152">
        <f>'A) Base RI'!AM100</f>
        <v>71</v>
      </c>
      <c r="H98" s="160">
        <f t="shared" si="7"/>
        <v>1.0509446837038279</v>
      </c>
      <c r="I98" s="175">
        <f t="shared" si="5"/>
        <v>114264.63807312975</v>
      </c>
    </row>
    <row r="99" spans="1:9" x14ac:dyDescent="0.25">
      <c r="A99" s="53">
        <f>'A) Base RI'!A101</f>
        <v>5556</v>
      </c>
      <c r="B99" s="9" t="str">
        <f>'A) Base RI'!B101</f>
        <v>Fiez</v>
      </c>
      <c r="C99" s="127">
        <f>'A) Base RI'!AN101</f>
        <v>427</v>
      </c>
      <c r="D99" s="168">
        <f>'D) Ecrêtage'!N99</f>
        <v>29.210197196483726</v>
      </c>
      <c r="E99" s="37">
        <f t="shared" si="8"/>
        <v>14.884864390154476</v>
      </c>
      <c r="F99" s="171">
        <f t="shared" si="6"/>
        <v>118409.24507232277</v>
      </c>
      <c r="G99" s="152">
        <f>'A) Base RI'!AM101</f>
        <v>69</v>
      </c>
      <c r="H99" s="160">
        <f t="shared" si="7"/>
        <v>1.021340608106537</v>
      </c>
      <c r="I99" s="175">
        <f t="shared" si="5"/>
        <v>120936.17036760211</v>
      </c>
    </row>
    <row r="100" spans="1:9" x14ac:dyDescent="0.25">
      <c r="A100" s="53">
        <f>'A) Base RI'!A102</f>
        <v>5557</v>
      </c>
      <c r="B100" s="9" t="str">
        <f>'A) Base RI'!B102</f>
        <v>Fontaines-sur-Grandson</v>
      </c>
      <c r="C100" s="127">
        <f>'A) Base RI'!AN102</f>
        <v>200</v>
      </c>
      <c r="D100" s="168">
        <f>'D) Ecrêtage'!N100</f>
        <v>20.151436231884059</v>
      </c>
      <c r="E100" s="37">
        <f t="shared" si="8"/>
        <v>23.943625354754143</v>
      </c>
      <c r="F100" s="171">
        <f t="shared" si="6"/>
        <v>89213.948071813953</v>
      </c>
      <c r="G100" s="152">
        <f>'A) Base RI'!AM102</f>
        <v>69</v>
      </c>
      <c r="H100" s="160">
        <f t="shared" si="7"/>
        <v>1.021340608106537</v>
      </c>
      <c r="I100" s="175">
        <f t="shared" si="5"/>
        <v>91117.827975251479</v>
      </c>
    </row>
    <row r="101" spans="1:9" x14ac:dyDescent="0.25">
      <c r="A101" s="53">
        <f>'A) Base RI'!A103</f>
        <v>5559</v>
      </c>
      <c r="B101" s="9" t="str">
        <f>'A) Base RI'!B103</f>
        <v>Giez</v>
      </c>
      <c r="C101" s="127">
        <f>'A) Base RI'!AN103</f>
        <v>408</v>
      </c>
      <c r="D101" s="168">
        <f>'D) Ecrêtage'!N101</f>
        <v>44.48318256090316</v>
      </c>
      <c r="E101" s="37">
        <f t="shared" si="8"/>
        <v>0</v>
      </c>
      <c r="F101" s="171">
        <f t="shared" si="6"/>
        <v>0</v>
      </c>
      <c r="G101" s="152">
        <f>'A) Base RI'!AM103</f>
        <v>66</v>
      </c>
      <c r="H101" s="160">
        <f t="shared" si="7"/>
        <v>0.97693449471060068</v>
      </c>
      <c r="I101" s="175">
        <f t="shared" si="5"/>
        <v>0</v>
      </c>
    </row>
    <row r="102" spans="1:9" x14ac:dyDescent="0.25">
      <c r="A102" s="53">
        <f>'A) Base RI'!A104</f>
        <v>5560</v>
      </c>
      <c r="B102" s="9" t="str">
        <f>'A) Base RI'!B104</f>
        <v>Grandevent</v>
      </c>
      <c r="C102" s="127">
        <f>'A) Base RI'!AN104</f>
        <v>232</v>
      </c>
      <c r="D102" s="168">
        <f>'D) Ecrêtage'!N102</f>
        <v>27.787186866125761</v>
      </c>
      <c r="E102" s="37">
        <f t="shared" si="8"/>
        <v>16.307874720512441</v>
      </c>
      <c r="F102" s="171">
        <f t="shared" si="6"/>
        <v>69463.718529517166</v>
      </c>
      <c r="G102" s="152">
        <f>'A) Base RI'!AM104</f>
        <v>68</v>
      </c>
      <c r="H102" s="160">
        <f t="shared" si="7"/>
        <v>1.0065385703078915</v>
      </c>
      <c r="I102" s="175">
        <f t="shared" si="5"/>
        <v>69917.911936970006</v>
      </c>
    </row>
    <row r="103" spans="1:9" x14ac:dyDescent="0.25">
      <c r="A103" s="53">
        <f>'A) Base RI'!A105</f>
        <v>5561</v>
      </c>
      <c r="B103" s="9" t="str">
        <f>'A) Base RI'!B105</f>
        <v>Grandson</v>
      </c>
      <c r="C103" s="127">
        <f>'A) Base RI'!AN105</f>
        <v>3313</v>
      </c>
      <c r="D103" s="168">
        <f>'D) Ecrêtage'!N103</f>
        <v>34.763175763461462</v>
      </c>
      <c r="E103" s="37">
        <f t="shared" si="8"/>
        <v>9.3318858231767408</v>
      </c>
      <c r="F103" s="171">
        <f t="shared" si="6"/>
        <v>575975.09795059799</v>
      </c>
      <c r="G103" s="152">
        <f>'A) Base RI'!AM105</f>
        <v>69</v>
      </c>
      <c r="H103" s="160">
        <f t="shared" si="7"/>
        <v>1.021340608106537</v>
      </c>
      <c r="I103" s="175">
        <f t="shared" si="5"/>
        <v>588266.75679508597</v>
      </c>
    </row>
    <row r="104" spans="1:9" x14ac:dyDescent="0.25">
      <c r="A104" s="53">
        <f>'A) Base RI'!A106</f>
        <v>5562</v>
      </c>
      <c r="B104" s="9" t="str">
        <f>'A) Base RI'!B106</f>
        <v>Mauborget</v>
      </c>
      <c r="C104" s="127">
        <f>'A) Base RI'!AN106</f>
        <v>123</v>
      </c>
      <c r="D104" s="168">
        <f>'D) Ecrêtage'!N104</f>
        <v>29.776866434378629</v>
      </c>
      <c r="E104" s="37">
        <f t="shared" si="8"/>
        <v>14.318195152259573</v>
      </c>
      <c r="F104" s="171">
        <f t="shared" si="6"/>
        <v>33285.508270457831</v>
      </c>
      <c r="G104" s="152">
        <f>'A) Base RI'!AM106</f>
        <v>70</v>
      </c>
      <c r="H104" s="160">
        <f t="shared" si="7"/>
        <v>1.0361426459051826</v>
      </c>
      <c r="I104" s="175">
        <f t="shared" si="5"/>
        <v>34488.534609651011</v>
      </c>
    </row>
    <row r="105" spans="1:9" x14ac:dyDescent="0.25">
      <c r="A105" s="53">
        <f>'A) Base RI'!A107</f>
        <v>5563</v>
      </c>
      <c r="B105" s="9" t="str">
        <f>'A) Base RI'!B107</f>
        <v>Mutrux</v>
      </c>
      <c r="C105" s="127">
        <f>'A) Base RI'!AN107</f>
        <v>162</v>
      </c>
      <c r="D105" s="168">
        <f>'D) Ecrêtage'!N105</f>
        <v>26.389930014940624</v>
      </c>
      <c r="E105" s="37">
        <f t="shared" si="8"/>
        <v>17.705131571697578</v>
      </c>
      <c r="F105" s="171">
        <f t="shared" si="6"/>
        <v>60792.16271326509</v>
      </c>
      <c r="G105" s="152">
        <f>'A) Base RI'!AM107</f>
        <v>78.5</v>
      </c>
      <c r="H105" s="160">
        <f t="shared" si="7"/>
        <v>1.1619599671936689</v>
      </c>
      <c r="I105" s="175">
        <f t="shared" si="5"/>
        <v>70638.059391937684</v>
      </c>
    </row>
    <row r="106" spans="1:9" x14ac:dyDescent="0.25">
      <c r="A106" s="53">
        <f>'A) Base RI'!A108</f>
        <v>5564</v>
      </c>
      <c r="B106" s="9" t="str">
        <f>'A) Base RI'!B108</f>
        <v>Novalles</v>
      </c>
      <c r="C106" s="127">
        <f>'A) Base RI'!AN108</f>
        <v>101</v>
      </c>
      <c r="D106" s="168">
        <f>'D) Ecrêtage'!N106</f>
        <v>20.42582041427827</v>
      </c>
      <c r="E106" s="37">
        <f t="shared" si="8"/>
        <v>23.669241172359932</v>
      </c>
      <c r="F106" s="171">
        <f t="shared" si="6"/>
        <v>49054.975714539411</v>
      </c>
      <c r="G106" s="152">
        <f>'A) Base RI'!AM108</f>
        <v>76</v>
      </c>
      <c r="H106" s="160">
        <f t="shared" si="7"/>
        <v>1.1249548726970553</v>
      </c>
      <c r="I106" s="175">
        <f t="shared" si="5"/>
        <v>55184.633960106825</v>
      </c>
    </row>
    <row r="107" spans="1:9" x14ac:dyDescent="0.25">
      <c r="A107" s="53">
        <f>'A) Base RI'!A109</f>
        <v>5565</v>
      </c>
      <c r="B107" s="9" t="str">
        <f>'A) Base RI'!B109</f>
        <v>Onnens</v>
      </c>
      <c r="C107" s="127">
        <f>'A) Base RI'!AN109</f>
        <v>500</v>
      </c>
      <c r="D107" s="168">
        <f>'D) Ecrêtage'!N107</f>
        <v>35.805612820512827</v>
      </c>
      <c r="E107" s="37">
        <f t="shared" si="8"/>
        <v>8.2894487661253748</v>
      </c>
      <c r="F107" s="171">
        <f t="shared" si="6"/>
        <v>72739.912922750169</v>
      </c>
      <c r="G107" s="152">
        <f>'A) Base RI'!AM109</f>
        <v>65</v>
      </c>
      <c r="H107" s="160">
        <f t="shared" si="7"/>
        <v>0.96213245691195515</v>
      </c>
      <c r="I107" s="175">
        <f t="shared" si="5"/>
        <v>69985.431135927298</v>
      </c>
    </row>
    <row r="108" spans="1:9" x14ac:dyDescent="0.25">
      <c r="A108" s="53">
        <f>'A) Base RI'!A110</f>
        <v>5566</v>
      </c>
      <c r="B108" s="9" t="str">
        <f>'A) Base RI'!B110</f>
        <v>Provence</v>
      </c>
      <c r="C108" s="127">
        <f>'A) Base RI'!AN110</f>
        <v>390</v>
      </c>
      <c r="D108" s="168">
        <f>'D) Ecrêtage'!N108</f>
        <v>22.064353065316023</v>
      </c>
      <c r="E108" s="37">
        <f t="shared" si="8"/>
        <v>22.030708521322179</v>
      </c>
      <c r="F108" s="171">
        <f t="shared" si="6"/>
        <v>187906.52219091327</v>
      </c>
      <c r="G108" s="152">
        <f>'A) Base RI'!AM110</f>
        <v>81</v>
      </c>
      <c r="H108" s="160">
        <f t="shared" si="7"/>
        <v>1.1989650616902825</v>
      </c>
      <c r="I108" s="175">
        <f t="shared" si="5"/>
        <v>225293.35497063477</v>
      </c>
    </row>
    <row r="109" spans="1:9" x14ac:dyDescent="0.25">
      <c r="A109" s="53">
        <f>'A) Base RI'!A111</f>
        <v>5568</v>
      </c>
      <c r="B109" s="9" t="str">
        <f>'A) Base RI'!B111</f>
        <v>Sainte-Croix</v>
      </c>
      <c r="C109" s="127">
        <f>'A) Base RI'!AN111</f>
        <v>4851</v>
      </c>
      <c r="D109" s="168">
        <f>'D) Ecrêtage'!N109</f>
        <v>19.837010866684334</v>
      </c>
      <c r="E109" s="37">
        <f t="shared" si="8"/>
        <v>24.258050719953868</v>
      </c>
      <c r="F109" s="171">
        <f t="shared" si="6"/>
        <v>2224072.6964031784</v>
      </c>
      <c r="G109" s="152">
        <f>'A) Base RI'!AM111</f>
        <v>70</v>
      </c>
      <c r="H109" s="160">
        <f t="shared" si="7"/>
        <v>1.0361426459051826</v>
      </c>
      <c r="I109" s="175">
        <f t="shared" si="5"/>
        <v>2304456.5683366633</v>
      </c>
    </row>
    <row r="110" spans="1:9" x14ac:dyDescent="0.25">
      <c r="A110" s="53">
        <f>'A) Base RI'!A112</f>
        <v>5571</v>
      </c>
      <c r="B110" s="9" t="str">
        <f>'A) Base RI'!B112</f>
        <v>Tévenon</v>
      </c>
      <c r="C110" s="127">
        <f>'A) Base RI'!AN112</f>
        <v>791</v>
      </c>
      <c r="D110" s="168">
        <f>'D) Ecrêtage'!N110</f>
        <v>26.50248520744217</v>
      </c>
      <c r="E110" s="37">
        <f t="shared" si="8"/>
        <v>17.592576379196032</v>
      </c>
      <c r="F110" s="171">
        <f t="shared" si="6"/>
        <v>274278.99722325749</v>
      </c>
      <c r="G110" s="152">
        <f>'A) Base RI'!AM112</f>
        <v>73</v>
      </c>
      <c r="H110" s="160">
        <f t="shared" si="7"/>
        <v>1.0805487593011189</v>
      </c>
      <c r="I110" s="175">
        <f t="shared" si="5"/>
        <v>296371.83015194593</v>
      </c>
    </row>
    <row r="111" spans="1:9" x14ac:dyDescent="0.25">
      <c r="A111" s="53">
        <f>'A) Base RI'!A113</f>
        <v>5581</v>
      </c>
      <c r="B111" s="9" t="str">
        <f>'A) Base RI'!B113</f>
        <v>Belmont-sur-Lausanne</v>
      </c>
      <c r="C111" s="127">
        <f>'A) Base RI'!AN113</f>
        <v>3564</v>
      </c>
      <c r="D111" s="168">
        <f>'D) Ecrêtage'!N111</f>
        <v>52.481178235862494</v>
      </c>
      <c r="E111" s="37">
        <f t="shared" si="8"/>
        <v>0</v>
      </c>
      <c r="F111" s="171">
        <f t="shared" si="6"/>
        <v>0</v>
      </c>
      <c r="G111" s="152">
        <f>'A) Base RI'!AM113</f>
        <v>69.5</v>
      </c>
      <c r="H111" s="160">
        <f t="shared" si="7"/>
        <v>1.0287416270058598</v>
      </c>
      <c r="I111" s="175">
        <f t="shared" si="5"/>
        <v>0</v>
      </c>
    </row>
    <row r="112" spans="1:9" x14ac:dyDescent="0.25">
      <c r="A112" s="53">
        <f>'A) Base RI'!A114</f>
        <v>5582</v>
      </c>
      <c r="B112" s="9" t="str">
        <f>'A) Base RI'!B114</f>
        <v>Cheseaux-sur-Lausanne</v>
      </c>
      <c r="C112" s="127">
        <f>'A) Base RI'!AN114</f>
        <v>4347</v>
      </c>
      <c r="D112" s="168">
        <f>'D) Ecrêtage'!N112</f>
        <v>46.840852149827924</v>
      </c>
      <c r="E112" s="37">
        <f t="shared" si="8"/>
        <v>0</v>
      </c>
      <c r="F112" s="171">
        <f t="shared" si="6"/>
        <v>0</v>
      </c>
      <c r="G112" s="152">
        <f>'A) Base RI'!AM114</f>
        <v>74.5</v>
      </c>
      <c r="H112" s="160">
        <f t="shared" si="7"/>
        <v>1.102751815999087</v>
      </c>
      <c r="I112" s="175">
        <f t="shared" si="5"/>
        <v>0</v>
      </c>
    </row>
    <row r="113" spans="1:9" x14ac:dyDescent="0.25">
      <c r="A113" s="53">
        <f>'A) Base RI'!A115</f>
        <v>5583</v>
      </c>
      <c r="B113" s="9" t="str">
        <f>'A) Base RI'!B115</f>
        <v>Crissier</v>
      </c>
      <c r="C113" s="127">
        <f>'A) Base RI'!AN115</f>
        <v>7636</v>
      </c>
      <c r="D113" s="168">
        <f>'D) Ecrêtage'!N113</f>
        <v>40.825199177982839</v>
      </c>
      <c r="E113" s="37">
        <f t="shared" si="8"/>
        <v>3.2698624086553636</v>
      </c>
      <c r="F113" s="171">
        <f t="shared" si="6"/>
        <v>438200.14713624091</v>
      </c>
      <c r="G113" s="152">
        <f>'A) Base RI'!AM115</f>
        <v>65</v>
      </c>
      <c r="H113" s="160">
        <f t="shared" si="7"/>
        <v>0.96213245691195515</v>
      </c>
      <c r="I113" s="175">
        <f t="shared" si="5"/>
        <v>421606.58418337168</v>
      </c>
    </row>
    <row r="114" spans="1:9" x14ac:dyDescent="0.25">
      <c r="A114" s="53">
        <f>'A) Base RI'!A116</f>
        <v>5584</v>
      </c>
      <c r="B114" s="9" t="str">
        <f>'A) Base RI'!B116</f>
        <v>Epalinges</v>
      </c>
      <c r="C114" s="127">
        <f>'A) Base RI'!AN116</f>
        <v>9297</v>
      </c>
      <c r="D114" s="168">
        <f>'D) Ecrêtage'!N114</f>
        <v>49.015005915886846</v>
      </c>
      <c r="E114" s="37">
        <f t="shared" si="8"/>
        <v>0</v>
      </c>
      <c r="F114" s="171">
        <f t="shared" si="6"/>
        <v>0</v>
      </c>
      <c r="G114" s="152">
        <f>'A) Base RI'!AM116</f>
        <v>66</v>
      </c>
      <c r="H114" s="160">
        <f t="shared" si="7"/>
        <v>0.97693449471060068</v>
      </c>
      <c r="I114" s="175">
        <f t="shared" si="5"/>
        <v>0</v>
      </c>
    </row>
    <row r="115" spans="1:9" x14ac:dyDescent="0.25">
      <c r="A115" s="53">
        <f>'A) Base RI'!A117</f>
        <v>5585</v>
      </c>
      <c r="B115" s="9" t="str">
        <f>'A) Base RI'!B117</f>
        <v>Jouxtens-Mézery</v>
      </c>
      <c r="C115" s="127">
        <f>'A) Base RI'!AN117</f>
        <v>1448</v>
      </c>
      <c r="D115" s="168">
        <f>'D) Ecrêtage'!N115</f>
        <v>97.794302442276333</v>
      </c>
      <c r="E115" s="37">
        <f t="shared" si="8"/>
        <v>0</v>
      </c>
      <c r="F115" s="171">
        <f t="shared" si="6"/>
        <v>0</v>
      </c>
      <c r="G115" s="152">
        <f>'A) Base RI'!AM117</f>
        <v>53</v>
      </c>
      <c r="H115" s="160">
        <f t="shared" si="7"/>
        <v>0.78450800332820958</v>
      </c>
      <c r="I115" s="175">
        <f t="shared" si="5"/>
        <v>0</v>
      </c>
    </row>
    <row r="116" spans="1:9" x14ac:dyDescent="0.25">
      <c r="A116" s="53">
        <f>'A) Base RI'!A118</f>
        <v>5586</v>
      </c>
      <c r="B116" s="9" t="str">
        <f>'A) Base RI'!B118</f>
        <v>Lausanne</v>
      </c>
      <c r="C116" s="127">
        <f>'A) Base RI'!AN118</f>
        <v>137053</v>
      </c>
      <c r="D116" s="168">
        <f>'D) Ecrêtage'!N116</f>
        <v>44.329050546862582</v>
      </c>
      <c r="E116" s="37">
        <f t="shared" si="8"/>
        <v>0</v>
      </c>
      <c r="F116" s="171">
        <f t="shared" si="6"/>
        <v>0</v>
      </c>
      <c r="G116" s="152">
        <f>'A) Base RI'!AM118</f>
        <v>79</v>
      </c>
      <c r="H116" s="160">
        <f t="shared" si="7"/>
        <v>1.1693609860929917</v>
      </c>
      <c r="I116" s="175">
        <f t="shared" si="5"/>
        <v>0</v>
      </c>
    </row>
    <row r="117" spans="1:9" x14ac:dyDescent="0.25">
      <c r="A117" s="53">
        <f>'A) Base RI'!A119</f>
        <v>5587</v>
      </c>
      <c r="B117" s="9" t="str">
        <f>'A) Base RI'!B119</f>
        <v>Le Mont-sur-Lausanne</v>
      </c>
      <c r="C117" s="127">
        <f>'A) Base RI'!AN119</f>
        <v>7881</v>
      </c>
      <c r="D117" s="168">
        <f>'D) Ecrêtage'!N117</f>
        <v>52.448141445671027</v>
      </c>
      <c r="E117" s="37">
        <f t="shared" si="8"/>
        <v>0</v>
      </c>
      <c r="F117" s="171">
        <f t="shared" si="6"/>
        <v>0</v>
      </c>
      <c r="G117" s="152">
        <f>'A) Base RI'!AM119</f>
        <v>75</v>
      </c>
      <c r="H117" s="160">
        <f t="shared" si="7"/>
        <v>1.1101528348984098</v>
      </c>
      <c r="I117" s="175">
        <f t="shared" ref="I117:I170" si="9">F117*H117</f>
        <v>0</v>
      </c>
    </row>
    <row r="118" spans="1:9" x14ac:dyDescent="0.25">
      <c r="A118" s="53">
        <f>'A) Base RI'!A120</f>
        <v>5588</v>
      </c>
      <c r="B118" s="9" t="str">
        <f>'A) Base RI'!B120</f>
        <v>Paudex</v>
      </c>
      <c r="C118" s="127">
        <f>'A) Base RI'!AN120</f>
        <v>1473</v>
      </c>
      <c r="D118" s="168">
        <f>'D) Ecrêtage'!N118</f>
        <v>84.3447839940454</v>
      </c>
      <c r="E118" s="37">
        <f t="shared" si="8"/>
        <v>0</v>
      </c>
      <c r="F118" s="171">
        <f t="shared" si="6"/>
        <v>0</v>
      </c>
      <c r="G118" s="152">
        <f>'A) Base RI'!AM120</f>
        <v>61.5</v>
      </c>
      <c r="H118" s="160">
        <f t="shared" si="7"/>
        <v>0.91032532461669602</v>
      </c>
      <c r="I118" s="175">
        <f t="shared" si="9"/>
        <v>0</v>
      </c>
    </row>
    <row r="119" spans="1:9" x14ac:dyDescent="0.25">
      <c r="A119" s="53">
        <f>'A) Base RI'!A121</f>
        <v>5589</v>
      </c>
      <c r="B119" s="9" t="str">
        <f>'A) Base RI'!B121</f>
        <v>Prilly</v>
      </c>
      <c r="C119" s="127">
        <f>'A) Base RI'!AN121</f>
        <v>11871</v>
      </c>
      <c r="D119" s="168">
        <f>'D) Ecrêtage'!N119</f>
        <v>36.860772671295798</v>
      </c>
      <c r="E119" s="37">
        <f t="shared" si="8"/>
        <v>7.2342889153424039</v>
      </c>
      <c r="F119" s="171">
        <f t="shared" si="6"/>
        <v>1704253.7465049191</v>
      </c>
      <c r="G119" s="152">
        <f>'A) Base RI'!AM121</f>
        <v>73.5</v>
      </c>
      <c r="H119" s="160">
        <f t="shared" si="7"/>
        <v>1.0879497782004417</v>
      </c>
      <c r="I119" s="175">
        <f t="shared" si="9"/>
        <v>1854142.4855072985</v>
      </c>
    </row>
    <row r="120" spans="1:9" x14ac:dyDescent="0.25">
      <c r="A120" s="53">
        <f>'A) Base RI'!A122</f>
        <v>5590</v>
      </c>
      <c r="B120" s="9" t="str">
        <f>'A) Base RI'!B122</f>
        <v>Pully</v>
      </c>
      <c r="C120" s="127">
        <f>'A) Base RI'!AN122</f>
        <v>17979</v>
      </c>
      <c r="D120" s="168">
        <f>'D) Ecrêtage'!N120</f>
        <v>69.921698225903924</v>
      </c>
      <c r="E120" s="37">
        <f t="shared" si="8"/>
        <v>0</v>
      </c>
      <c r="F120" s="171">
        <f t="shared" si="6"/>
        <v>0</v>
      </c>
      <c r="G120" s="152">
        <f>'A) Base RI'!AM122</f>
        <v>61</v>
      </c>
      <c r="H120" s="160">
        <f t="shared" si="7"/>
        <v>0.90292430571737325</v>
      </c>
      <c r="I120" s="175">
        <f t="shared" si="9"/>
        <v>0</v>
      </c>
    </row>
    <row r="121" spans="1:9" x14ac:dyDescent="0.25">
      <c r="A121" s="53">
        <f>'A) Base RI'!A123</f>
        <v>5591</v>
      </c>
      <c r="B121" s="9" t="str">
        <f>'A) Base RI'!B123</f>
        <v>Renens</v>
      </c>
      <c r="C121" s="127">
        <f>'A) Base RI'!AN123</f>
        <v>20323</v>
      </c>
      <c r="D121" s="168">
        <f>'D) Ecrêtage'!N121</f>
        <v>26.06146288218698</v>
      </c>
      <c r="E121" s="37">
        <f t="shared" si="8"/>
        <v>18.033598704451222</v>
      </c>
      <c r="F121" s="171">
        <f t="shared" si="6"/>
        <v>7767900.2370435661</v>
      </c>
      <c r="G121" s="152">
        <f>'A) Base RI'!AM123</f>
        <v>78.5</v>
      </c>
      <c r="H121" s="160">
        <f t="shared" si="7"/>
        <v>1.1619599671936689</v>
      </c>
      <c r="I121" s="175">
        <f t="shared" si="9"/>
        <v>9025989.1045988351</v>
      </c>
    </row>
    <row r="122" spans="1:9" x14ac:dyDescent="0.25">
      <c r="A122" s="53">
        <f>'A) Base RI'!A124</f>
        <v>5592</v>
      </c>
      <c r="B122" s="9" t="str">
        <f>'A) Base RI'!B124</f>
        <v>Romanel-sur-Lausanne</v>
      </c>
      <c r="C122" s="127">
        <f>'A) Base RI'!AN124</f>
        <v>3352</v>
      </c>
      <c r="D122" s="168">
        <f>'D) Ecrêtage'!N122</f>
        <v>34.772059410160246</v>
      </c>
      <c r="E122" s="37">
        <f t="shared" si="8"/>
        <v>9.3230021764779565</v>
      </c>
      <c r="F122" s="171">
        <f t="shared" si="6"/>
        <v>590638.29228597262</v>
      </c>
      <c r="G122" s="152">
        <f>'A) Base RI'!AM124</f>
        <v>70</v>
      </c>
      <c r="H122" s="160">
        <f t="shared" si="7"/>
        <v>1.0361426459051826</v>
      </c>
      <c r="I122" s="175">
        <f t="shared" si="9"/>
        <v>611985.52294210624</v>
      </c>
    </row>
    <row r="123" spans="1:9" x14ac:dyDescent="0.25">
      <c r="A123" s="53">
        <f>'A) Base RI'!A125</f>
        <v>5601</v>
      </c>
      <c r="B123" s="9" t="str">
        <f>'A) Base RI'!B125</f>
        <v>Chexbres</v>
      </c>
      <c r="C123" s="127">
        <f>'A) Base RI'!AN125</f>
        <v>2235</v>
      </c>
      <c r="D123" s="168">
        <f>'D) Ecrêtage'!N123</f>
        <v>44.629154362416116</v>
      </c>
      <c r="E123" s="37">
        <f t="shared" si="8"/>
        <v>0</v>
      </c>
      <c r="F123" s="171">
        <f t="shared" si="6"/>
        <v>0</v>
      </c>
      <c r="G123" s="152">
        <f>'A) Base RI'!AM125</f>
        <v>64</v>
      </c>
      <c r="H123" s="160">
        <f t="shared" si="7"/>
        <v>0.94733041911330973</v>
      </c>
      <c r="I123" s="175">
        <f t="shared" si="9"/>
        <v>0</v>
      </c>
    </row>
    <row r="124" spans="1:9" x14ac:dyDescent="0.25">
      <c r="A124" s="53">
        <f>'A) Base RI'!A126</f>
        <v>5604</v>
      </c>
      <c r="B124" s="9" t="str">
        <f>'A) Base RI'!B126</f>
        <v>Forel (Lavaux)</v>
      </c>
      <c r="C124" s="127">
        <f>'A) Base RI'!AN126</f>
        <v>2066</v>
      </c>
      <c r="D124" s="168">
        <f>'D) Ecrêtage'!N124</f>
        <v>34.482259125334544</v>
      </c>
      <c r="E124" s="37">
        <f t="shared" si="8"/>
        <v>9.6128024613036587</v>
      </c>
      <c r="F124" s="171">
        <f t="shared" si="6"/>
        <v>364630.51588957966</v>
      </c>
      <c r="G124" s="152">
        <f>'A) Base RI'!AM126</f>
        <v>68</v>
      </c>
      <c r="H124" s="160">
        <f t="shared" si="7"/>
        <v>1.0065385703078915</v>
      </c>
      <c r="I124" s="175">
        <f t="shared" si="9"/>
        <v>367014.67815412645</v>
      </c>
    </row>
    <row r="125" spans="1:9" x14ac:dyDescent="0.25">
      <c r="A125" s="53">
        <f>'A) Base RI'!A127</f>
        <v>5606</v>
      </c>
      <c r="B125" s="9" t="str">
        <f>'A) Base RI'!B127</f>
        <v>Lutry</v>
      </c>
      <c r="C125" s="127">
        <f>'A) Base RI'!AN127</f>
        <v>9888</v>
      </c>
      <c r="D125" s="168">
        <f>'D) Ecrêtage'!N125</f>
        <v>69.289292882563345</v>
      </c>
      <c r="E125" s="37">
        <f t="shared" si="8"/>
        <v>0</v>
      </c>
      <c r="F125" s="171">
        <f t="shared" si="6"/>
        <v>0</v>
      </c>
      <c r="G125" s="152">
        <f>'A) Base RI'!AM127</f>
        <v>55.5</v>
      </c>
      <c r="H125" s="160">
        <f t="shared" si="7"/>
        <v>0.82151309782482329</v>
      </c>
      <c r="I125" s="175">
        <f t="shared" si="9"/>
        <v>0</v>
      </c>
    </row>
    <row r="126" spans="1:9" x14ac:dyDescent="0.25">
      <c r="A126" s="53">
        <f>'A) Base RI'!A128</f>
        <v>5607</v>
      </c>
      <c r="B126" s="9" t="str">
        <f>'A) Base RI'!B128</f>
        <v>Puidoux</v>
      </c>
      <c r="C126" s="127">
        <f>'A) Base RI'!AN128</f>
        <v>2874</v>
      </c>
      <c r="D126" s="168">
        <f>'D) Ecrêtage'!N126</f>
        <v>33.802204223343146</v>
      </c>
      <c r="E126" s="37">
        <f t="shared" si="8"/>
        <v>10.292857363295056</v>
      </c>
      <c r="F126" s="171">
        <f t="shared" si="6"/>
        <v>559093.60197387892</v>
      </c>
      <c r="G126" s="152">
        <f>'A) Base RI'!AM128</f>
        <v>70</v>
      </c>
      <c r="H126" s="160">
        <f t="shared" si="7"/>
        <v>1.0361426459051826</v>
      </c>
      <c r="I126" s="175">
        <f t="shared" si="9"/>
        <v>579300.72405787394</v>
      </c>
    </row>
    <row r="127" spans="1:9" x14ac:dyDescent="0.25">
      <c r="A127" s="53">
        <f>'A) Base RI'!A129</f>
        <v>5609</v>
      </c>
      <c r="B127" s="9" t="str">
        <f>'A) Base RI'!B129</f>
        <v>Rivaz</v>
      </c>
      <c r="C127" s="127">
        <f>'A) Base RI'!AN129</f>
        <v>357</v>
      </c>
      <c r="D127" s="168">
        <f>'D) Ecrêtage'!N127</f>
        <v>47.30787578023336</v>
      </c>
      <c r="E127" s="37">
        <f t="shared" si="8"/>
        <v>0</v>
      </c>
      <c r="F127" s="171">
        <f t="shared" si="6"/>
        <v>0</v>
      </c>
      <c r="G127" s="152">
        <f>'A) Base RI'!AM129</f>
        <v>63.5</v>
      </c>
      <c r="H127" s="160">
        <f t="shared" si="7"/>
        <v>0.93992940021398697</v>
      </c>
      <c r="I127" s="175">
        <f t="shared" si="9"/>
        <v>0</v>
      </c>
    </row>
    <row r="128" spans="1:9" x14ac:dyDescent="0.25">
      <c r="A128" s="53">
        <f>'A) Base RI'!A130</f>
        <v>5610</v>
      </c>
      <c r="B128" s="9" t="str">
        <f>'A) Base RI'!B130</f>
        <v>St-Saphorin (Lavaux)</v>
      </c>
      <c r="C128" s="127">
        <f>'A) Base RI'!AN130</f>
        <v>398</v>
      </c>
      <c r="D128" s="168">
        <f>'D) Ecrêtage'!N128</f>
        <v>50.270638640966027</v>
      </c>
      <c r="E128" s="37">
        <f t="shared" si="8"/>
        <v>0</v>
      </c>
      <c r="F128" s="171">
        <f t="shared" si="6"/>
        <v>0</v>
      </c>
      <c r="G128" s="152">
        <f>'A) Base RI'!AM130</f>
        <v>67</v>
      </c>
      <c r="H128" s="160">
        <f t="shared" si="7"/>
        <v>0.99173653250924609</v>
      </c>
      <c r="I128" s="175">
        <f t="shared" si="9"/>
        <v>0</v>
      </c>
    </row>
    <row r="129" spans="1:9" x14ac:dyDescent="0.25">
      <c r="A129" s="53">
        <f>'A) Base RI'!A131</f>
        <v>5611</v>
      </c>
      <c r="B129" s="9" t="str">
        <f>'A) Base RI'!B131</f>
        <v>Savigny</v>
      </c>
      <c r="C129" s="127">
        <f>'A) Base RI'!AN131</f>
        <v>3276</v>
      </c>
      <c r="D129" s="168">
        <f>'D) Ecrêtage'!N129</f>
        <v>35.267834300696613</v>
      </c>
      <c r="E129" s="37">
        <f t="shared" si="8"/>
        <v>8.8272272859415892</v>
      </c>
      <c r="F129" s="171">
        <f t="shared" si="6"/>
        <v>538742.2764483128</v>
      </c>
      <c r="G129" s="152">
        <f>'A) Base RI'!AM131</f>
        <v>69</v>
      </c>
      <c r="H129" s="160">
        <f t="shared" si="7"/>
        <v>1.021340608106537</v>
      </c>
      <c r="I129" s="175">
        <f t="shared" si="9"/>
        <v>550239.36424041993</v>
      </c>
    </row>
    <row r="130" spans="1:9" x14ac:dyDescent="0.25">
      <c r="A130" s="53">
        <f>'A) Base RI'!A132</f>
        <v>5613</v>
      </c>
      <c r="B130" s="9" t="str">
        <f>'A) Base RI'!B132</f>
        <v>Bourg-en-Lavaux</v>
      </c>
      <c r="C130" s="127">
        <f>'A) Base RI'!AN132</f>
        <v>5296</v>
      </c>
      <c r="D130" s="168">
        <f>'D) Ecrêtage'!N130</f>
        <v>56.671869064799431</v>
      </c>
      <c r="E130" s="37">
        <f t="shared" si="8"/>
        <v>0</v>
      </c>
      <c r="F130" s="171">
        <f t="shared" si="6"/>
        <v>0</v>
      </c>
      <c r="G130" s="152">
        <f>'A) Base RI'!AM132</f>
        <v>61</v>
      </c>
      <c r="H130" s="160">
        <f t="shared" si="7"/>
        <v>0.90292430571737325</v>
      </c>
      <c r="I130" s="175">
        <f t="shared" si="9"/>
        <v>0</v>
      </c>
    </row>
    <row r="131" spans="1:9" x14ac:dyDescent="0.25">
      <c r="A131" s="53">
        <f>'A) Base RI'!A133</f>
        <v>5621</v>
      </c>
      <c r="B131" s="9" t="str">
        <f>'A) Base RI'!B133</f>
        <v>Aclens</v>
      </c>
      <c r="C131" s="127">
        <f>'A) Base RI'!AN133</f>
        <v>521</v>
      </c>
      <c r="D131" s="168">
        <f>'D) Ecrêtage'!N131</f>
        <v>51.478130231170603</v>
      </c>
      <c r="E131" s="37">
        <f t="shared" si="8"/>
        <v>0</v>
      </c>
      <c r="F131" s="171">
        <f t="shared" si="6"/>
        <v>0</v>
      </c>
      <c r="G131" s="152">
        <f>'A) Base RI'!AM133</f>
        <v>62</v>
      </c>
      <c r="H131" s="160">
        <f t="shared" si="7"/>
        <v>0.91772634351601878</v>
      </c>
      <c r="I131" s="175">
        <f t="shared" si="9"/>
        <v>0</v>
      </c>
    </row>
    <row r="132" spans="1:9" x14ac:dyDescent="0.25">
      <c r="A132" s="53">
        <f>'A) Base RI'!A134</f>
        <v>5622</v>
      </c>
      <c r="B132" s="9" t="str">
        <f>'A) Base RI'!B134</f>
        <v>Bremblens</v>
      </c>
      <c r="C132" s="127">
        <f>'A) Base RI'!AN134</f>
        <v>516</v>
      </c>
      <c r="D132" s="168">
        <f>'D) Ecrêtage'!N132</f>
        <v>60.727364935201379</v>
      </c>
      <c r="E132" s="37">
        <f t="shared" si="8"/>
        <v>0</v>
      </c>
      <c r="F132" s="171">
        <f t="shared" si="6"/>
        <v>0</v>
      </c>
      <c r="G132" s="152">
        <f>'A) Base RI'!AM134</f>
        <v>66</v>
      </c>
      <c r="H132" s="160">
        <f t="shared" si="7"/>
        <v>0.97693449471060068</v>
      </c>
      <c r="I132" s="175">
        <f t="shared" si="9"/>
        <v>0</v>
      </c>
    </row>
    <row r="133" spans="1:9" x14ac:dyDescent="0.25">
      <c r="A133" s="53">
        <f>'A) Base RI'!A135</f>
        <v>5623</v>
      </c>
      <c r="B133" s="9" t="str">
        <f>'A) Base RI'!B135</f>
        <v>Buchillon</v>
      </c>
      <c r="C133" s="127">
        <f>'A) Base RI'!AN135</f>
        <v>609</v>
      </c>
      <c r="D133" s="168">
        <f>'D) Ecrêtage'!N133</f>
        <v>96.086396214966044</v>
      </c>
      <c r="E133" s="37">
        <f t="shared" si="8"/>
        <v>0</v>
      </c>
      <c r="F133" s="171">
        <f t="shared" ref="F133:F196" si="10">(C133*E133*G133)*$E$4</f>
        <v>0</v>
      </c>
      <c r="G133" s="152">
        <f>'A) Base RI'!AM135</f>
        <v>53</v>
      </c>
      <c r="H133" s="160">
        <f t="shared" si="7"/>
        <v>0.78450800332820958</v>
      </c>
      <c r="I133" s="175">
        <f t="shared" si="9"/>
        <v>0</v>
      </c>
    </row>
    <row r="134" spans="1:9" x14ac:dyDescent="0.25">
      <c r="A134" s="53">
        <f>'A) Base RI'!A136</f>
        <v>5624</v>
      </c>
      <c r="B134" s="9" t="str">
        <f>'A) Base RI'!B136</f>
        <v>Bussigny</v>
      </c>
      <c r="C134" s="127">
        <f>'A) Base RI'!AN136</f>
        <v>8227</v>
      </c>
      <c r="D134" s="168">
        <f>'D) Ecrêtage'!N134</f>
        <v>40.613848696463641</v>
      </c>
      <c r="E134" s="37">
        <f t="shared" si="8"/>
        <v>3.4812128901745609</v>
      </c>
      <c r="F134" s="171">
        <f t="shared" si="10"/>
        <v>479432.56961058278</v>
      </c>
      <c r="G134" s="152">
        <f>'A) Base RI'!AM136</f>
        <v>62</v>
      </c>
      <c r="H134" s="160">
        <f t="shared" ref="H134:H197" si="11">G134/$G$323</f>
        <v>0.91772634351601878</v>
      </c>
      <c r="I134" s="175">
        <f t="shared" si="9"/>
        <v>439987.89907120931</v>
      </c>
    </row>
    <row r="135" spans="1:9" x14ac:dyDescent="0.25">
      <c r="A135" s="53">
        <f>'A) Base RI'!A137</f>
        <v>5625</v>
      </c>
      <c r="B135" s="9" t="str">
        <f>'A) Base RI'!B137</f>
        <v>Bussy-Chardonney</v>
      </c>
      <c r="C135" s="127">
        <f>'A) Base RI'!AN137</f>
        <v>369</v>
      </c>
      <c r="D135" s="168">
        <f>'D) Ecrêtage'!N135</f>
        <v>37.251832858499526</v>
      </c>
      <c r="E135" s="37">
        <f t="shared" si="8"/>
        <v>6.8432287281386763</v>
      </c>
      <c r="F135" s="171">
        <f t="shared" si="10"/>
        <v>53179.688498387601</v>
      </c>
      <c r="G135" s="152">
        <f>'A) Base RI'!AM137</f>
        <v>78</v>
      </c>
      <c r="H135" s="160">
        <f t="shared" si="11"/>
        <v>1.1545589482943461</v>
      </c>
      <c r="I135" s="175">
        <f t="shared" si="9"/>
        <v>61399.085223319322</v>
      </c>
    </row>
    <row r="136" spans="1:9" x14ac:dyDescent="0.25">
      <c r="A136" s="53">
        <f>'A) Base RI'!A138</f>
        <v>5627</v>
      </c>
      <c r="B136" s="9" t="str">
        <f>'A) Base RI'!B138</f>
        <v>Chavannes-près-Renens</v>
      </c>
      <c r="C136" s="127">
        <f>'A) Base RI'!AN138</f>
        <v>7543</v>
      </c>
      <c r="D136" s="168">
        <f>'D) Ecrêtage'!N136</f>
        <v>22.772220663414426</v>
      </c>
      <c r="E136" s="37">
        <f t="shared" si="8"/>
        <v>21.322840923223776</v>
      </c>
      <c r="F136" s="171">
        <f t="shared" si="10"/>
        <v>3430678.5731590954</v>
      </c>
      <c r="G136" s="152">
        <f>'A) Base RI'!AM138</f>
        <v>79</v>
      </c>
      <c r="H136" s="160">
        <f t="shared" si="11"/>
        <v>1.1693609860929917</v>
      </c>
      <c r="I136" s="175">
        <f t="shared" si="9"/>
        <v>4011701.6792774172</v>
      </c>
    </row>
    <row r="137" spans="1:9" x14ac:dyDescent="0.25">
      <c r="A137" s="53">
        <f>'A) Base RI'!A139</f>
        <v>5628</v>
      </c>
      <c r="B137" s="9" t="str">
        <f>'A) Base RI'!B139</f>
        <v>Chigny</v>
      </c>
      <c r="C137" s="127">
        <f>'A) Base RI'!AN139</f>
        <v>343</v>
      </c>
      <c r="D137" s="168">
        <f>'D) Ecrêtage'!N137</f>
        <v>56.318578079524656</v>
      </c>
      <c r="E137" s="37">
        <f t="shared" si="8"/>
        <v>0</v>
      </c>
      <c r="F137" s="171">
        <f t="shared" si="10"/>
        <v>0</v>
      </c>
      <c r="G137" s="152">
        <f>'A) Base RI'!AM139</f>
        <v>62</v>
      </c>
      <c r="H137" s="160">
        <f t="shared" si="11"/>
        <v>0.91772634351601878</v>
      </c>
      <c r="I137" s="175">
        <f t="shared" si="9"/>
        <v>0</v>
      </c>
    </row>
    <row r="138" spans="1:9" x14ac:dyDescent="0.25">
      <c r="A138" s="53">
        <f>'A) Base RI'!A140</f>
        <v>5629</v>
      </c>
      <c r="B138" s="9" t="str">
        <f>'A) Base RI'!B140</f>
        <v>Clarmont</v>
      </c>
      <c r="C138" s="127">
        <f>'A) Base RI'!AN140</f>
        <v>175</v>
      </c>
      <c r="D138" s="168">
        <f>'D) Ecrêtage'!N138</f>
        <v>43.063881142857142</v>
      </c>
      <c r="E138" s="37">
        <f t="shared" si="8"/>
        <v>1.0311804437810608</v>
      </c>
      <c r="F138" s="171">
        <f t="shared" si="10"/>
        <v>3654.2456976491344</v>
      </c>
      <c r="G138" s="152">
        <f>'A) Base RI'!AM140</f>
        <v>75</v>
      </c>
      <c r="H138" s="160">
        <f t="shared" si="11"/>
        <v>1.1101528348984098</v>
      </c>
      <c r="I138" s="175">
        <f t="shared" si="9"/>
        <v>4056.7712206605038</v>
      </c>
    </row>
    <row r="139" spans="1:9" x14ac:dyDescent="0.25">
      <c r="A139" s="53">
        <f>'A) Base RI'!A141</f>
        <v>5631</v>
      </c>
      <c r="B139" s="9" t="str">
        <f>'A) Base RI'!B141</f>
        <v>Denens</v>
      </c>
      <c r="C139" s="127">
        <f>'A) Base RI'!AN141</f>
        <v>769</v>
      </c>
      <c r="D139" s="168">
        <f>'D) Ecrêtage'!N139</f>
        <v>54.90498852596955</v>
      </c>
      <c r="E139" s="37">
        <f t="shared" si="8"/>
        <v>0</v>
      </c>
      <c r="F139" s="171">
        <f t="shared" si="10"/>
        <v>0</v>
      </c>
      <c r="G139" s="152">
        <f>'A) Base RI'!AM141</f>
        <v>68</v>
      </c>
      <c r="H139" s="160">
        <f t="shared" si="11"/>
        <v>1.0065385703078915</v>
      </c>
      <c r="I139" s="175">
        <f t="shared" si="9"/>
        <v>0</v>
      </c>
    </row>
    <row r="140" spans="1:9" x14ac:dyDescent="0.25">
      <c r="A140" s="53">
        <f>'A) Base RI'!A142</f>
        <v>5632</v>
      </c>
      <c r="B140" s="9" t="str">
        <f>'A) Base RI'!B142</f>
        <v>Denges</v>
      </c>
      <c r="C140" s="127">
        <f>'A) Base RI'!AN142</f>
        <v>1624</v>
      </c>
      <c r="D140" s="168">
        <f>'D) Ecrêtage'!N140</f>
        <v>41.447085352772923</v>
      </c>
      <c r="E140" s="37">
        <f t="shared" si="8"/>
        <v>2.647976233865279</v>
      </c>
      <c r="F140" s="171">
        <f t="shared" si="10"/>
        <v>71987.246379565346</v>
      </c>
      <c r="G140" s="152">
        <f>'A) Base RI'!AM142</f>
        <v>62</v>
      </c>
      <c r="H140" s="160">
        <f t="shared" si="11"/>
        <v>0.91772634351601878</v>
      </c>
      <c r="I140" s="175">
        <f t="shared" si="9"/>
        <v>66064.59239970526</v>
      </c>
    </row>
    <row r="141" spans="1:9" x14ac:dyDescent="0.25">
      <c r="A141" s="53">
        <f>'A) Base RI'!A143</f>
        <v>5633</v>
      </c>
      <c r="B141" s="9" t="str">
        <f>'A) Base RI'!B143</f>
        <v>Echandens</v>
      </c>
      <c r="C141" s="127">
        <f>'A) Base RI'!AN143</f>
        <v>2731</v>
      </c>
      <c r="D141" s="168">
        <f>'D) Ecrêtage'!N141</f>
        <v>51.100126740766115</v>
      </c>
      <c r="E141" s="37">
        <f t="shared" si="8"/>
        <v>0</v>
      </c>
      <c r="F141" s="171">
        <f t="shared" si="10"/>
        <v>0</v>
      </c>
      <c r="G141" s="152">
        <f>'A) Base RI'!AM143</f>
        <v>62</v>
      </c>
      <c r="H141" s="160">
        <f t="shared" si="11"/>
        <v>0.91772634351601878</v>
      </c>
      <c r="I141" s="175">
        <f t="shared" si="9"/>
        <v>0</v>
      </c>
    </row>
    <row r="142" spans="1:9" x14ac:dyDescent="0.25">
      <c r="A142" s="53">
        <f>'A) Base RI'!A144</f>
        <v>5634</v>
      </c>
      <c r="B142" s="9" t="str">
        <f>'A) Base RI'!B144</f>
        <v>Echichens</v>
      </c>
      <c r="C142" s="127">
        <f>'A) Base RI'!AN144</f>
        <v>2639</v>
      </c>
      <c r="D142" s="168">
        <f>'D) Ecrêtage'!N142</f>
        <v>47.631381316452313</v>
      </c>
      <c r="E142" s="37">
        <f t="shared" si="8"/>
        <v>0</v>
      </c>
      <c r="F142" s="171">
        <f t="shared" si="10"/>
        <v>0</v>
      </c>
      <c r="G142" s="152">
        <f>'A) Base RI'!AM144</f>
        <v>68</v>
      </c>
      <c r="H142" s="160">
        <f t="shared" si="11"/>
        <v>1.0065385703078915</v>
      </c>
      <c r="I142" s="175">
        <f t="shared" si="9"/>
        <v>0</v>
      </c>
    </row>
    <row r="143" spans="1:9" x14ac:dyDescent="0.25">
      <c r="A143" s="53">
        <f>'A) Base RI'!A145</f>
        <v>5635</v>
      </c>
      <c r="B143" s="9" t="str">
        <f>'A) Base RI'!B145</f>
        <v>Ecublens</v>
      </c>
      <c r="C143" s="127">
        <f>'A) Base RI'!AN145</f>
        <v>12340</v>
      </c>
      <c r="D143" s="168">
        <f>'D) Ecrêtage'!N143</f>
        <v>34.403834002911296</v>
      </c>
      <c r="E143" s="37">
        <f t="shared" si="8"/>
        <v>9.6912275837269064</v>
      </c>
      <c r="F143" s="171">
        <f t="shared" si="10"/>
        <v>2001932.3879346012</v>
      </c>
      <c r="G143" s="152">
        <f>'A) Base RI'!AM145</f>
        <v>62</v>
      </c>
      <c r="H143" s="160">
        <f t="shared" si="11"/>
        <v>0.91772634351601878</v>
      </c>
      <c r="I143" s="175">
        <f t="shared" si="9"/>
        <v>1837226.0903455135</v>
      </c>
    </row>
    <row r="144" spans="1:9" x14ac:dyDescent="0.25">
      <c r="A144" s="53">
        <f>'A) Base RI'!A146</f>
        <v>5636</v>
      </c>
      <c r="B144" s="9" t="str">
        <f>'A) Base RI'!B146</f>
        <v>Etoy</v>
      </c>
      <c r="C144" s="127">
        <f>'A) Base RI'!AN146</f>
        <v>2906</v>
      </c>
      <c r="D144" s="168">
        <f>'D) Ecrêtage'!N144</f>
        <v>51.911505421231368</v>
      </c>
      <c r="E144" s="37">
        <f t="shared" ref="E144:E207" si="12">IF($D$323-D144&lt;0,0,$D$323-D144)</f>
        <v>0</v>
      </c>
      <c r="F144" s="171">
        <f t="shared" si="10"/>
        <v>0</v>
      </c>
      <c r="G144" s="152">
        <f>'A) Base RI'!AM146</f>
        <v>61</v>
      </c>
      <c r="H144" s="160">
        <f t="shared" si="11"/>
        <v>0.90292430571737325</v>
      </c>
      <c r="I144" s="175">
        <f t="shared" si="9"/>
        <v>0</v>
      </c>
    </row>
    <row r="145" spans="1:9" x14ac:dyDescent="0.25">
      <c r="A145" s="53">
        <f>'A) Base RI'!A147</f>
        <v>5637</v>
      </c>
      <c r="B145" s="9" t="str">
        <f>'A) Base RI'!B147</f>
        <v>Lavigny</v>
      </c>
      <c r="C145" s="127">
        <f>'A) Base RI'!AN147</f>
        <v>1006</v>
      </c>
      <c r="D145" s="168">
        <f>'D) Ecrêtage'!N145</f>
        <v>35.575357474837787</v>
      </c>
      <c r="E145" s="37">
        <f t="shared" si="12"/>
        <v>8.5197041118004151</v>
      </c>
      <c r="F145" s="171">
        <f t="shared" si="10"/>
        <v>172402.09129811855</v>
      </c>
      <c r="G145" s="152">
        <f>'A) Base RI'!AM147</f>
        <v>74.5</v>
      </c>
      <c r="H145" s="160">
        <f t="shared" si="11"/>
        <v>1.102751815999087</v>
      </c>
      <c r="I145" s="175">
        <f t="shared" si="9"/>
        <v>190116.71926104062</v>
      </c>
    </row>
    <row r="146" spans="1:9" x14ac:dyDescent="0.25">
      <c r="A146" s="53">
        <f>'A) Base RI'!A148</f>
        <v>5638</v>
      </c>
      <c r="B146" s="9" t="str">
        <f>'A) Base RI'!B148</f>
        <v>Lonay</v>
      </c>
      <c r="C146" s="127">
        <f>'A) Base RI'!AN148</f>
        <v>2530</v>
      </c>
      <c r="D146" s="168">
        <f>'D) Ecrêtage'!N146</f>
        <v>58.357684360386209</v>
      </c>
      <c r="E146" s="37">
        <f t="shared" si="12"/>
        <v>0</v>
      </c>
      <c r="F146" s="171">
        <f t="shared" si="10"/>
        <v>0</v>
      </c>
      <c r="G146" s="152">
        <f>'A) Base RI'!AM148</f>
        <v>55</v>
      </c>
      <c r="H146" s="160">
        <f t="shared" si="11"/>
        <v>0.81411207892550053</v>
      </c>
      <c r="I146" s="175">
        <f t="shared" si="9"/>
        <v>0</v>
      </c>
    </row>
    <row r="147" spans="1:9" x14ac:dyDescent="0.25">
      <c r="A147" s="53">
        <f>'A) Base RI'!A149</f>
        <v>5639</v>
      </c>
      <c r="B147" s="9" t="str">
        <f>'A) Base RI'!B149</f>
        <v>Lully</v>
      </c>
      <c r="C147" s="127">
        <f>'A) Base RI'!AN149</f>
        <v>785</v>
      </c>
      <c r="D147" s="168">
        <f>'D) Ecrêtage'!N147</f>
        <v>53.151217291427379</v>
      </c>
      <c r="E147" s="37">
        <f t="shared" si="12"/>
        <v>0</v>
      </c>
      <c r="F147" s="171">
        <f t="shared" si="10"/>
        <v>0</v>
      </c>
      <c r="G147" s="152">
        <f>'A) Base RI'!AM149</f>
        <v>61</v>
      </c>
      <c r="H147" s="160">
        <f t="shared" si="11"/>
        <v>0.90292430571737325</v>
      </c>
      <c r="I147" s="175">
        <f t="shared" si="9"/>
        <v>0</v>
      </c>
    </row>
    <row r="148" spans="1:9" x14ac:dyDescent="0.25">
      <c r="A148" s="53">
        <f>'A) Base RI'!A150</f>
        <v>5640</v>
      </c>
      <c r="B148" s="9" t="str">
        <f>'A) Base RI'!B150</f>
        <v>Lussy-sur-Morges</v>
      </c>
      <c r="C148" s="127">
        <f>'A) Base RI'!AN150</f>
        <v>644</v>
      </c>
      <c r="D148" s="168">
        <f>'D) Ecrêtage'!N148</f>
        <v>72.629631193962723</v>
      </c>
      <c r="E148" s="37">
        <f t="shared" si="12"/>
        <v>0</v>
      </c>
      <c r="F148" s="171">
        <f t="shared" si="10"/>
        <v>0</v>
      </c>
      <c r="G148" s="152">
        <f>'A) Base RI'!AM150</f>
        <v>66</v>
      </c>
      <c r="H148" s="160">
        <f t="shared" si="11"/>
        <v>0.97693449471060068</v>
      </c>
      <c r="I148" s="175">
        <f t="shared" si="9"/>
        <v>0</v>
      </c>
    </row>
    <row r="149" spans="1:9" x14ac:dyDescent="0.25">
      <c r="A149" s="53">
        <f>'A) Base RI'!A151</f>
        <v>5642</v>
      </c>
      <c r="B149" s="9" t="str">
        <f>'A) Base RI'!B151</f>
        <v>Morges</v>
      </c>
      <c r="C149" s="127">
        <f>'A) Base RI'!AN151</f>
        <v>15819</v>
      </c>
      <c r="D149" s="168">
        <f>'D) Ecrêtage'!N149</f>
        <v>49.42022987232852</v>
      </c>
      <c r="E149" s="37">
        <f t="shared" si="12"/>
        <v>0</v>
      </c>
      <c r="F149" s="171">
        <f t="shared" si="10"/>
        <v>0</v>
      </c>
      <c r="G149" s="152">
        <f>'A) Base RI'!AM151</f>
        <v>68.5</v>
      </c>
      <c r="H149" s="160">
        <f t="shared" si="11"/>
        <v>1.0139395892072143</v>
      </c>
      <c r="I149" s="175">
        <f t="shared" si="9"/>
        <v>0</v>
      </c>
    </row>
    <row r="150" spans="1:9" x14ac:dyDescent="0.25">
      <c r="A150" s="53">
        <f>'A) Base RI'!A152</f>
        <v>5643</v>
      </c>
      <c r="B150" s="9" t="str">
        <f>'A) Base RI'!B152</f>
        <v>Préverenges</v>
      </c>
      <c r="C150" s="127">
        <f>'A) Base RI'!AN152</f>
        <v>5276</v>
      </c>
      <c r="D150" s="168">
        <f>'D) Ecrêtage'!N150</f>
        <v>49.806656409922283</v>
      </c>
      <c r="E150" s="37">
        <f t="shared" si="12"/>
        <v>0</v>
      </c>
      <c r="F150" s="171">
        <f t="shared" si="10"/>
        <v>0</v>
      </c>
      <c r="G150" s="152">
        <f>'A) Base RI'!AM152</f>
        <v>64</v>
      </c>
      <c r="H150" s="160">
        <f t="shared" si="11"/>
        <v>0.94733041911330973</v>
      </c>
      <c r="I150" s="175">
        <f t="shared" si="9"/>
        <v>0</v>
      </c>
    </row>
    <row r="151" spans="1:9" x14ac:dyDescent="0.25">
      <c r="A151" s="53">
        <f>'A) Base RI'!A153</f>
        <v>5644</v>
      </c>
      <c r="B151" s="9" t="str">
        <f>'A) Base RI'!B153</f>
        <v>Reverolle</v>
      </c>
      <c r="C151" s="127">
        <f>'A) Base RI'!AN153</f>
        <v>368</v>
      </c>
      <c r="D151" s="168">
        <f>'D) Ecrêtage'!N151</f>
        <v>38.393642019450795</v>
      </c>
      <c r="E151" s="37">
        <f t="shared" si="12"/>
        <v>5.7014195671874077</v>
      </c>
      <c r="F151" s="171">
        <f t="shared" si="10"/>
        <v>43053.471662876313</v>
      </c>
      <c r="G151" s="152">
        <f>'A) Base RI'!AM153</f>
        <v>76</v>
      </c>
      <c r="H151" s="160">
        <f t="shared" si="11"/>
        <v>1.1249548726970553</v>
      </c>
      <c r="I151" s="175">
        <f t="shared" si="9"/>
        <v>48433.212733677297</v>
      </c>
    </row>
    <row r="152" spans="1:9" x14ac:dyDescent="0.25">
      <c r="A152" s="53">
        <f>'A) Base RI'!A154</f>
        <v>5645</v>
      </c>
      <c r="B152" s="9" t="str">
        <f>'A) Base RI'!B154</f>
        <v>Romanel-sur-Morges</v>
      </c>
      <c r="C152" s="127">
        <f>'A) Base RI'!AN154</f>
        <v>477</v>
      </c>
      <c r="D152" s="168">
        <f>'D) Ecrêtage'!N152</f>
        <v>55.25342683063792</v>
      </c>
      <c r="E152" s="37">
        <f t="shared" si="12"/>
        <v>0</v>
      </c>
      <c r="F152" s="171">
        <f t="shared" si="10"/>
        <v>0</v>
      </c>
      <c r="G152" s="152">
        <f>'A) Base RI'!AM154</f>
        <v>56</v>
      </c>
      <c r="H152" s="160">
        <f t="shared" si="11"/>
        <v>0.82891411672414594</v>
      </c>
      <c r="I152" s="175">
        <f t="shared" si="9"/>
        <v>0</v>
      </c>
    </row>
    <row r="153" spans="1:9" x14ac:dyDescent="0.25">
      <c r="A153" s="53">
        <f>'A) Base RI'!A155</f>
        <v>5646</v>
      </c>
      <c r="B153" s="9" t="str">
        <f>'A) Base RI'!B155</f>
        <v>Saint-Prex</v>
      </c>
      <c r="C153" s="127">
        <f>'A) Base RI'!AN155</f>
        <v>5661</v>
      </c>
      <c r="D153" s="168">
        <f>'D) Ecrêtage'!N153</f>
        <v>77.727763686485716</v>
      </c>
      <c r="E153" s="37">
        <f t="shared" si="12"/>
        <v>0</v>
      </c>
      <c r="F153" s="171">
        <f t="shared" si="10"/>
        <v>0</v>
      </c>
      <c r="G153" s="152">
        <f>'A) Base RI'!AM155</f>
        <v>55</v>
      </c>
      <c r="H153" s="160">
        <f t="shared" si="11"/>
        <v>0.81411207892550053</v>
      </c>
      <c r="I153" s="175">
        <f t="shared" si="9"/>
        <v>0</v>
      </c>
    </row>
    <row r="154" spans="1:9" x14ac:dyDescent="0.25">
      <c r="A154" s="53">
        <f>'A) Base RI'!A156</f>
        <v>5648</v>
      </c>
      <c r="B154" s="9" t="str">
        <f>'A) Base RI'!B156</f>
        <v>Saint-Sulpice</v>
      </c>
      <c r="C154" s="127">
        <f>'A) Base RI'!AN156</f>
        <v>4148</v>
      </c>
      <c r="D154" s="168">
        <f>'D) Ecrêtage'!N154</f>
        <v>68.931792790749768</v>
      </c>
      <c r="E154" s="37">
        <f t="shared" si="12"/>
        <v>0</v>
      </c>
      <c r="F154" s="171">
        <f t="shared" si="10"/>
        <v>0</v>
      </c>
      <c r="G154" s="152">
        <f>'A) Base RI'!AM156</f>
        <v>55</v>
      </c>
      <c r="H154" s="160">
        <f t="shared" si="11"/>
        <v>0.81411207892550053</v>
      </c>
      <c r="I154" s="175">
        <f t="shared" si="9"/>
        <v>0</v>
      </c>
    </row>
    <row r="155" spans="1:9" x14ac:dyDescent="0.25">
      <c r="A155" s="53">
        <f>'A) Base RI'!A157</f>
        <v>5649</v>
      </c>
      <c r="B155" s="9" t="str">
        <f>'A) Base RI'!B157</f>
        <v>Tolochenaz</v>
      </c>
      <c r="C155" s="127">
        <f>'A) Base RI'!AN157</f>
        <v>1865</v>
      </c>
      <c r="D155" s="168">
        <f>'D) Ecrêtage'!N155</f>
        <v>42.213260466075475</v>
      </c>
      <c r="E155" s="37">
        <f t="shared" si="12"/>
        <v>1.8818011205627272</v>
      </c>
      <c r="F155" s="171">
        <f t="shared" si="10"/>
        <v>61592.762026858487</v>
      </c>
      <c r="G155" s="152">
        <f>'A) Base RI'!AM157</f>
        <v>65</v>
      </c>
      <c r="H155" s="160">
        <f t="shared" si="11"/>
        <v>0.96213245691195515</v>
      </c>
      <c r="I155" s="175">
        <f t="shared" si="9"/>
        <v>59260.39545689473</v>
      </c>
    </row>
    <row r="156" spans="1:9" x14ac:dyDescent="0.25">
      <c r="A156" s="53">
        <f>'A) Base RI'!A158</f>
        <v>5650</v>
      </c>
      <c r="B156" s="9" t="str">
        <f>'A) Base RI'!B158</f>
        <v>Vaux-sur-Morges</v>
      </c>
      <c r="C156" s="127">
        <f>'A) Base RI'!AN158</f>
        <v>200</v>
      </c>
      <c r="D156" s="168">
        <f>'D) Ecrêtage'!N156</f>
        <v>489.43182229816875</v>
      </c>
      <c r="E156" s="37">
        <f t="shared" si="12"/>
        <v>0</v>
      </c>
      <c r="F156" s="171">
        <f t="shared" si="10"/>
        <v>0</v>
      </c>
      <c r="G156" s="152">
        <f>'A) Base RI'!AM158</f>
        <v>39</v>
      </c>
      <c r="H156" s="160">
        <f t="shared" si="11"/>
        <v>0.57727947414717307</v>
      </c>
      <c r="I156" s="175">
        <f t="shared" si="9"/>
        <v>0</v>
      </c>
    </row>
    <row r="157" spans="1:9" x14ac:dyDescent="0.25">
      <c r="A157" s="53">
        <f>'A) Base RI'!A159</f>
        <v>5651</v>
      </c>
      <c r="B157" s="9" t="str">
        <f>'A) Base RI'!B159</f>
        <v>Villars-Sainte-Croix</v>
      </c>
      <c r="C157" s="127">
        <f>'A) Base RI'!AN159</f>
        <v>841</v>
      </c>
      <c r="D157" s="168">
        <f>'D) Ecrêtage'!N157</f>
        <v>46.483864850158199</v>
      </c>
      <c r="E157" s="37">
        <f t="shared" si="12"/>
        <v>0</v>
      </c>
      <c r="F157" s="171">
        <f t="shared" si="10"/>
        <v>0</v>
      </c>
      <c r="G157" s="152">
        <f>'A) Base RI'!AM159</f>
        <v>59</v>
      </c>
      <c r="H157" s="160">
        <f t="shared" si="11"/>
        <v>0.87332023012008242</v>
      </c>
      <c r="I157" s="175">
        <f t="shared" si="9"/>
        <v>0</v>
      </c>
    </row>
    <row r="158" spans="1:9" x14ac:dyDescent="0.25">
      <c r="A158" s="53">
        <f>'A) Base RI'!A160</f>
        <v>5652</v>
      </c>
      <c r="B158" s="9" t="str">
        <f>'A) Base RI'!B160</f>
        <v>Villars-sous-Yens</v>
      </c>
      <c r="C158" s="127">
        <f>'A) Base RI'!AN160</f>
        <v>598</v>
      </c>
      <c r="D158" s="168">
        <f>'D) Ecrêtage'!N158</f>
        <v>36.657951725048406</v>
      </c>
      <c r="E158" s="37">
        <f t="shared" si="12"/>
        <v>7.4371098615897964</v>
      </c>
      <c r="F158" s="171">
        <f t="shared" si="10"/>
        <v>91260.477627173939</v>
      </c>
      <c r="G158" s="152">
        <f>'A) Base RI'!AM160</f>
        <v>76</v>
      </c>
      <c r="H158" s="160">
        <f t="shared" si="11"/>
        <v>1.1249548726970553</v>
      </c>
      <c r="I158" s="175">
        <f t="shared" si="9"/>
        <v>102663.91899134993</v>
      </c>
    </row>
    <row r="159" spans="1:9" x14ac:dyDescent="0.25">
      <c r="A159" s="53">
        <f>'A) Base RI'!A161</f>
        <v>5653</v>
      </c>
      <c r="B159" s="9" t="str">
        <f>'A) Base RI'!B161</f>
        <v>Vufflens-le-Château</v>
      </c>
      <c r="C159" s="127">
        <f>'A) Base RI'!AN161</f>
        <v>841</v>
      </c>
      <c r="D159" s="168">
        <f>'D) Ecrêtage'!N159</f>
        <v>66.438092567995838</v>
      </c>
      <c r="E159" s="37">
        <f t="shared" si="12"/>
        <v>0</v>
      </c>
      <c r="F159" s="171">
        <f t="shared" si="10"/>
        <v>0</v>
      </c>
      <c r="G159" s="152">
        <f>'A) Base RI'!AM161</f>
        <v>55</v>
      </c>
      <c r="H159" s="160">
        <f t="shared" si="11"/>
        <v>0.81411207892550053</v>
      </c>
      <c r="I159" s="175">
        <f t="shared" si="9"/>
        <v>0</v>
      </c>
    </row>
    <row r="160" spans="1:9" x14ac:dyDescent="0.25">
      <c r="A160" s="53">
        <f>'A) Base RI'!A162</f>
        <v>5654</v>
      </c>
      <c r="B160" s="9" t="str">
        <f>'A) Base RI'!B162</f>
        <v>Vullierens</v>
      </c>
      <c r="C160" s="127">
        <f>'A) Base RI'!AN162</f>
        <v>461</v>
      </c>
      <c r="D160" s="168">
        <f>'D) Ecrêtage'!N160</f>
        <v>37.183806941431669</v>
      </c>
      <c r="E160" s="37">
        <f t="shared" si="12"/>
        <v>6.9112546452065331</v>
      </c>
      <c r="F160" s="171">
        <f t="shared" si="10"/>
        <v>65378.533792353148</v>
      </c>
      <c r="G160" s="152">
        <f>'A) Base RI'!AM162</f>
        <v>76</v>
      </c>
      <c r="H160" s="160">
        <f t="shared" si="11"/>
        <v>1.1249548726970553</v>
      </c>
      <c r="I160" s="175">
        <f t="shared" si="9"/>
        <v>73547.90015949677</v>
      </c>
    </row>
    <row r="161" spans="1:9" x14ac:dyDescent="0.25">
      <c r="A161" s="53">
        <f>'A) Base RI'!A163</f>
        <v>5655</v>
      </c>
      <c r="B161" s="9" t="str">
        <f>'A) Base RI'!B163</f>
        <v>Yens</v>
      </c>
      <c r="C161" s="127">
        <f>'A) Base RI'!AN163</f>
        <v>1388</v>
      </c>
      <c r="D161" s="168">
        <f>'D) Ecrêtage'!N161</f>
        <v>58.730441616851529</v>
      </c>
      <c r="E161" s="37">
        <f t="shared" si="12"/>
        <v>0</v>
      </c>
      <c r="F161" s="171">
        <f t="shared" si="10"/>
        <v>0</v>
      </c>
      <c r="G161" s="152">
        <f>'A) Base RI'!AM163</f>
        <v>73</v>
      </c>
      <c r="H161" s="160">
        <f t="shared" si="11"/>
        <v>1.0805487593011189</v>
      </c>
      <c r="I161" s="175">
        <f t="shared" si="9"/>
        <v>0</v>
      </c>
    </row>
    <row r="162" spans="1:9" x14ac:dyDescent="0.25">
      <c r="A162" s="53">
        <f>'A) Base RI'!A164</f>
        <v>5661</v>
      </c>
      <c r="B162" s="9" t="str">
        <f>'A) Base RI'!B164</f>
        <v>Boulens</v>
      </c>
      <c r="C162" s="127">
        <f>'A) Base RI'!AN164</f>
        <v>368</v>
      </c>
      <c r="D162" s="168">
        <f>'D) Ecrêtage'!N162</f>
        <v>26.067856356631804</v>
      </c>
      <c r="E162" s="37">
        <f t="shared" si="12"/>
        <v>18.027205230006398</v>
      </c>
      <c r="F162" s="171">
        <f t="shared" si="10"/>
        <v>141503.46582062144</v>
      </c>
      <c r="G162" s="152">
        <f>'A) Base RI'!AM164</f>
        <v>79</v>
      </c>
      <c r="H162" s="160">
        <f t="shared" si="11"/>
        <v>1.1693609860929917</v>
      </c>
      <c r="I162" s="175">
        <f t="shared" si="9"/>
        <v>165468.63232757783</v>
      </c>
    </row>
    <row r="163" spans="1:9" x14ac:dyDescent="0.25">
      <c r="A163" s="53">
        <f>'A) Base RI'!A165</f>
        <v>5662</v>
      </c>
      <c r="B163" s="9" t="str">
        <f>'A) Base RI'!B165</f>
        <v>Brenles</v>
      </c>
      <c r="C163" s="127">
        <f>'A) Base RI'!AN165</f>
        <v>138</v>
      </c>
      <c r="D163" s="168">
        <f>'D) Ecrêtage'!N163</f>
        <v>37.145423944010901</v>
      </c>
      <c r="E163" s="37">
        <f t="shared" si="12"/>
        <v>6.9496376426273017</v>
      </c>
      <c r="F163" s="171">
        <f t="shared" si="10"/>
        <v>20197.592888014875</v>
      </c>
      <c r="G163" s="152">
        <f>'A) Base RI'!AM165</f>
        <v>78</v>
      </c>
      <c r="H163" s="160">
        <f t="shared" si="11"/>
        <v>1.1545589482943461</v>
      </c>
      <c r="I163" s="175">
        <f t="shared" si="9"/>
        <v>23319.311602863818</v>
      </c>
    </row>
    <row r="164" spans="1:9" x14ac:dyDescent="0.25">
      <c r="A164" s="53">
        <f>'A) Base RI'!A166</f>
        <v>5663</v>
      </c>
      <c r="B164" s="9" t="str">
        <f>'A) Base RI'!B166</f>
        <v>Bussy-sur-Moudon</v>
      </c>
      <c r="C164" s="127">
        <f>'A) Base RI'!AN166</f>
        <v>208</v>
      </c>
      <c r="D164" s="168">
        <f>'D) Ecrêtage'!N164</f>
        <v>26.290448317307689</v>
      </c>
      <c r="E164" s="37">
        <f t="shared" si="12"/>
        <v>17.804613269330513</v>
      </c>
      <c r="F164" s="171">
        <f t="shared" si="10"/>
        <v>79992.56649644814</v>
      </c>
      <c r="G164" s="152">
        <f>'A) Base RI'!AM166</f>
        <v>80</v>
      </c>
      <c r="H164" s="160">
        <f t="shared" si="11"/>
        <v>1.1841630238916372</v>
      </c>
      <c r="I164" s="175">
        <f t="shared" si="9"/>
        <v>94724.2394312869</v>
      </c>
    </row>
    <row r="165" spans="1:9" x14ac:dyDescent="0.25">
      <c r="A165" s="53">
        <f>'A) Base RI'!A167</f>
        <v>5665</v>
      </c>
      <c r="B165" s="9" t="str">
        <f>'A) Base RI'!B167</f>
        <v>Chavannes-sur-Moudon</v>
      </c>
      <c r="C165" s="127">
        <f>'A) Base RI'!AN167</f>
        <v>224</v>
      </c>
      <c r="D165" s="168">
        <f>'D) Ecrêtage'!N165</f>
        <v>22.244995719178075</v>
      </c>
      <c r="E165" s="37">
        <f t="shared" si="12"/>
        <v>21.850065867460128</v>
      </c>
      <c r="F165" s="171">
        <f t="shared" si="10"/>
        <v>96468.91480747117</v>
      </c>
      <c r="G165" s="152">
        <f>'A) Base RI'!AM167</f>
        <v>73</v>
      </c>
      <c r="H165" s="160">
        <f t="shared" si="11"/>
        <v>1.0805487593011189</v>
      </c>
      <c r="I165" s="175">
        <f t="shared" si="9"/>
        <v>104239.36620633831</v>
      </c>
    </row>
    <row r="166" spans="1:9" x14ac:dyDescent="0.25">
      <c r="A166" s="53">
        <f>'A) Base RI'!A168</f>
        <v>5666</v>
      </c>
      <c r="B166" s="9" t="str">
        <f>'A) Base RI'!B168</f>
        <v>Chesalles-sur-Moudon</v>
      </c>
      <c r="C166" s="127">
        <f>'A) Base RI'!AN168</f>
        <v>196</v>
      </c>
      <c r="D166" s="168">
        <f>'D) Ecrêtage'!N166</f>
        <v>19.372720408163264</v>
      </c>
      <c r="E166" s="37">
        <f t="shared" si="12"/>
        <v>24.722341178474938</v>
      </c>
      <c r="F166" s="171">
        <f t="shared" si="10"/>
        <v>98122.972137367018</v>
      </c>
      <c r="G166" s="152">
        <f>'A) Base RI'!AM168</f>
        <v>75</v>
      </c>
      <c r="H166" s="160">
        <f t="shared" si="11"/>
        <v>1.1101528348984098</v>
      </c>
      <c r="I166" s="175">
        <f t="shared" si="9"/>
        <v>108931.49568695566</v>
      </c>
    </row>
    <row r="167" spans="1:9" x14ac:dyDescent="0.25">
      <c r="A167" s="53">
        <f>'A) Base RI'!A169</f>
        <v>5668</v>
      </c>
      <c r="B167" s="9" t="str">
        <f>'A) Base RI'!B169</f>
        <v>Cremin</v>
      </c>
      <c r="C167" s="127">
        <f>'A) Base RI'!AN169</f>
        <v>59</v>
      </c>
      <c r="D167" s="168">
        <f>'D) Ecrêtage'!N167</f>
        <v>17.225914593880699</v>
      </c>
      <c r="E167" s="37">
        <f t="shared" si="12"/>
        <v>26.869146992757504</v>
      </c>
      <c r="F167" s="171">
        <f t="shared" si="10"/>
        <v>32957.964392786285</v>
      </c>
      <c r="G167" s="152">
        <f>'A) Base RI'!AM169</f>
        <v>77</v>
      </c>
      <c r="H167" s="160">
        <f t="shared" si="11"/>
        <v>1.1397569104957008</v>
      </c>
      <c r="I167" s="175">
        <f t="shared" si="9"/>
        <v>37564.067672549412</v>
      </c>
    </row>
    <row r="168" spans="1:9" x14ac:dyDescent="0.25">
      <c r="A168" s="53">
        <f>'A) Base RI'!A170</f>
        <v>5669</v>
      </c>
      <c r="B168" s="9" t="str">
        <f>'A) Base RI'!B170</f>
        <v>Curtilles</v>
      </c>
      <c r="C168" s="127">
        <f>'A) Base RI'!AN170</f>
        <v>309</v>
      </c>
      <c r="D168" s="168">
        <f>'D) Ecrêtage'!N168</f>
        <v>26.793443455591518</v>
      </c>
      <c r="E168" s="37">
        <f t="shared" si="12"/>
        <v>17.301618131046684</v>
      </c>
      <c r="F168" s="171">
        <f t="shared" si="10"/>
        <v>103930.12804847219</v>
      </c>
      <c r="G168" s="152">
        <f>'A) Base RI'!AM170</f>
        <v>72</v>
      </c>
      <c r="H168" s="160">
        <f t="shared" si="11"/>
        <v>1.0657467215024734</v>
      </c>
      <c r="I168" s="175">
        <f t="shared" si="9"/>
        <v>110763.1932329915</v>
      </c>
    </row>
    <row r="169" spans="1:9" x14ac:dyDescent="0.25">
      <c r="A169" s="53">
        <f>'A) Base RI'!A171</f>
        <v>5671</v>
      </c>
      <c r="B169" s="9" t="str">
        <f>'A) Base RI'!B171</f>
        <v>Dompierre</v>
      </c>
      <c r="C169" s="127">
        <f>'A) Base RI'!AN171</f>
        <v>242</v>
      </c>
      <c r="D169" s="168">
        <f>'D) Ecrêtage'!N169</f>
        <v>27.573541838842974</v>
      </c>
      <c r="E169" s="37">
        <f t="shared" si="12"/>
        <v>16.521519747795228</v>
      </c>
      <c r="F169" s="171">
        <f t="shared" si="10"/>
        <v>86361.28802567524</v>
      </c>
      <c r="G169" s="152">
        <f>'A) Base RI'!AM171</f>
        <v>80</v>
      </c>
      <c r="H169" s="160">
        <f t="shared" si="11"/>
        <v>1.1841630238916372</v>
      </c>
      <c r="I169" s="175">
        <f t="shared" si="9"/>
        <v>102265.84397566023</v>
      </c>
    </row>
    <row r="170" spans="1:9" x14ac:dyDescent="0.25">
      <c r="A170" s="53">
        <f>'A) Base RI'!A172</f>
        <v>5672</v>
      </c>
      <c r="B170" s="9" t="str">
        <f>'A) Base RI'!B172</f>
        <v>Forel-sur-Lucens</v>
      </c>
      <c r="C170" s="127">
        <f>'A) Base RI'!AN172</f>
        <v>154</v>
      </c>
      <c r="D170" s="168">
        <f>'D) Ecrêtage'!N170</f>
        <v>26.599801948051951</v>
      </c>
      <c r="E170" s="37">
        <f t="shared" si="12"/>
        <v>17.495259638586251</v>
      </c>
      <c r="F170" s="171">
        <f t="shared" si="10"/>
        <v>54558.967182931228</v>
      </c>
      <c r="G170" s="152">
        <f>'A) Base RI'!AM172</f>
        <v>75</v>
      </c>
      <c r="H170" s="160">
        <f t="shared" si="11"/>
        <v>1.1101528348984098</v>
      </c>
      <c r="I170" s="175">
        <f t="shared" si="9"/>
        <v>60568.792087260408</v>
      </c>
    </row>
    <row r="171" spans="1:9" x14ac:dyDescent="0.25">
      <c r="A171" s="53">
        <f>'A) Base RI'!A173</f>
        <v>5673</v>
      </c>
      <c r="B171" s="9" t="str">
        <f>'A) Base RI'!B173</f>
        <v>Hermenches</v>
      </c>
      <c r="C171" s="127">
        <f>'A) Base RI'!AN173</f>
        <v>379</v>
      </c>
      <c r="D171" s="168">
        <f>'D) Ecrêtage'!N171</f>
        <v>20.773963998827327</v>
      </c>
      <c r="E171" s="37">
        <f t="shared" si="12"/>
        <v>23.321097587810875</v>
      </c>
      <c r="F171" s="171">
        <f t="shared" si="10"/>
        <v>178983.59371205152</v>
      </c>
      <c r="G171" s="152">
        <f>'A) Base RI'!AM173</f>
        <v>75</v>
      </c>
      <c r="H171" s="160">
        <f t="shared" si="11"/>
        <v>1.1101528348984098</v>
      </c>
      <c r="I171" s="175">
        <f t="shared" ref="I171:I226" si="13">F171*H171</f>
        <v>198699.14395973919</v>
      </c>
    </row>
    <row r="172" spans="1:9" x14ac:dyDescent="0.25">
      <c r="A172" s="53">
        <f>'A) Base RI'!A174</f>
        <v>5674</v>
      </c>
      <c r="B172" s="9" t="str">
        <f>'A) Base RI'!B174</f>
        <v>Lovatens</v>
      </c>
      <c r="C172" s="127">
        <f>'A) Base RI'!AN174</f>
        <v>143</v>
      </c>
      <c r="D172" s="168">
        <f>'D) Ecrêtage'!N172</f>
        <v>26.411462803862808</v>
      </c>
      <c r="E172" s="37">
        <f t="shared" si="12"/>
        <v>17.683598782775395</v>
      </c>
      <c r="F172" s="171">
        <f t="shared" si="10"/>
        <v>51207.281175221848</v>
      </c>
      <c r="G172" s="152">
        <f>'A) Base RI'!AM174</f>
        <v>75</v>
      </c>
      <c r="H172" s="160">
        <f t="shared" si="11"/>
        <v>1.1101528348984098</v>
      </c>
      <c r="I172" s="175">
        <f t="shared" si="13"/>
        <v>56847.908364112503</v>
      </c>
    </row>
    <row r="173" spans="1:9" x14ac:dyDescent="0.25">
      <c r="A173" s="53">
        <f>'A) Base RI'!A175</f>
        <v>5675</v>
      </c>
      <c r="B173" s="9" t="str">
        <f>'A) Base RI'!B175</f>
        <v>Lucens</v>
      </c>
      <c r="C173" s="127">
        <f>'A) Base RI'!AN175</f>
        <v>3380</v>
      </c>
      <c r="D173" s="168">
        <f>'D) Ecrêtage'!N173</f>
        <v>22.9229872528404</v>
      </c>
      <c r="E173" s="37">
        <f t="shared" si="12"/>
        <v>21.172074333797802</v>
      </c>
      <c r="F173" s="171">
        <f t="shared" si="10"/>
        <v>1275227.9124435759</v>
      </c>
      <c r="G173" s="152">
        <f>'A) Base RI'!AM175</f>
        <v>66</v>
      </c>
      <c r="H173" s="160">
        <f t="shared" si="11"/>
        <v>0.97693449471060068</v>
      </c>
      <c r="I173" s="175">
        <f t="shared" si="13"/>
        <v>1245814.136283919</v>
      </c>
    </row>
    <row r="174" spans="1:9" x14ac:dyDescent="0.25">
      <c r="A174" s="53">
        <f>'A) Base RI'!A176</f>
        <v>5678</v>
      </c>
      <c r="B174" s="9" t="str">
        <f>'A) Base RI'!B176</f>
        <v>Moudon</v>
      </c>
      <c r="C174" s="127">
        <f>'A) Base RI'!AN176</f>
        <v>6003</v>
      </c>
      <c r="D174" s="168">
        <f>'D) Ecrêtage'!N174</f>
        <v>20.509158287522908</v>
      </c>
      <c r="E174" s="37">
        <f t="shared" si="12"/>
        <v>23.585903299115294</v>
      </c>
      <c r="F174" s="171">
        <f t="shared" si="10"/>
        <v>2867120.0944679296</v>
      </c>
      <c r="G174" s="152">
        <f>'A) Base RI'!AM176</f>
        <v>75</v>
      </c>
      <c r="H174" s="160">
        <f t="shared" si="11"/>
        <v>1.1101528348984098</v>
      </c>
      <c r="I174" s="175">
        <f t="shared" si="13"/>
        <v>3182941.5008677687</v>
      </c>
    </row>
    <row r="175" spans="1:9" x14ac:dyDescent="0.25">
      <c r="A175" s="53">
        <f>'A) Base RI'!A177</f>
        <v>5680</v>
      </c>
      <c r="B175" s="9" t="str">
        <f>'A) Base RI'!B177</f>
        <v>Ogens</v>
      </c>
      <c r="C175" s="127">
        <f>'A) Base RI'!AN177</f>
        <v>296</v>
      </c>
      <c r="D175" s="168">
        <f>'D) Ecrêtage'!N175</f>
        <v>28.730908119658118</v>
      </c>
      <c r="E175" s="37">
        <f t="shared" si="12"/>
        <v>15.364153466980085</v>
      </c>
      <c r="F175" s="171">
        <f t="shared" si="10"/>
        <v>95776.445316321784</v>
      </c>
      <c r="G175" s="152">
        <f>'A) Base RI'!AM177</f>
        <v>78</v>
      </c>
      <c r="H175" s="160">
        <f t="shared" si="11"/>
        <v>1.1545589482943461</v>
      </c>
      <c r="I175" s="175">
        <f t="shared" si="13"/>
        <v>110579.55197578343</v>
      </c>
    </row>
    <row r="176" spans="1:9" x14ac:dyDescent="0.25">
      <c r="A176" s="53">
        <f>'A) Base RI'!A178</f>
        <v>5683</v>
      </c>
      <c r="B176" s="9" t="str">
        <f>'A) Base RI'!B178</f>
        <v>Prévonloup</v>
      </c>
      <c r="C176" s="127">
        <f>'A) Base RI'!AN178</f>
        <v>166</v>
      </c>
      <c r="D176" s="168">
        <f>'D) Ecrêtage'!N176</f>
        <v>24.870894659719955</v>
      </c>
      <c r="E176" s="37">
        <f t="shared" si="12"/>
        <v>19.224166926918247</v>
      </c>
      <c r="F176" s="171">
        <f t="shared" si="10"/>
        <v>63760.409963171209</v>
      </c>
      <c r="G176" s="152">
        <f>'A) Base RI'!AM178</f>
        <v>74</v>
      </c>
      <c r="H176" s="160">
        <f t="shared" si="11"/>
        <v>1.0953507970997642</v>
      </c>
      <c r="I176" s="175">
        <f t="shared" si="13"/>
        <v>69840.015876567326</v>
      </c>
    </row>
    <row r="177" spans="1:9" x14ac:dyDescent="0.25">
      <c r="A177" s="53">
        <f>'A) Base RI'!A179</f>
        <v>5684</v>
      </c>
      <c r="B177" s="9" t="str">
        <f>'A) Base RI'!B179</f>
        <v>Rossenges</v>
      </c>
      <c r="C177" s="127">
        <f>'A) Base RI'!AN179</f>
        <v>60</v>
      </c>
      <c r="D177" s="168">
        <f>'D) Ecrêtage'!N177</f>
        <v>35.33253333333333</v>
      </c>
      <c r="E177" s="37">
        <f t="shared" si="12"/>
        <v>8.7625282533048718</v>
      </c>
      <c r="F177" s="171">
        <f t="shared" si="10"/>
        <v>8517.1774622123357</v>
      </c>
      <c r="G177" s="152">
        <f>'A) Base RI'!AM179</f>
        <v>60</v>
      </c>
      <c r="H177" s="160">
        <f t="shared" si="11"/>
        <v>0.88812226791872784</v>
      </c>
      <c r="I177" s="175">
        <f t="shared" si="13"/>
        <v>7564.2949640062943</v>
      </c>
    </row>
    <row r="178" spans="1:9" x14ac:dyDescent="0.25">
      <c r="A178" s="53">
        <f>'A) Base RI'!A180</f>
        <v>5686</v>
      </c>
      <c r="B178" s="9" t="str">
        <f>'A) Base RI'!B180</f>
        <v>Sarzens</v>
      </c>
      <c r="C178" s="127">
        <f>'A) Base RI'!AN180</f>
        <v>82</v>
      </c>
      <c r="D178" s="168">
        <f>'D) Ecrêtage'!N178</f>
        <v>20.467190177982861</v>
      </c>
      <c r="E178" s="37">
        <f t="shared" si="12"/>
        <v>23.627871408655341</v>
      </c>
      <c r="F178" s="171">
        <f t="shared" si="10"/>
        <v>38710.959401084561</v>
      </c>
      <c r="G178" s="152">
        <f>'A) Base RI'!AM180</f>
        <v>74</v>
      </c>
      <c r="H178" s="160">
        <f t="shared" si="11"/>
        <v>1.0953507970997642</v>
      </c>
      <c r="I178" s="175">
        <f t="shared" si="13"/>
        <v>42402.080236474583</v>
      </c>
    </row>
    <row r="179" spans="1:9" x14ac:dyDescent="0.25">
      <c r="A179" s="53">
        <f>'A) Base RI'!A181</f>
        <v>5688</v>
      </c>
      <c r="B179" s="9" t="str">
        <f>'A) Base RI'!B181</f>
        <v>Syens</v>
      </c>
      <c r="C179" s="127">
        <f>'A) Base RI'!AN181</f>
        <v>145</v>
      </c>
      <c r="D179" s="168">
        <f>'D) Ecrêtage'!N179</f>
        <v>33.416557197591686</v>
      </c>
      <c r="E179" s="37">
        <f t="shared" si="12"/>
        <v>10.678504389046516</v>
      </c>
      <c r="F179" s="171">
        <f t="shared" si="10"/>
        <v>31605.596580436533</v>
      </c>
      <c r="G179" s="152">
        <f>'A) Base RI'!AM181</f>
        <v>75.599999999999994</v>
      </c>
      <c r="H179" s="160">
        <f t="shared" si="11"/>
        <v>1.119034057577597</v>
      </c>
      <c r="I179" s="175">
        <f t="shared" si="13"/>
        <v>35367.738983566516</v>
      </c>
    </row>
    <row r="180" spans="1:9" x14ac:dyDescent="0.25">
      <c r="A180" s="53">
        <f>'A) Base RI'!A182</f>
        <v>5690</v>
      </c>
      <c r="B180" s="9" t="str">
        <f>'A) Base RI'!B182</f>
        <v>Villars-le-Comte</v>
      </c>
      <c r="C180" s="127">
        <f>'A) Base RI'!AN182</f>
        <v>143</v>
      </c>
      <c r="D180" s="168">
        <f>'D) Ecrêtage'!N180</f>
        <v>22.743252668384244</v>
      </c>
      <c r="E180" s="37">
        <f t="shared" si="12"/>
        <v>21.351808918253958</v>
      </c>
      <c r="F180" s="171">
        <f t="shared" si="10"/>
        <v>62653.894017367697</v>
      </c>
      <c r="G180" s="152">
        <f>'A) Base RI'!AM182</f>
        <v>76</v>
      </c>
      <c r="H180" s="160">
        <f t="shared" si="11"/>
        <v>1.1249548726970553</v>
      </c>
      <c r="I180" s="175">
        <f t="shared" si="13"/>
        <v>70482.803368282664</v>
      </c>
    </row>
    <row r="181" spans="1:9" x14ac:dyDescent="0.25">
      <c r="A181" s="53">
        <f>'A) Base RI'!A183</f>
        <v>5692</v>
      </c>
      <c r="B181" s="9" t="str">
        <f>'A) Base RI'!B183</f>
        <v>Vucherens</v>
      </c>
      <c r="C181" s="127">
        <f>'A) Base RI'!AN183</f>
        <v>557</v>
      </c>
      <c r="D181" s="168">
        <f>'D) Ecrêtage'!N181</f>
        <v>30.508496238892803</v>
      </c>
      <c r="E181" s="37">
        <f t="shared" si="12"/>
        <v>13.586565347745399</v>
      </c>
      <c r="F181" s="171">
        <f t="shared" si="10"/>
        <v>161419.401449147</v>
      </c>
      <c r="G181" s="152">
        <f>'A) Base RI'!AM183</f>
        <v>79</v>
      </c>
      <c r="H181" s="160">
        <f t="shared" si="11"/>
        <v>1.1693609860929917</v>
      </c>
      <c r="I181" s="175">
        <f t="shared" si="13"/>
        <v>188757.55045311502</v>
      </c>
    </row>
    <row r="182" spans="1:9" x14ac:dyDescent="0.25">
      <c r="A182" s="53">
        <f>'A) Base RI'!A184</f>
        <v>5693</v>
      </c>
      <c r="B182" s="9" t="str">
        <f>'A) Base RI'!B184</f>
        <v>Montanaire</v>
      </c>
      <c r="C182" s="127">
        <f>'A) Base RI'!AN184</f>
        <v>2500</v>
      </c>
      <c r="D182" s="168">
        <f>'D) Ecrêtage'!N182</f>
        <v>25.43403261111111</v>
      </c>
      <c r="E182" s="37">
        <f t="shared" si="12"/>
        <v>18.661028975527092</v>
      </c>
      <c r="F182" s="171">
        <f t="shared" si="10"/>
        <v>906926.00821061677</v>
      </c>
      <c r="G182" s="152">
        <f>'A) Base RI'!AM184</f>
        <v>72</v>
      </c>
      <c r="H182" s="160">
        <f t="shared" si="11"/>
        <v>1.0657467215024734</v>
      </c>
      <c r="I182" s="175">
        <f>F182*H182</f>
        <v>966553.41989579005</v>
      </c>
    </row>
    <row r="183" spans="1:9" x14ac:dyDescent="0.25">
      <c r="A183" s="53">
        <f>'A) Base RI'!A185</f>
        <v>5701</v>
      </c>
      <c r="B183" s="9" t="str">
        <f>'A) Base RI'!B185</f>
        <v>Arnex-sur-Nyon</v>
      </c>
      <c r="C183" s="127">
        <f>'A) Base RI'!AN185</f>
        <v>214</v>
      </c>
      <c r="D183" s="168">
        <f>'D) Ecrêtage'!N183</f>
        <v>65.736229796051418</v>
      </c>
      <c r="E183" s="37">
        <f t="shared" si="12"/>
        <v>0</v>
      </c>
      <c r="F183" s="171">
        <f t="shared" si="10"/>
        <v>0</v>
      </c>
      <c r="G183" s="152">
        <f>'A) Base RI'!AM185</f>
        <v>70</v>
      </c>
      <c r="H183" s="160">
        <f t="shared" si="11"/>
        <v>1.0361426459051826</v>
      </c>
      <c r="I183" s="175">
        <f>F183*H183</f>
        <v>0</v>
      </c>
    </row>
    <row r="184" spans="1:9" x14ac:dyDescent="0.25">
      <c r="A184" s="53">
        <f>'A) Base RI'!A186</f>
        <v>5702</v>
      </c>
      <c r="B184" s="9" t="str">
        <f>'A) Base RI'!B186</f>
        <v>Arzier-Le Muids</v>
      </c>
      <c r="C184" s="127">
        <f>'A) Base RI'!AN186</f>
        <v>2565</v>
      </c>
      <c r="D184" s="168">
        <f>'D) Ecrêtage'!N184</f>
        <v>58.585084752303437</v>
      </c>
      <c r="E184" s="37">
        <f t="shared" si="12"/>
        <v>0</v>
      </c>
      <c r="F184" s="171">
        <f t="shared" si="10"/>
        <v>0</v>
      </c>
      <c r="G184" s="152">
        <f>'A) Base RI'!AM186</f>
        <v>64</v>
      </c>
      <c r="H184" s="160">
        <f t="shared" si="11"/>
        <v>0.94733041911330973</v>
      </c>
      <c r="I184" s="175">
        <f t="shared" si="13"/>
        <v>0</v>
      </c>
    </row>
    <row r="185" spans="1:9" x14ac:dyDescent="0.25">
      <c r="A185" s="53">
        <f>'A) Base RI'!A187</f>
        <v>5703</v>
      </c>
      <c r="B185" s="9" t="str">
        <f>'A) Base RI'!B187</f>
        <v>Bassins</v>
      </c>
      <c r="C185" s="127">
        <f>'A) Base RI'!AN187</f>
        <v>1311</v>
      </c>
      <c r="D185" s="168">
        <f>'D) Ecrêtage'!N185</f>
        <v>39.948288265059453</v>
      </c>
      <c r="E185" s="37">
        <f t="shared" si="12"/>
        <v>4.146773321578749</v>
      </c>
      <c r="F185" s="171">
        <f t="shared" si="10"/>
        <v>104216.16803738532</v>
      </c>
      <c r="G185" s="152">
        <f>'A) Base RI'!AM187</f>
        <v>71</v>
      </c>
      <c r="H185" s="160">
        <f t="shared" si="11"/>
        <v>1.0509446837038279</v>
      </c>
      <c r="I185" s="175">
        <f t="shared" si="13"/>
        <v>109525.42775487489</v>
      </c>
    </row>
    <row r="186" spans="1:9" x14ac:dyDescent="0.25">
      <c r="A186" s="53">
        <f>'A) Base RI'!A188</f>
        <v>5704</v>
      </c>
      <c r="B186" s="9" t="str">
        <f>'A) Base RI'!B188</f>
        <v>Begnins</v>
      </c>
      <c r="C186" s="127">
        <f>'A) Base RI'!AN188</f>
        <v>1856</v>
      </c>
      <c r="D186" s="168">
        <f>'D) Ecrêtage'!N186</f>
        <v>60.987308288082907</v>
      </c>
      <c r="E186" s="37">
        <f t="shared" si="12"/>
        <v>0</v>
      </c>
      <c r="F186" s="171">
        <f t="shared" si="10"/>
        <v>0</v>
      </c>
      <c r="G186" s="152">
        <f>'A) Base RI'!AM188</f>
        <v>67</v>
      </c>
      <c r="H186" s="160">
        <f t="shared" si="11"/>
        <v>0.99173653250924609</v>
      </c>
      <c r="I186" s="175">
        <f t="shared" si="13"/>
        <v>0</v>
      </c>
    </row>
    <row r="187" spans="1:9" x14ac:dyDescent="0.25">
      <c r="A187" s="53">
        <f>'A) Base RI'!A189</f>
        <v>5705</v>
      </c>
      <c r="B187" s="9" t="str">
        <f>'A) Base RI'!B189</f>
        <v>Bogis-Bossey</v>
      </c>
      <c r="C187" s="127">
        <f>'A) Base RI'!AN189</f>
        <v>827</v>
      </c>
      <c r="D187" s="168">
        <f>'D) Ecrêtage'!N187</f>
        <v>58.584637528432935</v>
      </c>
      <c r="E187" s="37">
        <f t="shared" si="12"/>
        <v>0</v>
      </c>
      <c r="F187" s="171">
        <f t="shared" si="10"/>
        <v>0</v>
      </c>
      <c r="G187" s="152">
        <f>'A) Base RI'!AM189</f>
        <v>70</v>
      </c>
      <c r="H187" s="160">
        <f t="shared" si="11"/>
        <v>1.0361426459051826</v>
      </c>
      <c r="I187" s="175">
        <f t="shared" si="13"/>
        <v>0</v>
      </c>
    </row>
    <row r="188" spans="1:9" x14ac:dyDescent="0.25">
      <c r="A188" s="53">
        <f>'A) Base RI'!A190</f>
        <v>5706</v>
      </c>
      <c r="B188" s="9" t="str">
        <f>'A) Base RI'!B190</f>
        <v>Borex</v>
      </c>
      <c r="C188" s="127">
        <f>'A) Base RI'!AN190</f>
        <v>1099</v>
      </c>
      <c r="D188" s="168">
        <f>'D) Ecrêtage'!N188</f>
        <v>59.914453539816201</v>
      </c>
      <c r="E188" s="37">
        <f t="shared" si="12"/>
        <v>0</v>
      </c>
      <c r="F188" s="171">
        <f t="shared" si="10"/>
        <v>0</v>
      </c>
      <c r="G188" s="152">
        <f>'A) Base RI'!AM190</f>
        <v>55</v>
      </c>
      <c r="H188" s="160">
        <f t="shared" si="11"/>
        <v>0.81411207892550053</v>
      </c>
      <c r="I188" s="175">
        <f t="shared" si="13"/>
        <v>0</v>
      </c>
    </row>
    <row r="189" spans="1:9" x14ac:dyDescent="0.25">
      <c r="A189" s="53">
        <f>'A) Base RI'!A191</f>
        <v>5707</v>
      </c>
      <c r="B189" s="9" t="str">
        <f>'A) Base RI'!B191</f>
        <v>Chavannes-de-Bogis</v>
      </c>
      <c r="C189" s="127">
        <f>'A) Base RI'!AN191</f>
        <v>1153</v>
      </c>
      <c r="D189" s="168">
        <f>'D) Ecrêtage'!N189</f>
        <v>74.628312161314469</v>
      </c>
      <c r="E189" s="37">
        <f t="shared" si="12"/>
        <v>0</v>
      </c>
      <c r="F189" s="171">
        <f t="shared" si="10"/>
        <v>0</v>
      </c>
      <c r="G189" s="152">
        <f>'A) Base RI'!AM191</f>
        <v>59</v>
      </c>
      <c r="H189" s="160">
        <f t="shared" si="11"/>
        <v>0.87332023012008242</v>
      </c>
      <c r="I189" s="175">
        <f t="shared" si="13"/>
        <v>0</v>
      </c>
    </row>
    <row r="190" spans="1:9" x14ac:dyDescent="0.25">
      <c r="A190" s="53">
        <f>'A) Base RI'!A192</f>
        <v>5708</v>
      </c>
      <c r="B190" s="9" t="str">
        <f>'A) Base RI'!B192</f>
        <v>Chavannes-des-Bois</v>
      </c>
      <c r="C190" s="127">
        <f>'A) Base RI'!AN192</f>
        <v>850</v>
      </c>
      <c r="D190" s="168">
        <f>'D) Ecrêtage'!N190</f>
        <v>69.181838239991464</v>
      </c>
      <c r="E190" s="37">
        <f t="shared" si="12"/>
        <v>0</v>
      </c>
      <c r="F190" s="171">
        <f t="shared" si="10"/>
        <v>0</v>
      </c>
      <c r="G190" s="152">
        <f>'A) Base RI'!AM192</f>
        <v>61</v>
      </c>
      <c r="H190" s="160">
        <f t="shared" si="11"/>
        <v>0.90292430571737325</v>
      </c>
      <c r="I190" s="175">
        <f t="shared" si="13"/>
        <v>0</v>
      </c>
    </row>
    <row r="191" spans="1:9" x14ac:dyDescent="0.25">
      <c r="A191" s="53">
        <f>'A) Base RI'!A193</f>
        <v>5709</v>
      </c>
      <c r="B191" s="9" t="str">
        <f>'A) Base RI'!B193</f>
        <v>Chéserex</v>
      </c>
      <c r="C191" s="127">
        <f>'A) Base RI'!AN193</f>
        <v>1222</v>
      </c>
      <c r="D191" s="168">
        <f>'D) Ecrêtage'!N191</f>
        <v>87.565444539322456</v>
      </c>
      <c r="E191" s="37">
        <f t="shared" si="12"/>
        <v>0</v>
      </c>
      <c r="F191" s="171">
        <f t="shared" si="10"/>
        <v>0</v>
      </c>
      <c r="G191" s="152">
        <f>'A) Base RI'!AM193</f>
        <v>52</v>
      </c>
      <c r="H191" s="160">
        <f t="shared" si="11"/>
        <v>0.76970596552956416</v>
      </c>
      <c r="I191" s="175">
        <f t="shared" si="13"/>
        <v>0</v>
      </c>
    </row>
    <row r="192" spans="1:9" x14ac:dyDescent="0.25">
      <c r="A192" s="53">
        <f>'A) Base RI'!A194</f>
        <v>5710</v>
      </c>
      <c r="B192" s="9" t="str">
        <f>'A) Base RI'!B194</f>
        <v>Coinsins</v>
      </c>
      <c r="C192" s="127">
        <f>'A) Base RI'!AN194</f>
        <v>490</v>
      </c>
      <c r="D192" s="168">
        <f>'D) Ecrêtage'!N192</f>
        <v>104.36422960328304</v>
      </c>
      <c r="E192" s="37">
        <f t="shared" si="12"/>
        <v>0</v>
      </c>
      <c r="F192" s="171">
        <f t="shared" si="10"/>
        <v>0</v>
      </c>
      <c r="G192" s="152">
        <f>'A) Base RI'!AM194</f>
        <v>41</v>
      </c>
      <c r="H192" s="160">
        <f t="shared" si="11"/>
        <v>0.60688354974446401</v>
      </c>
      <c r="I192" s="175">
        <f t="shared" si="13"/>
        <v>0</v>
      </c>
    </row>
    <row r="193" spans="1:9" x14ac:dyDescent="0.25">
      <c r="A193" s="53">
        <f>'A) Base RI'!A195</f>
        <v>5711</v>
      </c>
      <c r="B193" s="9" t="str">
        <f>'A) Base RI'!B195</f>
        <v>Commugny</v>
      </c>
      <c r="C193" s="127">
        <f>'A) Base RI'!AN195</f>
        <v>2561</v>
      </c>
      <c r="D193" s="168">
        <f>'D) Ecrêtage'!N193</f>
        <v>79.437987713382782</v>
      </c>
      <c r="E193" s="37">
        <f t="shared" si="12"/>
        <v>0</v>
      </c>
      <c r="F193" s="171">
        <f t="shared" si="10"/>
        <v>0</v>
      </c>
      <c r="G193" s="152">
        <f>'A) Base RI'!AM195</f>
        <v>57</v>
      </c>
      <c r="H193" s="160">
        <f t="shared" si="11"/>
        <v>0.84371615452279147</v>
      </c>
      <c r="I193" s="175">
        <f t="shared" si="13"/>
        <v>0</v>
      </c>
    </row>
    <row r="194" spans="1:9" x14ac:dyDescent="0.25">
      <c r="A194" s="53">
        <f>'A) Base RI'!A196</f>
        <v>5712</v>
      </c>
      <c r="B194" s="9" t="str">
        <f>'A) Base RI'!B196</f>
        <v>Coppet</v>
      </c>
      <c r="C194" s="127">
        <f>'A) Base RI'!AN196</f>
        <v>2942</v>
      </c>
      <c r="D194" s="168">
        <f>'D) Ecrêtage'!N194</f>
        <v>83.941007605064414</v>
      </c>
      <c r="E194" s="37">
        <f t="shared" si="12"/>
        <v>0</v>
      </c>
      <c r="F194" s="171">
        <f t="shared" si="10"/>
        <v>0</v>
      </c>
      <c r="G194" s="152">
        <f>'A) Base RI'!AM196</f>
        <v>53</v>
      </c>
      <c r="H194" s="160">
        <f t="shared" si="11"/>
        <v>0.78450800332820958</v>
      </c>
      <c r="I194" s="175">
        <f t="shared" si="13"/>
        <v>0</v>
      </c>
    </row>
    <row r="195" spans="1:9" x14ac:dyDescent="0.25">
      <c r="A195" s="53">
        <f>'A) Base RI'!A197</f>
        <v>5713</v>
      </c>
      <c r="B195" s="9" t="str">
        <f>'A) Base RI'!B197</f>
        <v>Crans-près-Céligny</v>
      </c>
      <c r="C195" s="127">
        <f>'A) Base RI'!AN197</f>
        <v>2059</v>
      </c>
      <c r="D195" s="168">
        <f>'D) Ecrêtage'!N195</f>
        <v>85.548428830001299</v>
      </c>
      <c r="E195" s="37">
        <f t="shared" si="12"/>
        <v>0</v>
      </c>
      <c r="F195" s="171">
        <f t="shared" si="10"/>
        <v>0</v>
      </c>
      <c r="G195" s="152">
        <f>'A) Base RI'!AM197</f>
        <v>53</v>
      </c>
      <c r="H195" s="160">
        <f t="shared" si="11"/>
        <v>0.78450800332820958</v>
      </c>
      <c r="I195" s="175">
        <f t="shared" si="13"/>
        <v>0</v>
      </c>
    </row>
    <row r="196" spans="1:9" x14ac:dyDescent="0.25">
      <c r="A196" s="53">
        <f>'A) Base RI'!A198</f>
        <v>5714</v>
      </c>
      <c r="B196" s="9" t="str">
        <f>'A) Base RI'!B198</f>
        <v>Crassier</v>
      </c>
      <c r="C196" s="127">
        <f>'A) Base RI'!AN198</f>
        <v>1172</v>
      </c>
      <c r="D196" s="168">
        <f>'D) Ecrêtage'!N196</f>
        <v>65.181565584105854</v>
      </c>
      <c r="E196" s="37">
        <f t="shared" si="12"/>
        <v>0</v>
      </c>
      <c r="F196" s="171">
        <f t="shared" si="10"/>
        <v>0</v>
      </c>
      <c r="G196" s="152">
        <f>'A) Base RI'!AM198</f>
        <v>64</v>
      </c>
      <c r="H196" s="160">
        <f t="shared" si="11"/>
        <v>0.94733041911330973</v>
      </c>
      <c r="I196" s="175">
        <f t="shared" si="13"/>
        <v>0</v>
      </c>
    </row>
    <row r="197" spans="1:9" x14ac:dyDescent="0.25">
      <c r="A197" s="53">
        <f>'A) Base RI'!A199</f>
        <v>5715</v>
      </c>
      <c r="B197" s="9" t="str">
        <f>'A) Base RI'!B199</f>
        <v>Duillier</v>
      </c>
      <c r="C197" s="127">
        <f>'A) Base RI'!AN199</f>
        <v>1039</v>
      </c>
      <c r="D197" s="168">
        <f>'D) Ecrêtage'!N197</f>
        <v>59.683581505271214</v>
      </c>
      <c r="E197" s="37">
        <f t="shared" si="12"/>
        <v>0</v>
      </c>
      <c r="F197" s="171">
        <f t="shared" ref="F197:F260" si="14">(C197*E197*G197)*$E$4</f>
        <v>0</v>
      </c>
      <c r="G197" s="152">
        <f>'A) Base RI'!AM199</f>
        <v>66</v>
      </c>
      <c r="H197" s="160">
        <f t="shared" si="11"/>
        <v>0.97693449471060068</v>
      </c>
      <c r="I197" s="175">
        <f t="shared" si="13"/>
        <v>0</v>
      </c>
    </row>
    <row r="198" spans="1:9" x14ac:dyDescent="0.25">
      <c r="A198" s="53">
        <f>'A) Base RI'!A200</f>
        <v>5716</v>
      </c>
      <c r="B198" s="9" t="str">
        <f>'A) Base RI'!B200</f>
        <v>Eysins</v>
      </c>
      <c r="C198" s="127">
        <f>'A) Base RI'!AN200</f>
        <v>1482</v>
      </c>
      <c r="D198" s="168">
        <f>'D) Ecrêtage'!N198</f>
        <v>60.465665115323937</v>
      </c>
      <c r="E198" s="37">
        <f t="shared" si="12"/>
        <v>0</v>
      </c>
      <c r="F198" s="171">
        <f t="shared" si="14"/>
        <v>0</v>
      </c>
      <c r="G198" s="152">
        <f>'A) Base RI'!AM200</f>
        <v>61</v>
      </c>
      <c r="H198" s="160">
        <f t="shared" ref="H198:H261" si="15">G198/$G$323</f>
        <v>0.90292430571737325</v>
      </c>
      <c r="I198" s="175">
        <f t="shared" si="13"/>
        <v>0</v>
      </c>
    </row>
    <row r="199" spans="1:9" x14ac:dyDescent="0.25">
      <c r="A199" s="53">
        <f>'A) Base RI'!A201</f>
        <v>5717</v>
      </c>
      <c r="B199" s="9" t="str">
        <f>'A) Base RI'!B201</f>
        <v>Founex</v>
      </c>
      <c r="C199" s="127">
        <f>'A) Base RI'!AN201</f>
        <v>3410</v>
      </c>
      <c r="D199" s="168">
        <f>'D) Ecrêtage'!N199</f>
        <v>82.962154526489797</v>
      </c>
      <c r="E199" s="37">
        <f t="shared" si="12"/>
        <v>0</v>
      </c>
      <c r="F199" s="171">
        <f t="shared" si="14"/>
        <v>0</v>
      </c>
      <c r="G199" s="152">
        <f>'A) Base RI'!AM201</f>
        <v>57</v>
      </c>
      <c r="H199" s="160">
        <f t="shared" si="15"/>
        <v>0.84371615452279147</v>
      </c>
      <c r="I199" s="175">
        <f t="shared" si="13"/>
        <v>0</v>
      </c>
    </row>
    <row r="200" spans="1:9" x14ac:dyDescent="0.25">
      <c r="A200" s="53">
        <f>'A) Base RI'!A202</f>
        <v>5718</v>
      </c>
      <c r="B200" s="9" t="str">
        <f>'A) Base RI'!B202</f>
        <v>Genolier</v>
      </c>
      <c r="C200" s="127">
        <f>'A) Base RI'!AN202</f>
        <v>1895</v>
      </c>
      <c r="D200" s="168">
        <f>'D) Ecrêtage'!N200</f>
        <v>81.723926442242231</v>
      </c>
      <c r="E200" s="37">
        <f t="shared" si="12"/>
        <v>0</v>
      </c>
      <c r="F200" s="171">
        <f t="shared" si="14"/>
        <v>0</v>
      </c>
      <c r="G200" s="152">
        <f>'A) Base RI'!AM202</f>
        <v>55</v>
      </c>
      <c r="H200" s="160">
        <f t="shared" si="15"/>
        <v>0.81411207892550053</v>
      </c>
      <c r="I200" s="175">
        <f t="shared" si="13"/>
        <v>0</v>
      </c>
    </row>
    <row r="201" spans="1:9" x14ac:dyDescent="0.25">
      <c r="A201" s="53">
        <f>'A) Base RI'!A203</f>
        <v>5719</v>
      </c>
      <c r="B201" s="9" t="str">
        <f>'A) Base RI'!B203</f>
        <v>Gingins</v>
      </c>
      <c r="C201" s="127">
        <f>'A) Base RI'!AN203</f>
        <v>1195</v>
      </c>
      <c r="D201" s="168">
        <f>'D) Ecrêtage'!N201</f>
        <v>67.877661368939172</v>
      </c>
      <c r="E201" s="37">
        <f t="shared" si="12"/>
        <v>0</v>
      </c>
      <c r="F201" s="171">
        <f t="shared" si="14"/>
        <v>0</v>
      </c>
      <c r="G201" s="152">
        <f>'A) Base RI'!AM203</f>
        <v>57</v>
      </c>
      <c r="H201" s="160">
        <f t="shared" si="15"/>
        <v>0.84371615452279147</v>
      </c>
      <c r="I201" s="175">
        <f t="shared" si="13"/>
        <v>0</v>
      </c>
    </row>
    <row r="202" spans="1:9" x14ac:dyDescent="0.25">
      <c r="A202" s="53">
        <f>'A) Base RI'!A204</f>
        <v>5720</v>
      </c>
      <c r="B202" s="9" t="str">
        <f>'A) Base RI'!B204</f>
        <v>Givrins</v>
      </c>
      <c r="C202" s="127">
        <f>'A) Base RI'!AN204</f>
        <v>1000</v>
      </c>
      <c r="D202" s="168">
        <f>'D) Ecrêtage'!N202</f>
        <v>66.963805253491941</v>
      </c>
      <c r="E202" s="37">
        <f t="shared" si="12"/>
        <v>0</v>
      </c>
      <c r="F202" s="171">
        <f t="shared" si="14"/>
        <v>0</v>
      </c>
      <c r="G202" s="152">
        <f>'A) Base RI'!AM204</f>
        <v>61</v>
      </c>
      <c r="H202" s="160">
        <f t="shared" si="15"/>
        <v>0.90292430571737325</v>
      </c>
      <c r="I202" s="175">
        <f t="shared" si="13"/>
        <v>0</v>
      </c>
    </row>
    <row r="203" spans="1:9" x14ac:dyDescent="0.25">
      <c r="A203" s="53">
        <f>'A) Base RI'!A205</f>
        <v>5721</v>
      </c>
      <c r="B203" s="9" t="str">
        <f>'A) Base RI'!B205</f>
        <v>Gland</v>
      </c>
      <c r="C203" s="127">
        <f>'A) Base RI'!AN205</f>
        <v>12829</v>
      </c>
      <c r="D203" s="168">
        <f>'D) Ecrêtage'!N203</f>
        <v>42.181704101644712</v>
      </c>
      <c r="E203" s="37">
        <f t="shared" si="12"/>
        <v>1.9133574849934902</v>
      </c>
      <c r="F203" s="171">
        <f t="shared" si="14"/>
        <v>414221.56607781263</v>
      </c>
      <c r="G203" s="152">
        <f>'A) Base RI'!AM205</f>
        <v>62.5</v>
      </c>
      <c r="H203" s="160">
        <f t="shared" si="15"/>
        <v>0.92512736241534155</v>
      </c>
      <c r="I203" s="175">
        <f t="shared" si="13"/>
        <v>383207.7048811189</v>
      </c>
    </row>
    <row r="204" spans="1:9" x14ac:dyDescent="0.25">
      <c r="A204" s="53">
        <f>'A) Base RI'!A206</f>
        <v>5722</v>
      </c>
      <c r="B204" s="9" t="str">
        <f>'A) Base RI'!B206</f>
        <v>Grens</v>
      </c>
      <c r="C204" s="127">
        <f>'A) Base RI'!AN206</f>
        <v>377</v>
      </c>
      <c r="D204" s="168">
        <f>'D) Ecrêtage'!N204</f>
        <v>54.374913151364758</v>
      </c>
      <c r="E204" s="37">
        <f t="shared" si="12"/>
        <v>0</v>
      </c>
      <c r="F204" s="171">
        <f t="shared" si="14"/>
        <v>0</v>
      </c>
      <c r="G204" s="152">
        <f>'A) Base RI'!AM206</f>
        <v>62</v>
      </c>
      <c r="H204" s="160">
        <f t="shared" si="15"/>
        <v>0.91772634351601878</v>
      </c>
      <c r="I204" s="175">
        <f t="shared" si="13"/>
        <v>0</v>
      </c>
    </row>
    <row r="205" spans="1:9" x14ac:dyDescent="0.25">
      <c r="A205" s="53">
        <f>'A) Base RI'!A207</f>
        <v>5723</v>
      </c>
      <c r="B205" s="9" t="str">
        <f>'A) Base RI'!B207</f>
        <v>Mies</v>
      </c>
      <c r="C205" s="127">
        <f>'A) Base RI'!AN207</f>
        <v>1791</v>
      </c>
      <c r="D205" s="168">
        <f>'D) Ecrêtage'!N205</f>
        <v>168.56864723200516</v>
      </c>
      <c r="E205" s="37">
        <f t="shared" si="12"/>
        <v>0</v>
      </c>
      <c r="F205" s="171">
        <f t="shared" si="14"/>
        <v>0</v>
      </c>
      <c r="G205" s="152">
        <f>'A) Base RI'!AM207</f>
        <v>49</v>
      </c>
      <c r="H205" s="160">
        <f t="shared" si="15"/>
        <v>0.72529985213362769</v>
      </c>
      <c r="I205" s="175">
        <f t="shared" si="13"/>
        <v>0</v>
      </c>
    </row>
    <row r="206" spans="1:9" x14ac:dyDescent="0.25">
      <c r="A206" s="53">
        <f>'A) Base RI'!A208</f>
        <v>5724</v>
      </c>
      <c r="B206" s="9" t="str">
        <f>'A) Base RI'!B208</f>
        <v>Nyon</v>
      </c>
      <c r="C206" s="127">
        <f>'A) Base RI'!AN208</f>
        <v>20047</v>
      </c>
      <c r="D206" s="168">
        <f>'D) Ecrêtage'!N206</f>
        <v>65.417344404716388</v>
      </c>
      <c r="E206" s="37">
        <f t="shared" si="12"/>
        <v>0</v>
      </c>
      <c r="F206" s="171">
        <f t="shared" si="14"/>
        <v>0</v>
      </c>
      <c r="G206" s="152">
        <f>'A) Base RI'!AM208</f>
        <v>61</v>
      </c>
      <c r="H206" s="160">
        <f t="shared" si="15"/>
        <v>0.90292430571737325</v>
      </c>
      <c r="I206" s="175">
        <f t="shared" si="13"/>
        <v>0</v>
      </c>
    </row>
    <row r="207" spans="1:9" x14ac:dyDescent="0.25">
      <c r="A207" s="53">
        <f>'A) Base RI'!A209</f>
        <v>5725</v>
      </c>
      <c r="B207" s="9" t="str">
        <f>'A) Base RI'!B209</f>
        <v>Prangins</v>
      </c>
      <c r="C207" s="127">
        <f>'A) Base RI'!AN209</f>
        <v>4011</v>
      </c>
      <c r="D207" s="168">
        <f>'D) Ecrêtage'!N207</f>
        <v>70.262973158216383</v>
      </c>
      <c r="E207" s="37">
        <f t="shared" si="12"/>
        <v>0</v>
      </c>
      <c r="F207" s="171">
        <f t="shared" si="14"/>
        <v>0</v>
      </c>
      <c r="G207" s="152">
        <f>'A) Base RI'!AM209</f>
        <v>56</v>
      </c>
      <c r="H207" s="160">
        <f t="shared" si="15"/>
        <v>0.82891411672414594</v>
      </c>
      <c r="I207" s="175">
        <f t="shared" si="13"/>
        <v>0</v>
      </c>
    </row>
    <row r="208" spans="1:9" x14ac:dyDescent="0.25">
      <c r="A208" s="53">
        <f>'A) Base RI'!A210</f>
        <v>5726</v>
      </c>
      <c r="B208" s="9" t="str">
        <f>'A) Base RI'!B210</f>
        <v>La Rippe</v>
      </c>
      <c r="C208" s="127">
        <f>'A) Base RI'!AN210</f>
        <v>1120</v>
      </c>
      <c r="D208" s="168">
        <f>'D) Ecrêtage'!N208</f>
        <v>55.732897939560445</v>
      </c>
      <c r="E208" s="37">
        <f t="shared" ref="E208:E271" si="16">IF($D$323-D208&lt;0,0,$D$323-D208)</f>
        <v>0</v>
      </c>
      <c r="F208" s="171">
        <f t="shared" si="14"/>
        <v>0</v>
      </c>
      <c r="G208" s="152">
        <f>'A) Base RI'!AM210</f>
        <v>65</v>
      </c>
      <c r="H208" s="160">
        <f t="shared" si="15"/>
        <v>0.96213245691195515</v>
      </c>
      <c r="I208" s="175">
        <f t="shared" si="13"/>
        <v>0</v>
      </c>
    </row>
    <row r="209" spans="1:9" x14ac:dyDescent="0.25">
      <c r="A209" s="53">
        <f>'A) Base RI'!A211</f>
        <v>5727</v>
      </c>
      <c r="B209" s="9" t="str">
        <f>'A) Base RI'!B211</f>
        <v>Saint-Cergue</v>
      </c>
      <c r="C209" s="127">
        <f>'A) Base RI'!AN211</f>
        <v>2481</v>
      </c>
      <c r="D209" s="168">
        <f>'D) Ecrêtage'!N209</f>
        <v>37.938742361136562</v>
      </c>
      <c r="E209" s="37">
        <f t="shared" si="16"/>
        <v>6.1563192255016403</v>
      </c>
      <c r="F209" s="171">
        <f t="shared" si="14"/>
        <v>272179.61493272777</v>
      </c>
      <c r="G209" s="152">
        <f>'A) Base RI'!AM211</f>
        <v>66</v>
      </c>
      <c r="H209" s="160">
        <f t="shared" si="15"/>
        <v>0.97693449471060068</v>
      </c>
      <c r="I209" s="175">
        <f t="shared" si="13"/>
        <v>265901.65458483028</v>
      </c>
    </row>
    <row r="210" spans="1:9" x14ac:dyDescent="0.25">
      <c r="A210" s="53">
        <f>'A) Base RI'!A212</f>
        <v>5728</v>
      </c>
      <c r="B210" s="9" t="str">
        <f>'A) Base RI'!B212</f>
        <v>Signy-Avenex</v>
      </c>
      <c r="C210" s="127">
        <f>'A) Base RI'!AN212</f>
        <v>516</v>
      </c>
      <c r="D210" s="168">
        <f>'D) Ecrêtage'!N210</f>
        <v>61.801296389277013</v>
      </c>
      <c r="E210" s="37">
        <f t="shared" si="16"/>
        <v>0</v>
      </c>
      <c r="F210" s="171">
        <f t="shared" si="14"/>
        <v>0</v>
      </c>
      <c r="G210" s="152">
        <f>'A) Base RI'!AM212</f>
        <v>56</v>
      </c>
      <c r="H210" s="160">
        <f t="shared" si="15"/>
        <v>0.82891411672414594</v>
      </c>
      <c r="I210" s="175">
        <f t="shared" si="13"/>
        <v>0</v>
      </c>
    </row>
    <row r="211" spans="1:9" x14ac:dyDescent="0.25">
      <c r="A211" s="53">
        <f>'A) Base RI'!A213</f>
        <v>5729</v>
      </c>
      <c r="B211" s="9" t="str">
        <f>'A) Base RI'!B213</f>
        <v>Tannay</v>
      </c>
      <c r="C211" s="127">
        <f>'A) Base RI'!AN213</f>
        <v>1430</v>
      </c>
      <c r="D211" s="168">
        <f>'D) Ecrêtage'!N211</f>
        <v>80.131201277667884</v>
      </c>
      <c r="E211" s="37">
        <f t="shared" si="16"/>
        <v>0</v>
      </c>
      <c r="F211" s="171">
        <f t="shared" si="14"/>
        <v>0</v>
      </c>
      <c r="G211" s="152">
        <f>'A) Base RI'!AM213</f>
        <v>61</v>
      </c>
      <c r="H211" s="160">
        <f t="shared" si="15"/>
        <v>0.90292430571737325</v>
      </c>
      <c r="I211" s="175">
        <f t="shared" si="13"/>
        <v>0</v>
      </c>
    </row>
    <row r="212" spans="1:9" x14ac:dyDescent="0.25">
      <c r="A212" s="53">
        <f>'A) Base RI'!A214</f>
        <v>5730</v>
      </c>
      <c r="B212" s="9" t="str">
        <f>'A) Base RI'!B214</f>
        <v>Trélex</v>
      </c>
      <c r="C212" s="127">
        <f>'A) Base RI'!AN214</f>
        <v>1414</v>
      </c>
      <c r="D212" s="168">
        <f>'D) Ecrêtage'!N212</f>
        <v>75.003753232441497</v>
      </c>
      <c r="E212" s="37">
        <f t="shared" si="16"/>
        <v>0</v>
      </c>
      <c r="F212" s="171">
        <f t="shared" si="14"/>
        <v>0</v>
      </c>
      <c r="G212" s="152">
        <f>'A) Base RI'!AM214</f>
        <v>57</v>
      </c>
      <c r="H212" s="160">
        <f t="shared" si="15"/>
        <v>0.84371615452279147</v>
      </c>
      <c r="I212" s="175">
        <f t="shared" si="13"/>
        <v>0</v>
      </c>
    </row>
    <row r="213" spans="1:9" x14ac:dyDescent="0.25">
      <c r="A213" s="53">
        <f>'A) Base RI'!A215</f>
        <v>5731</v>
      </c>
      <c r="B213" s="9" t="str">
        <f>'A) Base RI'!B215</f>
        <v>Le Vaud</v>
      </c>
      <c r="C213" s="127">
        <f>'A) Base RI'!AN215</f>
        <v>1260</v>
      </c>
      <c r="D213" s="168">
        <f>'D) Ecrêtage'!N213</f>
        <v>37.513471534391527</v>
      </c>
      <c r="E213" s="37">
        <f t="shared" si="16"/>
        <v>6.5815900522466748</v>
      </c>
      <c r="F213" s="171">
        <f t="shared" si="14"/>
        <v>167929.27018307391</v>
      </c>
      <c r="G213" s="152">
        <f>'A) Base RI'!AM215</f>
        <v>75</v>
      </c>
      <c r="H213" s="160">
        <f t="shared" si="15"/>
        <v>1.1101528348984098</v>
      </c>
      <c r="I213" s="175">
        <f t="shared" si="13"/>
        <v>186427.15535616051</v>
      </c>
    </row>
    <row r="214" spans="1:9" x14ac:dyDescent="0.25">
      <c r="A214" s="53">
        <f>'A) Base RI'!A216</f>
        <v>5732</v>
      </c>
      <c r="B214" s="9" t="str">
        <f>'A) Base RI'!B216</f>
        <v>Vich</v>
      </c>
      <c r="C214" s="127">
        <f>'A) Base RI'!AN216</f>
        <v>958</v>
      </c>
      <c r="D214" s="168">
        <f>'D) Ecrêtage'!N214</f>
        <v>70.235962985115009</v>
      </c>
      <c r="E214" s="37">
        <f t="shared" si="16"/>
        <v>0</v>
      </c>
      <c r="F214" s="171">
        <f t="shared" si="14"/>
        <v>0</v>
      </c>
      <c r="G214" s="152">
        <f>'A) Base RI'!AM216</f>
        <v>68</v>
      </c>
      <c r="H214" s="160">
        <f t="shared" si="15"/>
        <v>1.0065385703078915</v>
      </c>
      <c r="I214" s="175">
        <f t="shared" si="13"/>
        <v>0</v>
      </c>
    </row>
    <row r="215" spans="1:9" x14ac:dyDescent="0.25">
      <c r="A215" s="53">
        <f>'A) Base RI'!A217</f>
        <v>5741</v>
      </c>
      <c r="B215" s="9" t="str">
        <f>'A) Base RI'!B217</f>
        <v>L'Abergement</v>
      </c>
      <c r="C215" s="127">
        <f>'A) Base RI'!AN217</f>
        <v>240</v>
      </c>
      <c r="D215" s="168">
        <f>'D) Ecrêtage'!N215</f>
        <v>26.976606567215363</v>
      </c>
      <c r="E215" s="37">
        <f t="shared" si="16"/>
        <v>17.118455019422839</v>
      </c>
      <c r="F215" s="171">
        <f t="shared" si="14"/>
        <v>89851.346705946591</v>
      </c>
      <c r="G215" s="152">
        <f>'A) Base RI'!AM217</f>
        <v>81</v>
      </c>
      <c r="H215" s="160">
        <f t="shared" si="15"/>
        <v>1.1989650616902825</v>
      </c>
      <c r="I215" s="175">
        <f t="shared" si="13"/>
        <v>107728.62544625021</v>
      </c>
    </row>
    <row r="216" spans="1:9" x14ac:dyDescent="0.25">
      <c r="A216" s="53">
        <f>'A) Base RI'!A218</f>
        <v>5742</v>
      </c>
      <c r="B216" s="9" t="str">
        <f>'A) Base RI'!B218</f>
        <v>Agiez</v>
      </c>
      <c r="C216" s="127">
        <f>'A) Base RI'!AN218</f>
        <v>293</v>
      </c>
      <c r="D216" s="168">
        <f>'D) Ecrêtage'!N216</f>
        <v>28.689495239805996</v>
      </c>
      <c r="E216" s="37">
        <f t="shared" si="16"/>
        <v>15.405566346832206</v>
      </c>
      <c r="F216" s="171">
        <f t="shared" si="14"/>
        <v>92623.810881040088</v>
      </c>
      <c r="G216" s="152">
        <f>'A) Base RI'!AM218</f>
        <v>76</v>
      </c>
      <c r="H216" s="160">
        <f t="shared" si="15"/>
        <v>1.1249548726970553</v>
      </c>
      <c r="I216" s="175">
        <f t="shared" si="13"/>
        <v>104197.60737839658</v>
      </c>
    </row>
    <row r="217" spans="1:9" x14ac:dyDescent="0.25">
      <c r="A217" s="53">
        <f>'A) Base RI'!A219</f>
        <v>5743</v>
      </c>
      <c r="B217" s="9" t="str">
        <f>'A) Base RI'!B219</f>
        <v>Arnex-sur-Orbe</v>
      </c>
      <c r="C217" s="127">
        <f>'A) Base RI'!AN219</f>
        <v>632</v>
      </c>
      <c r="D217" s="168">
        <f>'D) Ecrêtage'!N217</f>
        <v>25.565365332928739</v>
      </c>
      <c r="E217" s="37">
        <f t="shared" si="16"/>
        <v>18.529696253709464</v>
      </c>
      <c r="F217" s="171">
        <f t="shared" si="14"/>
        <v>230819.23791750774</v>
      </c>
      <c r="G217" s="152">
        <f>'A) Base RI'!AM219</f>
        <v>73</v>
      </c>
      <c r="H217" s="160">
        <f t="shared" si="15"/>
        <v>1.0805487593011189</v>
      </c>
      <c r="I217" s="175">
        <f t="shared" si="13"/>
        <v>249411.44115459276</v>
      </c>
    </row>
    <row r="218" spans="1:9" x14ac:dyDescent="0.25">
      <c r="A218" s="53">
        <f>'A) Base RI'!A220</f>
        <v>5744</v>
      </c>
      <c r="B218" s="9" t="str">
        <f>'A) Base RI'!B220</f>
        <v>Ballaigues</v>
      </c>
      <c r="C218" s="127">
        <f>'A) Base RI'!AN220</f>
        <v>1101</v>
      </c>
      <c r="D218" s="168">
        <f>'D) Ecrêtage'!N218</f>
        <v>59.647940259959</v>
      </c>
      <c r="E218" s="37">
        <f t="shared" si="16"/>
        <v>0</v>
      </c>
      <c r="F218" s="171">
        <f t="shared" si="14"/>
        <v>0</v>
      </c>
      <c r="G218" s="152">
        <f>'A) Base RI'!AM220</f>
        <v>66</v>
      </c>
      <c r="H218" s="160">
        <f t="shared" si="15"/>
        <v>0.97693449471060068</v>
      </c>
      <c r="I218" s="175">
        <f t="shared" si="13"/>
        <v>0</v>
      </c>
    </row>
    <row r="219" spans="1:9" x14ac:dyDescent="0.25">
      <c r="A219" s="53">
        <f>'A) Base RI'!A221</f>
        <v>5745</v>
      </c>
      <c r="B219" s="9" t="str">
        <f>'A) Base RI'!B221</f>
        <v>Baulmes</v>
      </c>
      <c r="C219" s="127">
        <f>'A) Base RI'!AN221</f>
        <v>1055</v>
      </c>
      <c r="D219" s="168">
        <f>'D) Ecrêtage'!N219</f>
        <v>25.315871308786001</v>
      </c>
      <c r="E219" s="37">
        <f t="shared" si="16"/>
        <v>18.779190277852202</v>
      </c>
      <c r="F219" s="171">
        <f t="shared" si="14"/>
        <v>417241.68335040362</v>
      </c>
      <c r="G219" s="152">
        <f>'A) Base RI'!AM221</f>
        <v>78</v>
      </c>
      <c r="H219" s="160">
        <f t="shared" si="15"/>
        <v>1.1545589482943461</v>
      </c>
      <c r="I219" s="175">
        <f t="shared" si="13"/>
        <v>481730.1191136046</v>
      </c>
    </row>
    <row r="220" spans="1:9" x14ac:dyDescent="0.25">
      <c r="A220" s="53">
        <f>'A) Base RI'!A222</f>
        <v>5746</v>
      </c>
      <c r="B220" s="9" t="str">
        <f>'A) Base RI'!B222</f>
        <v>Bavois</v>
      </c>
      <c r="C220" s="127">
        <f>'A) Base RI'!AN222</f>
        <v>939</v>
      </c>
      <c r="D220" s="168">
        <f>'D) Ecrêtage'!N220</f>
        <v>28.302167223462245</v>
      </c>
      <c r="E220" s="37">
        <f t="shared" si="16"/>
        <v>15.792894363175957</v>
      </c>
      <c r="F220" s="171">
        <f t="shared" si="14"/>
        <v>292289.99307640805</v>
      </c>
      <c r="G220" s="152">
        <f>'A) Base RI'!AM222</f>
        <v>73</v>
      </c>
      <c r="H220" s="160">
        <f t="shared" si="15"/>
        <v>1.0805487593011189</v>
      </c>
      <c r="I220" s="175">
        <f t="shared" si="13"/>
        <v>315833.58937484538</v>
      </c>
    </row>
    <row r="221" spans="1:9" x14ac:dyDescent="0.25">
      <c r="A221" s="53">
        <f>'A) Base RI'!A223</f>
        <v>5747</v>
      </c>
      <c r="B221" s="9" t="str">
        <f>'A) Base RI'!B223</f>
        <v>Bofflens</v>
      </c>
      <c r="C221" s="127">
        <f>'A) Base RI'!AN223</f>
        <v>188</v>
      </c>
      <c r="D221" s="168">
        <f>'D) Ecrêtage'!N221</f>
        <v>28.233112087573236</v>
      </c>
      <c r="E221" s="37">
        <f t="shared" si="16"/>
        <v>15.861949499064966</v>
      </c>
      <c r="F221" s="171">
        <f t="shared" si="14"/>
        <v>55555.5264035051</v>
      </c>
      <c r="G221" s="152">
        <f>'A) Base RI'!AM223</f>
        <v>69</v>
      </c>
      <c r="H221" s="160">
        <f t="shared" si="15"/>
        <v>1.021340608106537</v>
      </c>
      <c r="I221" s="175">
        <f t="shared" si="13"/>
        <v>56741.115120634677</v>
      </c>
    </row>
    <row r="222" spans="1:9" x14ac:dyDescent="0.25">
      <c r="A222" s="53">
        <f>'A) Base RI'!A224</f>
        <v>5748</v>
      </c>
      <c r="B222" s="9" t="str">
        <f>'A) Base RI'!B224</f>
        <v>Bretonnières</v>
      </c>
      <c r="C222" s="127">
        <f>'A) Base RI'!AN224</f>
        <v>258</v>
      </c>
      <c r="D222" s="168">
        <f>'D) Ecrêtage'!N222</f>
        <v>28.143377476313518</v>
      </c>
      <c r="E222" s="37">
        <f t="shared" si="16"/>
        <v>15.951684110324685</v>
      </c>
      <c r="F222" s="171">
        <f t="shared" si="14"/>
        <v>80005.990689015671</v>
      </c>
      <c r="G222" s="152">
        <f>'A) Base RI'!AM224</f>
        <v>72</v>
      </c>
      <c r="H222" s="160">
        <f t="shared" si="15"/>
        <v>1.0657467215024734</v>
      </c>
      <c r="I222" s="175">
        <f t="shared" si="13"/>
        <v>85266.122277375864</v>
      </c>
    </row>
    <row r="223" spans="1:9" x14ac:dyDescent="0.25">
      <c r="A223" s="53">
        <f>'A) Base RI'!A225</f>
        <v>5749</v>
      </c>
      <c r="B223" s="9" t="str">
        <f>'A) Base RI'!B225</f>
        <v>Chavornay</v>
      </c>
      <c r="C223" s="127">
        <f>'A) Base RI'!AN225</f>
        <v>4293</v>
      </c>
      <c r="D223" s="168">
        <f>'D) Ecrêtage'!N223</f>
        <v>27.926854795921013</v>
      </c>
      <c r="E223" s="37">
        <f t="shared" si="16"/>
        <v>16.168206790717189</v>
      </c>
      <c r="F223" s="171">
        <f t="shared" si="14"/>
        <v>1349332.5724695507</v>
      </c>
      <c r="G223" s="152">
        <f>'A) Base RI'!AM225</f>
        <v>72</v>
      </c>
      <c r="H223" s="160">
        <f t="shared" si="15"/>
        <v>1.0657467215024734</v>
      </c>
      <c r="I223" s="175">
        <f t="shared" si="13"/>
        <v>1438046.7653259223</v>
      </c>
    </row>
    <row r="224" spans="1:9" x14ac:dyDescent="0.25">
      <c r="A224" s="53">
        <f>'A) Base RI'!A226</f>
        <v>5750</v>
      </c>
      <c r="B224" s="9" t="str">
        <f>'A) Base RI'!B226</f>
        <v>Les Clées</v>
      </c>
      <c r="C224" s="127">
        <f>'A) Base RI'!AN226</f>
        <v>176</v>
      </c>
      <c r="D224" s="168">
        <f>'D) Ecrêtage'!N224</f>
        <v>27.216322679924243</v>
      </c>
      <c r="E224" s="37">
        <f t="shared" si="16"/>
        <v>16.878738906713959</v>
      </c>
      <c r="F224" s="171">
        <f t="shared" si="14"/>
        <v>64166.213827763793</v>
      </c>
      <c r="G224" s="152">
        <f>'A) Base RI'!AM226</f>
        <v>80</v>
      </c>
      <c r="H224" s="160">
        <f t="shared" si="15"/>
        <v>1.1841630238916372</v>
      </c>
      <c r="I224" s="175">
        <f t="shared" si="13"/>
        <v>75983.257797962156</v>
      </c>
    </row>
    <row r="225" spans="1:9" x14ac:dyDescent="0.25">
      <c r="A225" s="53">
        <f>'A) Base RI'!A227</f>
        <v>5751</v>
      </c>
      <c r="B225" s="9" t="str">
        <f>'A) Base RI'!B227</f>
        <v>Corcelles-sur-Chavornay</v>
      </c>
      <c r="C225" s="127">
        <f>'A) Base RI'!AN227</f>
        <v>354</v>
      </c>
      <c r="D225" s="168">
        <f>'D) Ecrêtage'!N225</f>
        <v>24.781493829913764</v>
      </c>
      <c r="E225" s="37">
        <f t="shared" si="16"/>
        <v>19.313567756724439</v>
      </c>
      <c r="F225" s="171">
        <f t="shared" si="14"/>
        <v>140295.30127026688</v>
      </c>
      <c r="G225" s="152">
        <f>'A) Base RI'!AM227</f>
        <v>76</v>
      </c>
      <c r="H225" s="160">
        <f t="shared" si="15"/>
        <v>1.1249548726970553</v>
      </c>
      <c r="I225" s="175">
        <f t="shared" si="13"/>
        <v>157825.88278048809</v>
      </c>
    </row>
    <row r="226" spans="1:9" x14ac:dyDescent="0.25">
      <c r="A226" s="53">
        <f>'A) Base RI'!A228</f>
        <v>5752</v>
      </c>
      <c r="B226" s="9" t="str">
        <f>'A) Base RI'!B228</f>
        <v>Croy</v>
      </c>
      <c r="C226" s="127">
        <f>'A) Base RI'!AN228</f>
        <v>344</v>
      </c>
      <c r="D226" s="168">
        <f>'D) Ecrêtage'!N226</f>
        <v>26.783448022357899</v>
      </c>
      <c r="E226" s="37">
        <f t="shared" si="16"/>
        <v>17.311613564280304</v>
      </c>
      <c r="F226" s="171">
        <f t="shared" si="14"/>
        <v>118984.79742092626</v>
      </c>
      <c r="G226" s="152">
        <f>'A) Base RI'!AM228</f>
        <v>74</v>
      </c>
      <c r="H226" s="160">
        <f t="shared" si="15"/>
        <v>1.0953507970997642</v>
      </c>
      <c r="I226" s="175">
        <f t="shared" si="13"/>
        <v>130330.09269776555</v>
      </c>
    </row>
    <row r="227" spans="1:9" x14ac:dyDescent="0.25">
      <c r="A227" s="53">
        <f>'A) Base RI'!A229</f>
        <v>5754</v>
      </c>
      <c r="B227" s="9" t="str">
        <f>'A) Base RI'!B229</f>
        <v>Juriens</v>
      </c>
      <c r="C227" s="127">
        <f>'A) Base RI'!AN229</f>
        <v>302</v>
      </c>
      <c r="D227" s="168">
        <f>'D) Ecrêtage'!N227</f>
        <v>23.849554027998998</v>
      </c>
      <c r="E227" s="37">
        <f t="shared" si="16"/>
        <v>20.245507558639204</v>
      </c>
      <c r="F227" s="171">
        <f t="shared" si="14"/>
        <v>130414.67622018381</v>
      </c>
      <c r="G227" s="152">
        <f>'A) Base RI'!AM229</f>
        <v>79</v>
      </c>
      <c r="H227" s="160">
        <f t="shared" si="15"/>
        <v>1.1693609860929917</v>
      </c>
      <c r="I227" s="175">
        <f t="shared" ref="I227:I273" si="17">F227*H227</f>
        <v>152501.83438583236</v>
      </c>
    </row>
    <row r="228" spans="1:9" x14ac:dyDescent="0.25">
      <c r="A228" s="53">
        <f>'A) Base RI'!A230</f>
        <v>5755</v>
      </c>
      <c r="B228" s="9" t="str">
        <f>'A) Base RI'!B230</f>
        <v>Lignerolle</v>
      </c>
      <c r="C228" s="127">
        <f>'A) Base RI'!AN230</f>
        <v>405</v>
      </c>
      <c r="D228" s="168">
        <f>'D) Ecrêtage'!N228</f>
        <v>22.509130643738974</v>
      </c>
      <c r="E228" s="37">
        <f t="shared" si="16"/>
        <v>21.585930942899228</v>
      </c>
      <c r="F228" s="171">
        <f t="shared" si="14"/>
        <v>188833.72388848246</v>
      </c>
      <c r="G228" s="152">
        <f>'A) Base RI'!AM230</f>
        <v>80</v>
      </c>
      <c r="H228" s="160">
        <f t="shared" si="15"/>
        <v>1.1841630238916372</v>
      </c>
      <c r="I228" s="175">
        <f t="shared" si="17"/>
        <v>223609.91349250387</v>
      </c>
    </row>
    <row r="229" spans="1:9" x14ac:dyDescent="0.25">
      <c r="A229" s="53">
        <f>'A) Base RI'!A231</f>
        <v>5756</v>
      </c>
      <c r="B229" s="9" t="str">
        <f>'A) Base RI'!B231</f>
        <v>Montcherand</v>
      </c>
      <c r="C229" s="127">
        <f>'A) Base RI'!AN231</f>
        <v>469</v>
      </c>
      <c r="D229" s="168">
        <f>'D) Ecrêtage'!N229</f>
        <v>31.2237526652452</v>
      </c>
      <c r="E229" s="37">
        <f t="shared" si="16"/>
        <v>12.871308921393002</v>
      </c>
      <c r="F229" s="171">
        <f t="shared" si="14"/>
        <v>117352.3571075517</v>
      </c>
      <c r="G229" s="152">
        <f>'A) Base RI'!AM231</f>
        <v>72</v>
      </c>
      <c r="H229" s="160">
        <f t="shared" si="15"/>
        <v>1.0657467215024734</v>
      </c>
      <c r="I229" s="175">
        <f t="shared" si="17"/>
        <v>125067.8898479607</v>
      </c>
    </row>
    <row r="230" spans="1:9" x14ac:dyDescent="0.25">
      <c r="A230" s="53">
        <f>'A) Base RI'!A232</f>
        <v>5757</v>
      </c>
      <c r="B230" s="9" t="str">
        <f>'A) Base RI'!B232</f>
        <v>Orbe</v>
      </c>
      <c r="C230" s="127">
        <f>'A) Base RI'!AN232</f>
        <v>6805</v>
      </c>
      <c r="D230" s="168">
        <f>'D) Ecrêtage'!N230</f>
        <v>32.249686021804322</v>
      </c>
      <c r="E230" s="37">
        <f t="shared" si="16"/>
        <v>11.84537556483388</v>
      </c>
      <c r="F230" s="171">
        <f t="shared" si="14"/>
        <v>1610543.4587595174</v>
      </c>
      <c r="G230" s="152">
        <f>'A) Base RI'!AM232</f>
        <v>74</v>
      </c>
      <c r="H230" s="160">
        <f t="shared" si="15"/>
        <v>1.0953507970997642</v>
      </c>
      <c r="I230" s="175">
        <f t="shared" si="17"/>
        <v>1764110.0613160487</v>
      </c>
    </row>
    <row r="231" spans="1:9" x14ac:dyDescent="0.25">
      <c r="A231" s="53">
        <f>'A) Base RI'!A233</f>
        <v>5758</v>
      </c>
      <c r="B231" s="9" t="str">
        <f>'A) Base RI'!B233</f>
        <v>La Praz</v>
      </c>
      <c r="C231" s="127">
        <f>'A) Base RI'!AN233</f>
        <v>159</v>
      </c>
      <c r="D231" s="168">
        <f>'D) Ecrêtage'!N231</f>
        <v>23.853344362776049</v>
      </c>
      <c r="E231" s="37">
        <f t="shared" si="16"/>
        <v>20.241717223862153</v>
      </c>
      <c r="F231" s="171">
        <f t="shared" si="14"/>
        <v>72125.084394893391</v>
      </c>
      <c r="G231" s="152">
        <f>'A) Base RI'!AM233</f>
        <v>83</v>
      </c>
      <c r="H231" s="160">
        <f t="shared" si="15"/>
        <v>1.2285691372875736</v>
      </c>
      <c r="I231" s="175">
        <f t="shared" si="17"/>
        <v>88610.652711827614</v>
      </c>
    </row>
    <row r="232" spans="1:9" x14ac:dyDescent="0.25">
      <c r="A232" s="53">
        <f>'A) Base RI'!A234</f>
        <v>5759</v>
      </c>
      <c r="B232" s="9" t="str">
        <f>'A) Base RI'!B234</f>
        <v>Premier</v>
      </c>
      <c r="C232" s="127">
        <f>'A) Base RI'!AN234</f>
        <v>196</v>
      </c>
      <c r="D232" s="168">
        <f>'D) Ecrêtage'!N232</f>
        <v>23.926145754598135</v>
      </c>
      <c r="E232" s="37">
        <f t="shared" si="16"/>
        <v>20.168915832040067</v>
      </c>
      <c r="F232" s="171">
        <f t="shared" si="14"/>
        <v>86454.461092356389</v>
      </c>
      <c r="G232" s="152">
        <f>'A) Base RI'!AM234</f>
        <v>81</v>
      </c>
      <c r="H232" s="160">
        <f t="shared" si="15"/>
        <v>1.1989650616902825</v>
      </c>
      <c r="I232" s="175">
        <f t="shared" si="17"/>
        <v>103655.8782769972</v>
      </c>
    </row>
    <row r="233" spans="1:9" x14ac:dyDescent="0.25">
      <c r="A233" s="53">
        <f>'A) Base RI'!A235</f>
        <v>5760</v>
      </c>
      <c r="B233" s="9" t="str">
        <f>'A) Base RI'!B235</f>
        <v>Rances</v>
      </c>
      <c r="C233" s="127">
        <f>'A) Base RI'!AN235</f>
        <v>473</v>
      </c>
      <c r="D233" s="168">
        <f>'D) Ecrêtage'!N233</f>
        <v>27.965347933720025</v>
      </c>
      <c r="E233" s="37">
        <f t="shared" si="16"/>
        <v>16.129713652918177</v>
      </c>
      <c r="F233" s="171">
        <f t="shared" si="14"/>
        <v>160674.20698790607</v>
      </c>
      <c r="G233" s="152">
        <f>'A) Base RI'!AM235</f>
        <v>78</v>
      </c>
      <c r="H233" s="160">
        <f t="shared" si="15"/>
        <v>1.1545589482943461</v>
      </c>
      <c r="I233" s="175">
        <f t="shared" si="17"/>
        <v>185507.84343798491</v>
      </c>
    </row>
    <row r="234" spans="1:9" x14ac:dyDescent="0.25">
      <c r="A234" s="53">
        <f>'A) Base RI'!A236</f>
        <v>5761</v>
      </c>
      <c r="B234" s="9" t="str">
        <f>'A) Base RI'!B236</f>
        <v>Romainmôtier-Envy</v>
      </c>
      <c r="C234" s="127">
        <f>'A) Base RI'!AN236</f>
        <v>546</v>
      </c>
      <c r="D234" s="168">
        <f>'D) Ecrêtage'!N234</f>
        <v>22.281896688837474</v>
      </c>
      <c r="E234" s="37">
        <f t="shared" si="16"/>
        <v>21.813164897800728</v>
      </c>
      <c r="F234" s="171">
        <f t="shared" si="14"/>
        <v>244392.95446176754</v>
      </c>
      <c r="G234" s="152">
        <f>'A) Base RI'!AM236</f>
        <v>76</v>
      </c>
      <c r="H234" s="160">
        <f t="shared" si="15"/>
        <v>1.1249548726970553</v>
      </c>
      <c r="I234" s="175">
        <f t="shared" si="17"/>
        <v>274931.04497459496</v>
      </c>
    </row>
    <row r="235" spans="1:9" x14ac:dyDescent="0.25">
      <c r="A235" s="53">
        <f>'A) Base RI'!A237</f>
        <v>5762</v>
      </c>
      <c r="B235" s="9" t="str">
        <f>'A) Base RI'!B237</f>
        <v>Sergey</v>
      </c>
      <c r="C235" s="127">
        <f>'A) Base RI'!AN237</f>
        <v>140</v>
      </c>
      <c r="D235" s="168">
        <f>'D) Ecrêtage'!N235</f>
        <v>25.618204212454213</v>
      </c>
      <c r="E235" s="37">
        <f t="shared" si="16"/>
        <v>18.476857374183989</v>
      </c>
      <c r="F235" s="171">
        <f t="shared" si="14"/>
        <v>54477.166282044076</v>
      </c>
      <c r="G235" s="152">
        <f>'A) Base RI'!AM237</f>
        <v>78</v>
      </c>
      <c r="H235" s="160">
        <f t="shared" si="15"/>
        <v>1.1545589482943461</v>
      </c>
      <c r="I235" s="175">
        <f t="shared" si="17"/>
        <v>62897.099808653024</v>
      </c>
    </row>
    <row r="236" spans="1:9" x14ac:dyDescent="0.25">
      <c r="A236" s="53">
        <f>'A) Base RI'!A238</f>
        <v>5763</v>
      </c>
      <c r="B236" s="9" t="str">
        <f>'A) Base RI'!B238</f>
        <v>Valeyres-sous-Rances</v>
      </c>
      <c r="C236" s="127">
        <f>'A) Base RI'!AN238</f>
        <v>623</v>
      </c>
      <c r="D236" s="168">
        <f>'D) Ecrêtage'!N236</f>
        <v>25.819985183355968</v>
      </c>
      <c r="E236" s="37">
        <f t="shared" si="16"/>
        <v>18.275076403282235</v>
      </c>
      <c r="F236" s="171">
        <f t="shared" si="14"/>
        <v>199813.28911674683</v>
      </c>
      <c r="G236" s="152">
        <f>'A) Base RI'!AM238</f>
        <v>65</v>
      </c>
      <c r="H236" s="160">
        <f t="shared" si="15"/>
        <v>0.96213245691195515</v>
      </c>
      <c r="I236" s="175">
        <f t="shared" si="17"/>
        <v>192246.85078155447</v>
      </c>
    </row>
    <row r="237" spans="1:9" x14ac:dyDescent="0.25">
      <c r="A237" s="53">
        <f>'A) Base RI'!A239</f>
        <v>5764</v>
      </c>
      <c r="B237" s="9" t="str">
        <f>'A) Base RI'!B239</f>
        <v>Vallorbe</v>
      </c>
      <c r="C237" s="127">
        <f>'A) Base RI'!AN239</f>
        <v>3747</v>
      </c>
      <c r="D237" s="168">
        <f>'D) Ecrêtage'!N237</f>
        <v>22.555006239225612</v>
      </c>
      <c r="E237" s="37">
        <f t="shared" si="16"/>
        <v>21.54005534741259</v>
      </c>
      <c r="F237" s="171">
        <f t="shared" si="14"/>
        <v>1612597.5359873646</v>
      </c>
      <c r="G237" s="152">
        <f>'A) Base RI'!AM239</f>
        <v>74</v>
      </c>
      <c r="H237" s="160">
        <f t="shared" si="15"/>
        <v>1.0953507970997642</v>
      </c>
      <c r="I237" s="175">
        <f t="shared" si="17"/>
        <v>1766359.9964448756</v>
      </c>
    </row>
    <row r="238" spans="1:9" x14ac:dyDescent="0.25">
      <c r="A238" s="53">
        <f>'A) Base RI'!A240</f>
        <v>5765</v>
      </c>
      <c r="B238" s="9" t="str">
        <f>'A) Base RI'!B240</f>
        <v>Vaulion</v>
      </c>
      <c r="C238" s="127">
        <f>'A) Base RI'!AN240</f>
        <v>494</v>
      </c>
      <c r="D238" s="168">
        <f>'D) Ecrêtage'!N238</f>
        <v>20.645803968610984</v>
      </c>
      <c r="E238" s="37">
        <f t="shared" si="16"/>
        <v>23.449257618027218</v>
      </c>
      <c r="F238" s="171">
        <f t="shared" si="14"/>
        <v>253340.62046849012</v>
      </c>
      <c r="G238" s="152">
        <f>'A) Base RI'!AM240</f>
        <v>81</v>
      </c>
      <c r="H238" s="160">
        <f t="shared" si="15"/>
        <v>1.1989650616902825</v>
      </c>
      <c r="I238" s="175">
        <f t="shared" si="17"/>
        <v>303746.5526486577</v>
      </c>
    </row>
    <row r="239" spans="1:9" x14ac:dyDescent="0.25">
      <c r="A239" s="53">
        <f>'A) Base RI'!A241</f>
        <v>5766</v>
      </c>
      <c r="B239" s="9" t="str">
        <f>'A) Base RI'!B241</f>
        <v>Vuiteboeuf</v>
      </c>
      <c r="C239" s="127">
        <f>'A) Base RI'!AN241</f>
        <v>556</v>
      </c>
      <c r="D239" s="168">
        <f>'D) Ecrêtage'!N239</f>
        <v>23.424389523631557</v>
      </c>
      <c r="E239" s="37">
        <f t="shared" si="16"/>
        <v>20.670672063006645</v>
      </c>
      <c r="F239" s="171">
        <f t="shared" si="14"/>
        <v>238937.25933758894</v>
      </c>
      <c r="G239" s="152">
        <f>'A) Base RI'!AM241</f>
        <v>77</v>
      </c>
      <c r="H239" s="160">
        <f t="shared" si="15"/>
        <v>1.1397569104957008</v>
      </c>
      <c r="I239" s="175">
        <f t="shared" si="17"/>
        <v>272330.39250492043</v>
      </c>
    </row>
    <row r="240" spans="1:9" x14ac:dyDescent="0.25">
      <c r="A240" s="53">
        <f>'A) Base RI'!A242</f>
        <v>5782</v>
      </c>
      <c r="B240" s="9" t="str">
        <f>'A) Base RI'!B242</f>
        <v>Carrouge</v>
      </c>
      <c r="C240" s="127">
        <f>'A) Base RI'!AN242</f>
        <v>1247</v>
      </c>
      <c r="D240" s="168">
        <f>'D) Ecrêtage'!N240</f>
        <v>26.131225678470429</v>
      </c>
      <c r="E240" s="37">
        <f t="shared" si="16"/>
        <v>17.963835908167773</v>
      </c>
      <c r="F240" s="171">
        <f t="shared" si="14"/>
        <v>459666.53730599664</v>
      </c>
      <c r="G240" s="152">
        <f>'A) Base RI'!AM242</f>
        <v>76</v>
      </c>
      <c r="H240" s="160">
        <f t="shared" si="15"/>
        <v>1.1249548726970553</v>
      </c>
      <c r="I240" s="175">
        <f t="shared" si="17"/>
        <v>517104.11095816368</v>
      </c>
    </row>
    <row r="241" spans="1:9" x14ac:dyDescent="0.25">
      <c r="A241" s="53">
        <f>'A) Base RI'!A243</f>
        <v>5785</v>
      </c>
      <c r="B241" s="9" t="str">
        <f>'A) Base RI'!B243</f>
        <v>Corcelles-le-Jorat</v>
      </c>
      <c r="C241" s="127">
        <f>'A) Base RI'!AN243</f>
        <v>425</v>
      </c>
      <c r="D241" s="168">
        <f>'D) Ecrêtage'!N241</f>
        <v>28.882890145148966</v>
      </c>
      <c r="E241" s="37">
        <f t="shared" si="16"/>
        <v>15.212171441489236</v>
      </c>
      <c r="F241" s="171">
        <f t="shared" si="14"/>
        <v>134410.94381413853</v>
      </c>
      <c r="G241" s="152">
        <f>'A) Base RI'!AM243</f>
        <v>77</v>
      </c>
      <c r="H241" s="160">
        <f t="shared" si="15"/>
        <v>1.1397569104957008</v>
      </c>
      <c r="I241" s="175">
        <f t="shared" si="17"/>
        <v>153195.80205841377</v>
      </c>
    </row>
    <row r="242" spans="1:9" x14ac:dyDescent="0.25">
      <c r="A242" s="53">
        <f>'A) Base RI'!A244</f>
        <v>5788</v>
      </c>
      <c r="B242" s="9" t="str">
        <f>'A) Base RI'!B244</f>
        <v>Essertes</v>
      </c>
      <c r="C242" s="127">
        <f>'A) Base RI'!AN244</f>
        <v>335</v>
      </c>
      <c r="D242" s="168">
        <f>'D) Ecrêtage'!N242</f>
        <v>28.84541873963515</v>
      </c>
      <c r="E242" s="37">
        <f t="shared" si="16"/>
        <v>15.249642847003052</v>
      </c>
      <c r="F242" s="171">
        <f t="shared" si="14"/>
        <v>99311.774076822679</v>
      </c>
      <c r="G242" s="152">
        <f>'A) Base RI'!AM244</f>
        <v>72</v>
      </c>
      <c r="H242" s="160">
        <f t="shared" si="15"/>
        <v>1.0657467215024734</v>
      </c>
      <c r="I242" s="175">
        <f t="shared" si="17"/>
        <v>105841.1976289681</v>
      </c>
    </row>
    <row r="243" spans="1:9" x14ac:dyDescent="0.25">
      <c r="A243" s="53">
        <f>'A) Base RI'!A245</f>
        <v>5789</v>
      </c>
      <c r="B243" s="9" t="str">
        <f>'A) Base RI'!B245</f>
        <v>Ferlens</v>
      </c>
      <c r="C243" s="127">
        <f>'A) Base RI'!AN245</f>
        <v>350</v>
      </c>
      <c r="D243" s="168">
        <f>'D) Ecrêtage'!N243</f>
        <v>26.399559774436099</v>
      </c>
      <c r="E243" s="37">
        <f t="shared" si="16"/>
        <v>17.695501812202103</v>
      </c>
      <c r="F243" s="171">
        <f t="shared" si="14"/>
        <v>127089.09401523552</v>
      </c>
      <c r="G243" s="152">
        <f>'A) Base RI'!AM245</f>
        <v>76</v>
      </c>
      <c r="H243" s="160">
        <f t="shared" si="15"/>
        <v>1.1249548726970553</v>
      </c>
      <c r="I243" s="175">
        <f t="shared" si="17"/>
        <v>142969.49557909337</v>
      </c>
    </row>
    <row r="244" spans="1:9" x14ac:dyDescent="0.25">
      <c r="A244" s="53">
        <f>'A) Base RI'!A246</f>
        <v>5790</v>
      </c>
      <c r="B244" s="9" t="str">
        <f>'A) Base RI'!B246</f>
        <v>Maracon</v>
      </c>
      <c r="C244" s="127">
        <f>'A) Base RI'!AN246</f>
        <v>449</v>
      </c>
      <c r="D244" s="168">
        <f>'D) Ecrêtage'!N244</f>
        <v>26.899214629000113</v>
      </c>
      <c r="E244" s="37">
        <f t="shared" si="16"/>
        <v>17.195846957638089</v>
      </c>
      <c r="F244" s="171">
        <f t="shared" si="14"/>
        <v>158433.59202725938</v>
      </c>
      <c r="G244" s="152">
        <f>'A) Base RI'!AM246</f>
        <v>76</v>
      </c>
      <c r="H244" s="160">
        <f t="shared" si="15"/>
        <v>1.1249548726970553</v>
      </c>
      <c r="I244" s="175">
        <f t="shared" si="17"/>
        <v>178230.64134996277</v>
      </c>
    </row>
    <row r="245" spans="1:9" x14ac:dyDescent="0.25">
      <c r="A245" s="53">
        <f>'A) Base RI'!A247</f>
        <v>5791</v>
      </c>
      <c r="B245" s="9" t="str">
        <f>'A) Base RI'!B247</f>
        <v>Mézières</v>
      </c>
      <c r="C245" s="127">
        <f>'A) Base RI'!AN247</f>
        <v>1217</v>
      </c>
      <c r="D245" s="168">
        <f>'D) Ecrêtage'!N245</f>
        <v>39.277874410759843</v>
      </c>
      <c r="E245" s="37">
        <f t="shared" si="16"/>
        <v>4.8171871758783595</v>
      </c>
      <c r="F245" s="171">
        <f t="shared" si="14"/>
        <v>120298.84459326214</v>
      </c>
      <c r="G245" s="152">
        <f>'A) Base RI'!AM247</f>
        <v>76</v>
      </c>
      <c r="H245" s="160">
        <f t="shared" si="15"/>
        <v>1.1249548726970553</v>
      </c>
      <c r="I245" s="175">
        <f t="shared" si="17"/>
        <v>135330.77140501604</v>
      </c>
    </row>
    <row r="246" spans="1:9" x14ac:dyDescent="0.25">
      <c r="A246" s="53">
        <f>'A) Base RI'!A248</f>
        <v>5792</v>
      </c>
      <c r="B246" s="9" t="str">
        <f>'A) Base RI'!B248</f>
        <v>Montpreveyres</v>
      </c>
      <c r="C246" s="127">
        <f>'A) Base RI'!AN248</f>
        <v>621</v>
      </c>
      <c r="D246" s="168">
        <f>'D) Ecrêtage'!N246</f>
        <v>25.234895330112721</v>
      </c>
      <c r="E246" s="37">
        <f t="shared" si="16"/>
        <v>18.860166256525481</v>
      </c>
      <c r="F246" s="171">
        <f t="shared" si="14"/>
        <v>243495.87386983531</v>
      </c>
      <c r="G246" s="152">
        <f>'A) Base RI'!AM248</f>
        <v>77</v>
      </c>
      <c r="H246" s="160">
        <f t="shared" si="15"/>
        <v>1.1397569104957008</v>
      </c>
      <c r="I246" s="175">
        <f t="shared" si="17"/>
        <v>277526.10492033436</v>
      </c>
    </row>
    <row r="247" spans="1:9" x14ac:dyDescent="0.25">
      <c r="A247" s="53">
        <f>'A) Base RI'!A249</f>
        <v>5798</v>
      </c>
      <c r="B247" s="9" t="str">
        <f>'A) Base RI'!B249</f>
        <v>Ropraz</v>
      </c>
      <c r="C247" s="127">
        <f>'A) Base RI'!AN249</f>
        <v>438</v>
      </c>
      <c r="D247" s="168">
        <f>'D) Ecrêtage'!N247</f>
        <v>25.050205332154956</v>
      </c>
      <c r="E247" s="37">
        <f t="shared" si="16"/>
        <v>19.044856254483246</v>
      </c>
      <c r="F247" s="171">
        <f t="shared" si="14"/>
        <v>174548.96430077715</v>
      </c>
      <c r="G247" s="152">
        <f>'A) Base RI'!AM249</f>
        <v>77.5</v>
      </c>
      <c r="H247" s="160">
        <f t="shared" si="15"/>
        <v>1.1471579293950234</v>
      </c>
      <c r="I247" s="175">
        <f t="shared" si="17"/>
        <v>200235.22846532537</v>
      </c>
    </row>
    <row r="248" spans="1:9" x14ac:dyDescent="0.25">
      <c r="A248" s="53">
        <f>'A) Base RI'!A250</f>
        <v>5799</v>
      </c>
      <c r="B248" s="9" t="str">
        <f>'A) Base RI'!B250</f>
        <v>Servion</v>
      </c>
      <c r="C248" s="127">
        <f>'A) Base RI'!AN250</f>
        <v>1918</v>
      </c>
      <c r="D248" s="168">
        <f>'D) Ecrêtage'!N248</f>
        <v>31.594712185096196</v>
      </c>
      <c r="E248" s="37">
        <f t="shared" si="16"/>
        <v>12.500349401542007</v>
      </c>
      <c r="F248" s="171">
        <f t="shared" si="14"/>
        <v>446666.73493469559</v>
      </c>
      <c r="G248" s="152">
        <f>'A) Base RI'!AM250</f>
        <v>69</v>
      </c>
      <c r="H248" s="160">
        <f t="shared" si="15"/>
        <v>1.021340608106537</v>
      </c>
      <c r="I248" s="175">
        <f t="shared" si="17"/>
        <v>456198.87467916339</v>
      </c>
    </row>
    <row r="249" spans="1:9" x14ac:dyDescent="0.25">
      <c r="A249" s="53">
        <f>'A) Base RI'!A251</f>
        <v>5803</v>
      </c>
      <c r="B249" s="9" t="str">
        <f>'A) Base RI'!B251</f>
        <v>Vulliens</v>
      </c>
      <c r="C249" s="127">
        <f>'A) Base RI'!AN251</f>
        <v>466</v>
      </c>
      <c r="D249" s="168">
        <f>'D) Ecrêtage'!N249</f>
        <v>30.504475624518541</v>
      </c>
      <c r="E249" s="37">
        <f t="shared" si="16"/>
        <v>13.590585962119661</v>
      </c>
      <c r="F249" s="171">
        <f t="shared" si="14"/>
        <v>133377.46700880388</v>
      </c>
      <c r="G249" s="152">
        <f>'A) Base RI'!AM251</f>
        <v>78</v>
      </c>
      <c r="H249" s="160">
        <f t="shared" si="15"/>
        <v>1.1545589482943461</v>
      </c>
      <c r="I249" s="175">
        <f t="shared" si="17"/>
        <v>153992.14803584846</v>
      </c>
    </row>
    <row r="250" spans="1:9" x14ac:dyDescent="0.25">
      <c r="A250" s="53">
        <f>'A) Base RI'!A252</f>
        <v>5804</v>
      </c>
      <c r="B250" s="9" t="str">
        <f>'A) Base RI'!B252</f>
        <v>Jorat-Menthue</v>
      </c>
      <c r="C250" s="127">
        <f>'A) Base RI'!AN252</f>
        <v>1545</v>
      </c>
      <c r="D250" s="168">
        <f>'D) Ecrêtage'!N250</f>
        <v>31.426868033081629</v>
      </c>
      <c r="E250" s="37">
        <f t="shared" si="16"/>
        <v>12.668193553556574</v>
      </c>
      <c r="F250" s="171">
        <f t="shared" si="14"/>
        <v>380486.65974236093</v>
      </c>
      <c r="G250" s="152">
        <f>'A) Base RI'!AM252</f>
        <v>72</v>
      </c>
      <c r="H250" s="160">
        <f t="shared" si="15"/>
        <v>1.0657467215024734</v>
      </c>
      <c r="I250" s="175">
        <f>F250*H250</f>
        <v>405502.41019584832</v>
      </c>
    </row>
    <row r="251" spans="1:9" x14ac:dyDescent="0.25">
      <c r="A251" s="53">
        <f>'A) Base RI'!A253</f>
        <v>5805</v>
      </c>
      <c r="B251" s="9" t="str">
        <f>'A) Base RI'!B253</f>
        <v>Oron</v>
      </c>
      <c r="C251" s="127">
        <f>'A) Base RI'!AN253</f>
        <v>5397</v>
      </c>
      <c r="D251" s="168">
        <f>'D) Ecrêtage'!N251</f>
        <v>27.25667269890582</v>
      </c>
      <c r="E251" s="37">
        <f t="shared" si="16"/>
        <v>16.838388887732382</v>
      </c>
      <c r="F251" s="171">
        <f t="shared" si="14"/>
        <v>1693034.5013287179</v>
      </c>
      <c r="G251" s="152">
        <f>'A) Base RI'!AM253</f>
        <v>69</v>
      </c>
      <c r="H251" s="160">
        <f t="shared" si="15"/>
        <v>1.021340608106537</v>
      </c>
      <c r="I251" s="175">
        <f>F251*H251</f>
        <v>1729164.8871324204</v>
      </c>
    </row>
    <row r="252" spans="1:9" x14ac:dyDescent="0.25">
      <c r="A252" s="53">
        <f>'A) Base RI'!A254</f>
        <v>5812</v>
      </c>
      <c r="B252" s="9" t="str">
        <f>'A) Base RI'!B254</f>
        <v>Champtauroz</v>
      </c>
      <c r="C252" s="127">
        <f>'A) Base RI'!AN254</f>
        <v>130</v>
      </c>
      <c r="D252" s="168">
        <f>'D) Ecrêtage'!N252</f>
        <v>17.896738761238762</v>
      </c>
      <c r="E252" s="37">
        <f t="shared" si="16"/>
        <v>26.19832282539944</v>
      </c>
      <c r="F252" s="171">
        <f t="shared" si="14"/>
        <v>70806.207100207073</v>
      </c>
      <c r="G252" s="152">
        <f>'A) Base RI'!AM254</f>
        <v>77</v>
      </c>
      <c r="H252" s="160">
        <f t="shared" si="15"/>
        <v>1.1397569104957008</v>
      </c>
      <c r="I252" s="175">
        <f>F252*H252</f>
        <v>80701.863848450768</v>
      </c>
    </row>
    <row r="253" spans="1:9" x14ac:dyDescent="0.25">
      <c r="A253" s="53">
        <f>'A) Base RI'!A255</f>
        <v>5813</v>
      </c>
      <c r="B253" s="9" t="str">
        <f>'A) Base RI'!B255</f>
        <v>Chevroux</v>
      </c>
      <c r="C253" s="127">
        <f>'A) Base RI'!AN255</f>
        <v>446</v>
      </c>
      <c r="D253" s="168">
        <f>'D) Ecrêtage'!N253</f>
        <v>25.792219677557124</v>
      </c>
      <c r="E253" s="37">
        <f t="shared" si="16"/>
        <v>18.302841909081078</v>
      </c>
      <c r="F253" s="171">
        <f t="shared" si="14"/>
        <v>154281.97558840804</v>
      </c>
      <c r="G253" s="152">
        <f>'A) Base RI'!AM255</f>
        <v>70</v>
      </c>
      <c r="H253" s="160">
        <f t="shared" si="15"/>
        <v>1.0361426459051826</v>
      </c>
      <c r="I253" s="175">
        <f t="shared" si="17"/>
        <v>159858.13440165189</v>
      </c>
    </row>
    <row r="254" spans="1:9" x14ac:dyDescent="0.25">
      <c r="A254" s="53">
        <f>'A) Base RI'!A256</f>
        <v>5816</v>
      </c>
      <c r="B254" s="9" t="str">
        <f>'A) Base RI'!B256</f>
        <v>Corcelles-près-Payerne</v>
      </c>
      <c r="C254" s="127">
        <f>'A) Base RI'!AN256</f>
        <v>2393</v>
      </c>
      <c r="D254" s="168">
        <f>'D) Ecrêtage'!N254</f>
        <v>23.669480503651521</v>
      </c>
      <c r="E254" s="37">
        <f t="shared" si="16"/>
        <v>20.425581082986682</v>
      </c>
      <c r="F254" s="171">
        <f t="shared" si="14"/>
        <v>950196.39793405391</v>
      </c>
      <c r="G254" s="152">
        <f>'A) Base RI'!AM256</f>
        <v>72</v>
      </c>
      <c r="H254" s="160">
        <f t="shared" si="15"/>
        <v>1.0657467215024734</v>
      </c>
      <c r="I254" s="175">
        <f t="shared" si="17"/>
        <v>1012668.6958816776</v>
      </c>
    </row>
    <row r="255" spans="1:9" x14ac:dyDescent="0.25">
      <c r="A255" s="53">
        <f>'A) Base RI'!A257</f>
        <v>5817</v>
      </c>
      <c r="B255" s="9" t="str">
        <f>'A) Base RI'!B257</f>
        <v>Grandcour</v>
      </c>
      <c r="C255" s="127">
        <f>'A) Base RI'!AN257</f>
        <v>885</v>
      </c>
      <c r="D255" s="168">
        <f>'D) Ecrêtage'!N255</f>
        <v>23.718135948548483</v>
      </c>
      <c r="E255" s="37">
        <f t="shared" si="16"/>
        <v>20.37692563808972</v>
      </c>
      <c r="F255" s="171">
        <f t="shared" si="14"/>
        <v>387090.77730711235</v>
      </c>
      <c r="G255" s="152">
        <f>'A) Base RI'!AM257</f>
        <v>79.5</v>
      </c>
      <c r="H255" s="160">
        <f t="shared" si="15"/>
        <v>1.1767620049923144</v>
      </c>
      <c r="I255" s="175">
        <f t="shared" si="17"/>
        <v>455513.719217951</v>
      </c>
    </row>
    <row r="256" spans="1:9" x14ac:dyDescent="0.25">
      <c r="A256" s="53">
        <f>'A) Base RI'!A258</f>
        <v>5819</v>
      </c>
      <c r="B256" s="9" t="str">
        <f>'A) Base RI'!B258</f>
        <v>Henniez</v>
      </c>
      <c r="C256" s="127">
        <f>'A) Base RI'!AN258</f>
        <v>338</v>
      </c>
      <c r="D256" s="168">
        <f>'D) Ecrêtage'!N256</f>
        <v>44.230011481056259</v>
      </c>
      <c r="E256" s="37">
        <f t="shared" si="16"/>
        <v>0</v>
      </c>
      <c r="F256" s="171">
        <f t="shared" si="14"/>
        <v>0</v>
      </c>
      <c r="G256" s="152">
        <f>'A) Base RI'!AM258</f>
        <v>67</v>
      </c>
      <c r="H256" s="160">
        <f t="shared" si="15"/>
        <v>0.99173653250924609</v>
      </c>
      <c r="I256" s="175">
        <f t="shared" si="17"/>
        <v>0</v>
      </c>
    </row>
    <row r="257" spans="1:9" x14ac:dyDescent="0.25">
      <c r="A257" s="53">
        <f>'A) Base RI'!A259</f>
        <v>5821</v>
      </c>
      <c r="B257" s="9" t="str">
        <f>'A) Base RI'!B259</f>
        <v>Missy</v>
      </c>
      <c r="C257" s="127">
        <f>'A) Base RI'!AN259</f>
        <v>361</v>
      </c>
      <c r="D257" s="168">
        <f>'D) Ecrêtage'!N257</f>
        <v>21.540882194521391</v>
      </c>
      <c r="E257" s="37">
        <f t="shared" si="16"/>
        <v>22.554179392116811</v>
      </c>
      <c r="F257" s="171">
        <f t="shared" si="14"/>
        <v>158281.62230517305</v>
      </c>
      <c r="G257" s="152">
        <f>'A) Base RI'!AM259</f>
        <v>72</v>
      </c>
      <c r="H257" s="160">
        <f t="shared" si="15"/>
        <v>1.0657467215024734</v>
      </c>
      <c r="I257" s="175">
        <f t="shared" si="17"/>
        <v>168688.12004583093</v>
      </c>
    </row>
    <row r="258" spans="1:9" x14ac:dyDescent="0.25">
      <c r="A258" s="53">
        <f>'A) Base RI'!A260</f>
        <v>5822</v>
      </c>
      <c r="B258" s="9" t="str">
        <f>'A) Base RI'!B260</f>
        <v>Payerne</v>
      </c>
      <c r="C258" s="127">
        <f>'A) Base RI'!AN260</f>
        <v>9301</v>
      </c>
      <c r="D258" s="168">
        <f>'D) Ecrêtage'!N258</f>
        <v>24.889116367415689</v>
      </c>
      <c r="E258" s="37">
        <f t="shared" si="16"/>
        <v>19.205945219222514</v>
      </c>
      <c r="F258" s="171">
        <f t="shared" si="14"/>
        <v>3617348.5538007692</v>
      </c>
      <c r="G258" s="152">
        <f>'A) Base RI'!AM260</f>
        <v>75</v>
      </c>
      <c r="H258" s="160">
        <f t="shared" si="15"/>
        <v>1.1101528348984098</v>
      </c>
      <c r="I258" s="175">
        <f t="shared" si="17"/>
        <v>4015809.7518175868</v>
      </c>
    </row>
    <row r="259" spans="1:9" x14ac:dyDescent="0.25">
      <c r="A259" s="53">
        <f>'A) Base RI'!A261</f>
        <v>5827</v>
      </c>
      <c r="B259" s="9" t="str">
        <f>'A) Base RI'!B261</f>
        <v>Trey</v>
      </c>
      <c r="C259" s="127">
        <f>'A) Base RI'!AN261</f>
        <v>260</v>
      </c>
      <c r="D259" s="168">
        <f>'D) Ecrêtage'!N259</f>
        <v>23.865066826923073</v>
      </c>
      <c r="E259" s="37">
        <f t="shared" si="16"/>
        <v>20.22999475971513</v>
      </c>
      <c r="F259" s="171">
        <f t="shared" si="14"/>
        <v>113611.65057056017</v>
      </c>
      <c r="G259" s="152">
        <f>'A) Base RI'!AM261</f>
        <v>80</v>
      </c>
      <c r="H259" s="160">
        <f t="shared" si="15"/>
        <v>1.1841630238916372</v>
      </c>
      <c r="I259" s="175">
        <f t="shared" si="17"/>
        <v>134534.71568895457</v>
      </c>
    </row>
    <row r="260" spans="1:9" x14ac:dyDescent="0.25">
      <c r="A260" s="53">
        <f>'A) Base RI'!A262</f>
        <v>5828</v>
      </c>
      <c r="B260" s="9" t="str">
        <f>'A) Base RI'!B262</f>
        <v>Treytorrens (Payerne)</v>
      </c>
      <c r="C260" s="127">
        <f>'A) Base RI'!AN262</f>
        <v>131</v>
      </c>
      <c r="D260" s="168">
        <f>'D) Ecrêtage'!N260</f>
        <v>17.958286077789896</v>
      </c>
      <c r="E260" s="37">
        <f t="shared" si="16"/>
        <v>26.136775508848306</v>
      </c>
      <c r="F260" s="171">
        <f t="shared" si="14"/>
        <v>77654.450978829016</v>
      </c>
      <c r="G260" s="152">
        <f>'A) Base RI'!AM262</f>
        <v>84</v>
      </c>
      <c r="H260" s="160">
        <f t="shared" si="15"/>
        <v>1.2433711750862191</v>
      </c>
      <c r="I260" s="175">
        <f t="shared" si="17"/>
        <v>96553.305964221829</v>
      </c>
    </row>
    <row r="261" spans="1:9" x14ac:dyDescent="0.25">
      <c r="A261" s="53">
        <f>'A) Base RI'!A263</f>
        <v>5830</v>
      </c>
      <c r="B261" s="9" t="str">
        <f>'A) Base RI'!B263</f>
        <v>Villarzel</v>
      </c>
      <c r="C261" s="127">
        <f>'A) Base RI'!AN263</f>
        <v>424</v>
      </c>
      <c r="D261" s="168">
        <f>'D) Ecrêtage'!N261</f>
        <v>22.965540661571534</v>
      </c>
      <c r="E261" s="37">
        <f t="shared" si="16"/>
        <v>21.129520925066668</v>
      </c>
      <c r="F261" s="171">
        <f t="shared" ref="F261:F322" si="18">(C261*E261*G261)*$E$4</f>
        <v>191093.69688462894</v>
      </c>
      <c r="G261" s="152">
        <f>'A) Base RI'!AM263</f>
        <v>79</v>
      </c>
      <c r="H261" s="160">
        <f t="shared" si="15"/>
        <v>1.1693609860929917</v>
      </c>
      <c r="I261" s="175">
        <f t="shared" si="17"/>
        <v>223457.51382516493</v>
      </c>
    </row>
    <row r="262" spans="1:9" x14ac:dyDescent="0.25">
      <c r="A262" s="53">
        <f>'A) Base RI'!A264</f>
        <v>5831</v>
      </c>
      <c r="B262" s="9" t="str">
        <f>'A) Base RI'!B264</f>
        <v>Valbroye</v>
      </c>
      <c r="C262" s="127">
        <f>'A) Base RI'!AN264</f>
        <v>2974</v>
      </c>
      <c r="D262" s="168">
        <f>'D) Ecrêtage'!N262</f>
        <v>25.266540719723139</v>
      </c>
      <c r="E262" s="37">
        <f t="shared" si="16"/>
        <v>18.828520866915063</v>
      </c>
      <c r="F262" s="171">
        <f t="shared" si="18"/>
        <v>1103681.5750572286</v>
      </c>
      <c r="G262" s="152">
        <f>'A) Base RI'!AM264</f>
        <v>73</v>
      </c>
      <c r="H262" s="160">
        <f t="shared" ref="H262:H322" si="19">G262/$G$323</f>
        <v>1.0805487593011189</v>
      </c>
      <c r="I262" s="175">
        <f>F262*H262</f>
        <v>1192581.7565915931</v>
      </c>
    </row>
    <row r="263" spans="1:9" x14ac:dyDescent="0.25">
      <c r="A263" s="53">
        <f>'A) Base RI'!A265</f>
        <v>5841</v>
      </c>
      <c r="B263" s="9" t="str">
        <f>'A) Base RI'!B265</f>
        <v>Château-d'Oex</v>
      </c>
      <c r="C263" s="127">
        <f>'A) Base RI'!AN265</f>
        <v>3477</v>
      </c>
      <c r="D263" s="168">
        <f>'D) Ecrêtage'!N263</f>
        <v>30.617589668423481</v>
      </c>
      <c r="E263" s="37">
        <f t="shared" si="16"/>
        <v>13.477471918214722</v>
      </c>
      <c r="F263" s="171">
        <f t="shared" si="18"/>
        <v>1050158.8165543664</v>
      </c>
      <c r="G263" s="152">
        <f>'A) Base RI'!AM265</f>
        <v>83</v>
      </c>
      <c r="H263" s="160">
        <f t="shared" si="19"/>
        <v>1.2285691372875736</v>
      </c>
      <c r="I263" s="175">
        <f>F263*H263</f>
        <v>1290192.7112691372</v>
      </c>
    </row>
    <row r="264" spans="1:9" x14ac:dyDescent="0.25">
      <c r="A264" s="53">
        <f>'A) Base RI'!A266</f>
        <v>5842</v>
      </c>
      <c r="B264" s="9" t="str">
        <f>'A) Base RI'!B266</f>
        <v>Rossinière</v>
      </c>
      <c r="C264" s="127">
        <f>'A) Base RI'!AN266</f>
        <v>546</v>
      </c>
      <c r="D264" s="168">
        <f>'D) Ecrêtage'!N264</f>
        <v>24.760805182471845</v>
      </c>
      <c r="E264" s="37">
        <f t="shared" si="16"/>
        <v>19.334256404166357</v>
      </c>
      <c r="F264" s="171">
        <f t="shared" si="18"/>
        <v>230870.74240727859</v>
      </c>
      <c r="G264" s="152">
        <f>'A) Base RI'!AM266</f>
        <v>81</v>
      </c>
      <c r="H264" s="160">
        <f t="shared" si="19"/>
        <v>1.1989650616902825</v>
      </c>
      <c r="I264" s="175">
        <f t="shared" si="17"/>
        <v>276805.9539128241</v>
      </c>
    </row>
    <row r="265" spans="1:9" x14ac:dyDescent="0.25">
      <c r="A265" s="53">
        <f>'A) Base RI'!A267</f>
        <v>5843</v>
      </c>
      <c r="B265" s="9" t="str">
        <f>'A) Base RI'!B267</f>
        <v>Rougemont</v>
      </c>
      <c r="C265" s="127">
        <f>'A) Base RI'!AN267</f>
        <v>892</v>
      </c>
      <c r="D265" s="168">
        <f>'D) Ecrêtage'!N265</f>
        <v>80.064344553842574</v>
      </c>
      <c r="E265" s="37">
        <f t="shared" si="16"/>
        <v>0</v>
      </c>
      <c r="F265" s="171">
        <f t="shared" si="18"/>
        <v>0</v>
      </c>
      <c r="G265" s="152">
        <f>'A) Base RI'!AM267</f>
        <v>69</v>
      </c>
      <c r="H265" s="160">
        <f t="shared" si="19"/>
        <v>1.021340608106537</v>
      </c>
      <c r="I265" s="175">
        <f t="shared" si="17"/>
        <v>0</v>
      </c>
    </row>
    <row r="266" spans="1:9" x14ac:dyDescent="0.25">
      <c r="A266" s="53">
        <f>'A) Base RI'!A268</f>
        <v>5851</v>
      </c>
      <c r="B266" s="9" t="str">
        <f>'A) Base RI'!B268</f>
        <v>Allaman</v>
      </c>
      <c r="C266" s="127">
        <f>'A) Base RI'!AN268</f>
        <v>432</v>
      </c>
      <c r="D266" s="168">
        <f>'D) Ecrêtage'!N266</f>
        <v>60.044637034034167</v>
      </c>
      <c r="E266" s="37">
        <f t="shared" si="16"/>
        <v>0</v>
      </c>
      <c r="F266" s="171">
        <f t="shared" si="18"/>
        <v>0</v>
      </c>
      <c r="G266" s="152">
        <f>'A) Base RI'!AM268</f>
        <v>62</v>
      </c>
      <c r="H266" s="160">
        <f t="shared" si="19"/>
        <v>0.91772634351601878</v>
      </c>
      <c r="I266" s="175">
        <f t="shared" si="17"/>
        <v>0</v>
      </c>
    </row>
    <row r="267" spans="1:9" x14ac:dyDescent="0.25">
      <c r="A267" s="53">
        <f>'A) Base RI'!A269</f>
        <v>5852</v>
      </c>
      <c r="B267" s="9" t="str">
        <f>'A) Base RI'!B269</f>
        <v>Bursinel</v>
      </c>
      <c r="C267" s="127">
        <f>'A) Base RI'!AN269</f>
        <v>485</v>
      </c>
      <c r="D267" s="168">
        <f>'D) Ecrêtage'!N267</f>
        <v>59.67693840220646</v>
      </c>
      <c r="E267" s="37">
        <f t="shared" si="16"/>
        <v>0</v>
      </c>
      <c r="F267" s="171">
        <f t="shared" si="18"/>
        <v>0</v>
      </c>
      <c r="G267" s="152">
        <f>'A) Base RI'!AM269</f>
        <v>65.5</v>
      </c>
      <c r="H267" s="160">
        <f t="shared" si="19"/>
        <v>0.96953347581127791</v>
      </c>
      <c r="I267" s="175">
        <f t="shared" si="17"/>
        <v>0</v>
      </c>
    </row>
    <row r="268" spans="1:9" x14ac:dyDescent="0.25">
      <c r="A268" s="53">
        <f>'A) Base RI'!A270</f>
        <v>5853</v>
      </c>
      <c r="B268" s="9" t="str">
        <f>'A) Base RI'!B270</f>
        <v>Bursins</v>
      </c>
      <c r="C268" s="127">
        <f>'A) Base RI'!AN270</f>
        <v>766</v>
      </c>
      <c r="D268" s="168">
        <f>'D) Ecrêtage'!N268</f>
        <v>52.928490052587065</v>
      </c>
      <c r="E268" s="37">
        <f t="shared" si="16"/>
        <v>0</v>
      </c>
      <c r="F268" s="171">
        <f t="shared" si="18"/>
        <v>0</v>
      </c>
      <c r="G268" s="152">
        <f>'A) Base RI'!AM270</f>
        <v>71</v>
      </c>
      <c r="H268" s="160">
        <f t="shared" si="19"/>
        <v>1.0509446837038279</v>
      </c>
      <c r="I268" s="175">
        <f t="shared" si="17"/>
        <v>0</v>
      </c>
    </row>
    <row r="269" spans="1:9" x14ac:dyDescent="0.25">
      <c r="A269" s="53">
        <f>'A) Base RI'!A271</f>
        <v>5854</v>
      </c>
      <c r="B269" s="9" t="str">
        <f>'A) Base RI'!B271</f>
        <v>Burtigny</v>
      </c>
      <c r="C269" s="127">
        <f>'A) Base RI'!AN271</f>
        <v>359</v>
      </c>
      <c r="D269" s="168">
        <f>'D) Ecrêtage'!N269</f>
        <v>29.464590064995352</v>
      </c>
      <c r="E269" s="37">
        <f t="shared" si="16"/>
        <v>14.63047152164285</v>
      </c>
      <c r="F269" s="171">
        <f t="shared" si="18"/>
        <v>113450.52836742732</v>
      </c>
      <c r="G269" s="152">
        <f>'A) Base RI'!AM271</f>
        <v>80</v>
      </c>
      <c r="H269" s="160">
        <f t="shared" si="19"/>
        <v>1.1841630238916372</v>
      </c>
      <c r="I269" s="175">
        <f t="shared" si="17"/>
        <v>134343.9207336767</v>
      </c>
    </row>
    <row r="270" spans="1:9" x14ac:dyDescent="0.25">
      <c r="A270" s="53">
        <f>'A) Base RI'!A272</f>
        <v>5855</v>
      </c>
      <c r="B270" s="9" t="str">
        <f>'A) Base RI'!B272</f>
        <v>Dully</v>
      </c>
      <c r="C270" s="127">
        <f>'A) Base RI'!AN272</f>
        <v>633</v>
      </c>
      <c r="D270" s="168">
        <f>'D) Ecrêtage'!N270</f>
        <v>91.733647099832453</v>
      </c>
      <c r="E270" s="37">
        <f t="shared" si="16"/>
        <v>0</v>
      </c>
      <c r="F270" s="171">
        <f t="shared" si="18"/>
        <v>0</v>
      </c>
      <c r="G270" s="152">
        <f>'A) Base RI'!AM272</f>
        <v>49</v>
      </c>
      <c r="H270" s="160">
        <f t="shared" si="19"/>
        <v>0.72529985213362769</v>
      </c>
      <c r="I270" s="175">
        <f t="shared" si="17"/>
        <v>0</v>
      </c>
    </row>
    <row r="271" spans="1:9" x14ac:dyDescent="0.25">
      <c r="A271" s="53">
        <f>'A) Base RI'!A273</f>
        <v>5856</v>
      </c>
      <c r="B271" s="9" t="str">
        <f>'A) Base RI'!B273</f>
        <v>Essertines-sur-Rolle</v>
      </c>
      <c r="C271" s="127">
        <f>'A) Base RI'!AN273</f>
        <v>695</v>
      </c>
      <c r="D271" s="168">
        <f>'D) Ecrêtage'!N271</f>
        <v>45.845758683550898</v>
      </c>
      <c r="E271" s="37">
        <f t="shared" si="16"/>
        <v>0</v>
      </c>
      <c r="F271" s="171">
        <f t="shared" si="18"/>
        <v>0</v>
      </c>
      <c r="G271" s="152">
        <f>'A) Base RI'!AM273</f>
        <v>68</v>
      </c>
      <c r="H271" s="160">
        <f t="shared" si="19"/>
        <v>1.0065385703078915</v>
      </c>
      <c r="I271" s="175">
        <f t="shared" si="17"/>
        <v>0</v>
      </c>
    </row>
    <row r="272" spans="1:9" x14ac:dyDescent="0.25">
      <c r="A272" s="53">
        <f>'A) Base RI'!A274</f>
        <v>5857</v>
      </c>
      <c r="B272" s="9" t="str">
        <f>'A) Base RI'!B274</f>
        <v>Gilly</v>
      </c>
      <c r="C272" s="127">
        <f>'A) Base RI'!AN274</f>
        <v>1230</v>
      </c>
      <c r="D272" s="168">
        <f>'D) Ecrêtage'!N272</f>
        <v>50.845890736634644</v>
      </c>
      <c r="E272" s="37">
        <f t="shared" ref="E272:E322" si="20">IF($D$323-D272&lt;0,0,$D$323-D272)</f>
        <v>0</v>
      </c>
      <c r="F272" s="171">
        <f t="shared" si="18"/>
        <v>0</v>
      </c>
      <c r="G272" s="152">
        <f>'A) Base RI'!AM274</f>
        <v>66</v>
      </c>
      <c r="H272" s="160">
        <f t="shared" si="19"/>
        <v>0.97693449471060068</v>
      </c>
      <c r="I272" s="175">
        <f t="shared" si="17"/>
        <v>0</v>
      </c>
    </row>
    <row r="273" spans="1:9" x14ac:dyDescent="0.25">
      <c r="A273" s="53">
        <f>'A) Base RI'!A275</f>
        <v>5858</v>
      </c>
      <c r="B273" s="9" t="str">
        <f>'A) Base RI'!B275</f>
        <v>Luins</v>
      </c>
      <c r="C273" s="127">
        <f>'A) Base RI'!AN275</f>
        <v>625</v>
      </c>
      <c r="D273" s="168">
        <f>'D) Ecrêtage'!N273</f>
        <v>56.072483111111111</v>
      </c>
      <c r="E273" s="37">
        <f t="shared" si="20"/>
        <v>0</v>
      </c>
      <c r="F273" s="171">
        <f t="shared" si="18"/>
        <v>0</v>
      </c>
      <c r="G273" s="152">
        <f>'A) Base RI'!AM275</f>
        <v>60</v>
      </c>
      <c r="H273" s="160">
        <f t="shared" si="19"/>
        <v>0.88812226791872784</v>
      </c>
      <c r="I273" s="175">
        <f t="shared" si="17"/>
        <v>0</v>
      </c>
    </row>
    <row r="274" spans="1:9" x14ac:dyDescent="0.25">
      <c r="A274" s="53">
        <f>'A) Base RI'!A276</f>
        <v>5859</v>
      </c>
      <c r="B274" s="9" t="str">
        <f>'A) Base RI'!B276</f>
        <v>Mont-sur-Rolle</v>
      </c>
      <c r="C274" s="127">
        <f>'A) Base RI'!AN276</f>
        <v>2660</v>
      </c>
      <c r="D274" s="168">
        <f>'D) Ecrêtage'!N274</f>
        <v>49.033977796052639</v>
      </c>
      <c r="E274" s="37">
        <f t="shared" si="20"/>
        <v>0</v>
      </c>
      <c r="F274" s="171">
        <f t="shared" si="18"/>
        <v>0</v>
      </c>
      <c r="G274" s="152">
        <f>'A) Base RI'!AM276</f>
        <v>64</v>
      </c>
      <c r="H274" s="160">
        <f t="shared" si="19"/>
        <v>0.94733041911330973</v>
      </c>
      <c r="I274" s="175">
        <f t="shared" ref="I274:I322" si="21">F274*H274</f>
        <v>0</v>
      </c>
    </row>
    <row r="275" spans="1:9" x14ac:dyDescent="0.25">
      <c r="A275" s="53">
        <f>'A) Base RI'!A277</f>
        <v>5860</v>
      </c>
      <c r="B275" s="9" t="str">
        <f>'A) Base RI'!B277</f>
        <v>Perroy</v>
      </c>
      <c r="C275" s="127">
        <f>'A) Base RI'!AN277</f>
        <v>1453</v>
      </c>
      <c r="D275" s="168">
        <f>'D) Ecrêtage'!N275</f>
        <v>61.045161956136198</v>
      </c>
      <c r="E275" s="37">
        <f t="shared" si="20"/>
        <v>0</v>
      </c>
      <c r="F275" s="171">
        <f t="shared" si="18"/>
        <v>0</v>
      </c>
      <c r="G275" s="152">
        <f>'A) Base RI'!AM277</f>
        <v>60</v>
      </c>
      <c r="H275" s="160">
        <f t="shared" si="19"/>
        <v>0.88812226791872784</v>
      </c>
      <c r="I275" s="175">
        <f t="shared" si="21"/>
        <v>0</v>
      </c>
    </row>
    <row r="276" spans="1:9" x14ac:dyDescent="0.25">
      <c r="A276" s="53">
        <f>'A) Base RI'!A278</f>
        <v>5861</v>
      </c>
      <c r="B276" s="9" t="str">
        <f>'A) Base RI'!B278</f>
        <v>Rolle</v>
      </c>
      <c r="C276" s="127">
        <f>'A) Base RI'!AN278</f>
        <v>6142</v>
      </c>
      <c r="D276" s="168">
        <f>'D) Ecrêtage'!N276</f>
        <v>96.353484227348517</v>
      </c>
      <c r="E276" s="37">
        <f t="shared" si="20"/>
        <v>0</v>
      </c>
      <c r="F276" s="171">
        <f t="shared" si="18"/>
        <v>0</v>
      </c>
      <c r="G276" s="152">
        <f>'A) Base RI'!AM278</f>
        <v>59.5</v>
      </c>
      <c r="H276" s="160">
        <f t="shared" si="19"/>
        <v>0.88072124901940507</v>
      </c>
      <c r="I276" s="175">
        <f t="shared" si="21"/>
        <v>0</v>
      </c>
    </row>
    <row r="277" spans="1:9" x14ac:dyDescent="0.25">
      <c r="A277" s="53">
        <f>'A) Base RI'!A279</f>
        <v>5862</v>
      </c>
      <c r="B277" s="9" t="str">
        <f>'A) Base RI'!B279</f>
        <v>Tartegnin</v>
      </c>
      <c r="C277" s="127">
        <f>'A) Base RI'!AN279</f>
        <v>236</v>
      </c>
      <c r="D277" s="168">
        <f>'D) Ecrêtage'!N277</f>
        <v>35.175515200430453</v>
      </c>
      <c r="E277" s="37">
        <f t="shared" si="20"/>
        <v>8.9195463862077489</v>
      </c>
      <c r="F277" s="171">
        <f t="shared" si="18"/>
        <v>47741.693641249251</v>
      </c>
      <c r="G277" s="152">
        <f>'A) Base RI'!AM279</f>
        <v>84</v>
      </c>
      <c r="H277" s="160">
        <f t="shared" si="19"/>
        <v>1.2433711750862191</v>
      </c>
      <c r="I277" s="175">
        <f t="shared" si="21"/>
        <v>59360.645723326357</v>
      </c>
    </row>
    <row r="278" spans="1:9" x14ac:dyDescent="0.25">
      <c r="A278" s="53">
        <f>'A) Base RI'!A280</f>
        <v>5863</v>
      </c>
      <c r="B278" s="9" t="str">
        <f>'A) Base RI'!B280</f>
        <v>Vinzel</v>
      </c>
      <c r="C278" s="127">
        <f>'A) Base RI'!AN280</f>
        <v>352</v>
      </c>
      <c r="D278" s="168">
        <f>'D) Ecrêtage'!N278</f>
        <v>64.788891160242486</v>
      </c>
      <c r="E278" s="37">
        <f t="shared" si="20"/>
        <v>0</v>
      </c>
      <c r="F278" s="171">
        <f t="shared" si="18"/>
        <v>0</v>
      </c>
      <c r="G278" s="152">
        <f>'A) Base RI'!AM280</f>
        <v>70</v>
      </c>
      <c r="H278" s="160">
        <f t="shared" si="19"/>
        <v>1.0361426459051826</v>
      </c>
      <c r="I278" s="175">
        <f t="shared" si="21"/>
        <v>0</v>
      </c>
    </row>
    <row r="279" spans="1:9" x14ac:dyDescent="0.25">
      <c r="A279" s="53">
        <f>'A) Base RI'!A281</f>
        <v>5871</v>
      </c>
      <c r="B279" s="9" t="str">
        <f>'A) Base RI'!B281</f>
        <v>L'Abbaye</v>
      </c>
      <c r="C279" s="127">
        <f>'A) Base RI'!AN281</f>
        <v>1439</v>
      </c>
      <c r="D279" s="168">
        <f>'D) Ecrêtage'!N279</f>
        <v>28.609751165184313</v>
      </c>
      <c r="E279" s="37">
        <f t="shared" si="20"/>
        <v>15.485310421453889</v>
      </c>
      <c r="F279" s="171">
        <f t="shared" si="18"/>
        <v>466219.17842209927</v>
      </c>
      <c r="G279" s="152">
        <f>'A) Base RI'!AM281</f>
        <v>77.489999999999995</v>
      </c>
      <c r="H279" s="160">
        <f t="shared" si="19"/>
        <v>1.1470099090170369</v>
      </c>
      <c r="I279" s="175">
        <f t="shared" si="21"/>
        <v>534758.01742392976</v>
      </c>
    </row>
    <row r="280" spans="1:9" x14ac:dyDescent="0.25">
      <c r="A280" s="53">
        <f>'A) Base RI'!A282</f>
        <v>5872</v>
      </c>
      <c r="B280" s="9" t="str">
        <f>'A) Base RI'!B282</f>
        <v>Le Chenit</v>
      </c>
      <c r="C280" s="127">
        <f>'A) Base RI'!AN282</f>
        <v>4608</v>
      </c>
      <c r="D280" s="168">
        <f>'D) Ecrêtage'!N280</f>
        <v>64.014629449581861</v>
      </c>
      <c r="E280" s="37">
        <f t="shared" si="20"/>
        <v>0</v>
      </c>
      <c r="F280" s="171">
        <f t="shared" si="18"/>
        <v>0</v>
      </c>
      <c r="G280" s="152">
        <f>'A) Base RI'!AM282</f>
        <v>69.7</v>
      </c>
      <c r="H280" s="160">
        <f t="shared" si="19"/>
        <v>1.031702034565589</v>
      </c>
      <c r="I280" s="175">
        <f t="shared" si="21"/>
        <v>0</v>
      </c>
    </row>
    <row r="281" spans="1:9" x14ac:dyDescent="0.25">
      <c r="A281" s="53">
        <f>'A) Base RI'!A283</f>
        <v>5873</v>
      </c>
      <c r="B281" s="9" t="str">
        <f>'A) Base RI'!B283</f>
        <v>Le Lieu</v>
      </c>
      <c r="C281" s="127">
        <f>'A) Base RI'!AN283</f>
        <v>873</v>
      </c>
      <c r="D281" s="168">
        <f>'D) Ecrêtage'!N281</f>
        <v>35.036731988134051</v>
      </c>
      <c r="E281" s="37">
        <f t="shared" si="20"/>
        <v>9.0583295985041516</v>
      </c>
      <c r="F281" s="171">
        <f t="shared" si="18"/>
        <v>138784.0265281219</v>
      </c>
      <c r="G281" s="152">
        <f>'A) Base RI'!AM283</f>
        <v>65</v>
      </c>
      <c r="H281" s="160">
        <f t="shared" si="19"/>
        <v>0.96213245691195515</v>
      </c>
      <c r="I281" s="175">
        <f t="shared" si="21"/>
        <v>133528.61642363589</v>
      </c>
    </row>
    <row r="282" spans="1:9" x14ac:dyDescent="0.25">
      <c r="A282" s="53">
        <f>'A) Base RI'!A284</f>
        <v>5881</v>
      </c>
      <c r="B282" s="9" t="str">
        <f>'A) Base RI'!B284</f>
        <v>Blonay</v>
      </c>
      <c r="C282" s="127">
        <f>'A) Base RI'!AN284</f>
        <v>6116</v>
      </c>
      <c r="D282" s="168">
        <f>'D) Ecrêtage'!N282</f>
        <v>54.350533285060258</v>
      </c>
      <c r="E282" s="37">
        <f t="shared" si="20"/>
        <v>0</v>
      </c>
      <c r="F282" s="171">
        <f t="shared" si="18"/>
        <v>0</v>
      </c>
      <c r="G282" s="152">
        <f>'A) Base RI'!AM284</f>
        <v>70</v>
      </c>
      <c r="H282" s="160">
        <f t="shared" si="19"/>
        <v>1.0361426459051826</v>
      </c>
      <c r="I282" s="175">
        <f t="shared" si="21"/>
        <v>0</v>
      </c>
    </row>
    <row r="283" spans="1:9" x14ac:dyDescent="0.25">
      <c r="A283" s="53">
        <f>'A) Base RI'!A285</f>
        <v>5882</v>
      </c>
      <c r="B283" s="9" t="str">
        <f>'A) Base RI'!B285</f>
        <v>Chardonne</v>
      </c>
      <c r="C283" s="127">
        <f>'A) Base RI'!AN285</f>
        <v>2916</v>
      </c>
      <c r="D283" s="168">
        <f>'D) Ecrêtage'!N283</f>
        <v>51.813945876704572</v>
      </c>
      <c r="E283" s="37">
        <f t="shared" si="20"/>
        <v>0</v>
      </c>
      <c r="F283" s="171">
        <f t="shared" si="18"/>
        <v>0</v>
      </c>
      <c r="G283" s="152">
        <f>'A) Base RI'!AM285</f>
        <v>68</v>
      </c>
      <c r="H283" s="160">
        <f t="shared" si="19"/>
        <v>1.0065385703078915</v>
      </c>
      <c r="I283" s="175">
        <f t="shared" si="21"/>
        <v>0</v>
      </c>
    </row>
    <row r="284" spans="1:9" x14ac:dyDescent="0.25">
      <c r="A284" s="53">
        <f>'A) Base RI'!A286</f>
        <v>5883</v>
      </c>
      <c r="B284" s="9" t="str">
        <f>'A) Base RI'!B286</f>
        <v>Corseaux</v>
      </c>
      <c r="C284" s="127">
        <f>'A) Base RI'!AN286</f>
        <v>2212</v>
      </c>
      <c r="D284" s="168">
        <f>'D) Ecrêtage'!N284</f>
        <v>63.914856278605129</v>
      </c>
      <c r="E284" s="37">
        <f t="shared" si="20"/>
        <v>0</v>
      </c>
      <c r="F284" s="171">
        <f t="shared" si="18"/>
        <v>0</v>
      </c>
      <c r="G284" s="152">
        <f>'A) Base RI'!AM286</f>
        <v>64</v>
      </c>
      <c r="H284" s="160">
        <f t="shared" si="19"/>
        <v>0.94733041911330973</v>
      </c>
      <c r="I284" s="175">
        <f t="shared" si="21"/>
        <v>0</v>
      </c>
    </row>
    <row r="285" spans="1:9" x14ac:dyDescent="0.25">
      <c r="A285" s="53">
        <f>'A) Base RI'!A287</f>
        <v>5884</v>
      </c>
      <c r="B285" s="9" t="str">
        <f>'A) Base RI'!B287</f>
        <v>Corsier-sur-Vevey</v>
      </c>
      <c r="C285" s="127">
        <f>'A) Base RI'!AN287</f>
        <v>3403</v>
      </c>
      <c r="D285" s="168">
        <f>'D) Ecrêtage'!N285</f>
        <v>34.217049988572171</v>
      </c>
      <c r="E285" s="37">
        <f t="shared" si="20"/>
        <v>9.8780115980660312</v>
      </c>
      <c r="F285" s="171">
        <f t="shared" si="18"/>
        <v>599017.04520365736</v>
      </c>
      <c r="G285" s="152">
        <f>'A) Base RI'!AM287</f>
        <v>66</v>
      </c>
      <c r="H285" s="160">
        <f t="shared" si="19"/>
        <v>0.97693449471060068</v>
      </c>
      <c r="I285" s="175">
        <f t="shared" si="21"/>
        <v>585200.41437907203</v>
      </c>
    </row>
    <row r="286" spans="1:9" x14ac:dyDescent="0.25">
      <c r="A286" s="53">
        <f>'A) Base RI'!A288</f>
        <v>5885</v>
      </c>
      <c r="B286" s="9" t="str">
        <f>'A) Base RI'!B288</f>
        <v>Jongny</v>
      </c>
      <c r="C286" s="127">
        <f>'A) Base RI'!AN288</f>
        <v>1488</v>
      </c>
      <c r="D286" s="168">
        <f>'D) Ecrêtage'!N286</f>
        <v>55.002098809253376</v>
      </c>
      <c r="E286" s="37">
        <f t="shared" si="20"/>
        <v>0</v>
      </c>
      <c r="F286" s="171">
        <f t="shared" si="18"/>
        <v>0</v>
      </c>
      <c r="G286" s="152">
        <f>'A) Base RI'!AM288</f>
        <v>71</v>
      </c>
      <c r="H286" s="160">
        <f t="shared" si="19"/>
        <v>1.0509446837038279</v>
      </c>
      <c r="I286" s="175">
        <f t="shared" si="21"/>
        <v>0</v>
      </c>
    </row>
    <row r="287" spans="1:9" x14ac:dyDescent="0.25">
      <c r="A287" s="53">
        <f>'A) Base RI'!A289</f>
        <v>5886</v>
      </c>
      <c r="B287" s="9" t="str">
        <f>'A) Base RI'!B289</f>
        <v>Montreux</v>
      </c>
      <c r="C287" s="127">
        <f>'A) Base RI'!AN289</f>
        <v>26402</v>
      </c>
      <c r="D287" s="168">
        <f>'D) Ecrêtage'!N287</f>
        <v>44.513257249353686</v>
      </c>
      <c r="E287" s="37">
        <f t="shared" si="20"/>
        <v>0</v>
      </c>
      <c r="F287" s="171">
        <f t="shared" si="18"/>
        <v>0</v>
      </c>
      <c r="G287" s="152">
        <f>'A) Base RI'!AM289</f>
        <v>65</v>
      </c>
      <c r="H287" s="160">
        <f t="shared" si="19"/>
        <v>0.96213245691195515</v>
      </c>
      <c r="I287" s="175">
        <f t="shared" si="21"/>
        <v>0</v>
      </c>
    </row>
    <row r="288" spans="1:9" x14ac:dyDescent="0.25">
      <c r="A288" s="53">
        <f>'A) Base RI'!A290</f>
        <v>5888</v>
      </c>
      <c r="B288" s="9" t="str">
        <f>'A) Base RI'!B290</f>
        <v>Saint-Légier-La Chiésaz</v>
      </c>
      <c r="C288" s="127">
        <f>'A) Base RI'!AN290</f>
        <v>5130</v>
      </c>
      <c r="D288" s="168">
        <f>'D) Ecrêtage'!N288</f>
        <v>58.508967373699399</v>
      </c>
      <c r="E288" s="37">
        <f t="shared" si="20"/>
        <v>0</v>
      </c>
      <c r="F288" s="171">
        <f t="shared" si="18"/>
        <v>0</v>
      </c>
      <c r="G288" s="152">
        <f>'A) Base RI'!AM290</f>
        <v>67</v>
      </c>
      <c r="H288" s="160">
        <f t="shared" si="19"/>
        <v>0.99173653250924609</v>
      </c>
      <c r="I288" s="175">
        <f t="shared" si="21"/>
        <v>0</v>
      </c>
    </row>
    <row r="289" spans="1:9" x14ac:dyDescent="0.25">
      <c r="A289" s="53">
        <f>'A) Base RI'!A291</f>
        <v>5889</v>
      </c>
      <c r="B289" s="9" t="str">
        <f>'A) Base RI'!B291</f>
        <v>La Tour-de-Peilz</v>
      </c>
      <c r="C289" s="127">
        <f>'A) Base RI'!AN291</f>
        <v>11637</v>
      </c>
      <c r="D289" s="168">
        <f>'D) Ecrêtage'!N289</f>
        <v>53.158977880807626</v>
      </c>
      <c r="E289" s="37">
        <f t="shared" si="20"/>
        <v>0</v>
      </c>
      <c r="F289" s="171">
        <f t="shared" si="18"/>
        <v>0</v>
      </c>
      <c r="G289" s="152">
        <f>'A) Base RI'!AM291</f>
        <v>64</v>
      </c>
      <c r="H289" s="160">
        <f t="shared" si="19"/>
        <v>0.94733041911330973</v>
      </c>
      <c r="I289" s="175">
        <f t="shared" si="21"/>
        <v>0</v>
      </c>
    </row>
    <row r="290" spans="1:9" x14ac:dyDescent="0.25">
      <c r="A290" s="53">
        <f>'A) Base RI'!A292</f>
        <v>5890</v>
      </c>
      <c r="B290" s="9" t="str">
        <f>'A) Base RI'!B292</f>
        <v>Vevey</v>
      </c>
      <c r="C290" s="127">
        <f>'A) Base RI'!AN292</f>
        <v>19605</v>
      </c>
      <c r="D290" s="168">
        <f>'D) Ecrêtage'!N290</f>
        <v>46.376582945828517</v>
      </c>
      <c r="E290" s="37">
        <f t="shared" si="20"/>
        <v>0</v>
      </c>
      <c r="F290" s="171">
        <f t="shared" si="18"/>
        <v>0</v>
      </c>
      <c r="G290" s="152">
        <f>'A) Base RI'!AM292</f>
        <v>73</v>
      </c>
      <c r="H290" s="160">
        <f t="shared" si="19"/>
        <v>1.0805487593011189</v>
      </c>
      <c r="I290" s="175">
        <f t="shared" si="21"/>
        <v>0</v>
      </c>
    </row>
    <row r="291" spans="1:9" x14ac:dyDescent="0.25">
      <c r="A291" s="53">
        <f>'A) Base RI'!A293</f>
        <v>5891</v>
      </c>
      <c r="B291" s="9" t="str">
        <f>'A) Base RI'!B293</f>
        <v>Veytaux</v>
      </c>
      <c r="C291" s="127">
        <f>'A) Base RI'!AN293</f>
        <v>850</v>
      </c>
      <c r="D291" s="168">
        <f>'D) Ecrêtage'!N291</f>
        <v>46.482919806763284</v>
      </c>
      <c r="E291" s="37">
        <f t="shared" si="20"/>
        <v>0</v>
      </c>
      <c r="F291" s="171">
        <f t="shared" si="18"/>
        <v>0</v>
      </c>
      <c r="G291" s="152">
        <f>'A) Base RI'!AM293</f>
        <v>69</v>
      </c>
      <c r="H291" s="160">
        <f t="shared" si="19"/>
        <v>1.021340608106537</v>
      </c>
      <c r="I291" s="175">
        <f t="shared" si="21"/>
        <v>0</v>
      </c>
    </row>
    <row r="292" spans="1:9" x14ac:dyDescent="0.25">
      <c r="A292" s="53">
        <f>'A) Base RI'!A294</f>
        <v>5902</v>
      </c>
      <c r="B292" s="9" t="str">
        <f>'A) Base RI'!B294</f>
        <v>Belmont-sur-Yverdon</v>
      </c>
      <c r="C292" s="127">
        <f>'A) Base RI'!AN294</f>
        <v>368</v>
      </c>
      <c r="D292" s="168">
        <f>'D) Ecrêtage'!N292</f>
        <v>25.073763229405031</v>
      </c>
      <c r="E292" s="37">
        <f t="shared" si="20"/>
        <v>19.021298357233171</v>
      </c>
      <c r="F292" s="171">
        <f t="shared" si="18"/>
        <v>143636.67156287629</v>
      </c>
      <c r="G292" s="152">
        <f>'A) Base RI'!AM294</f>
        <v>76</v>
      </c>
      <c r="H292" s="160">
        <f t="shared" si="19"/>
        <v>1.1249548726970553</v>
      </c>
      <c r="I292" s="175">
        <f t="shared" si="21"/>
        <v>161584.77357264425</v>
      </c>
    </row>
    <row r="293" spans="1:9" x14ac:dyDescent="0.25">
      <c r="A293" s="53">
        <f>'A) Base RI'!A295</f>
        <v>5903</v>
      </c>
      <c r="B293" s="9" t="str">
        <f>'A) Base RI'!B295</f>
        <v>Bioley-Magnoux</v>
      </c>
      <c r="C293" s="127">
        <f>'A) Base RI'!AN295</f>
        <v>230</v>
      </c>
      <c r="D293" s="168">
        <f>'D) Ecrêtage'!N293</f>
        <v>25.886570253483299</v>
      </c>
      <c r="E293" s="37">
        <f t="shared" si="20"/>
        <v>18.208491333154903</v>
      </c>
      <c r="F293" s="171">
        <f t="shared" si="18"/>
        <v>83675.301072380054</v>
      </c>
      <c r="G293" s="152">
        <f>'A) Base RI'!AM295</f>
        <v>74</v>
      </c>
      <c r="H293" s="160">
        <f t="shared" si="19"/>
        <v>1.0953507970997642</v>
      </c>
      <c r="I293" s="175">
        <f t="shared" si="21"/>
        <v>91653.807727194246</v>
      </c>
    </row>
    <row r="294" spans="1:9" x14ac:dyDescent="0.25">
      <c r="A294" s="53">
        <f>'A) Base RI'!A296</f>
        <v>5904</v>
      </c>
      <c r="B294" s="9" t="str">
        <f>'A) Base RI'!B296</f>
        <v>Chamblon</v>
      </c>
      <c r="C294" s="127">
        <f>'A) Base RI'!AN296</f>
        <v>548</v>
      </c>
      <c r="D294" s="168">
        <f>'D) Ecrêtage'!N294</f>
        <v>41.813886584826371</v>
      </c>
      <c r="E294" s="37">
        <f t="shared" si="20"/>
        <v>2.2811750018118317</v>
      </c>
      <c r="F294" s="171">
        <f t="shared" si="18"/>
        <v>22276.495115693189</v>
      </c>
      <c r="G294" s="152">
        <f>'A) Base RI'!AM296</f>
        <v>66</v>
      </c>
      <c r="H294" s="160">
        <f t="shared" si="19"/>
        <v>0.97693449471060068</v>
      </c>
      <c r="I294" s="175">
        <f t="shared" si="21"/>
        <v>21762.67649977289</v>
      </c>
    </row>
    <row r="295" spans="1:9" x14ac:dyDescent="0.25">
      <c r="A295" s="53">
        <f>'A) Base RI'!A297</f>
        <v>5905</v>
      </c>
      <c r="B295" s="9" t="str">
        <f>'A) Base RI'!B297</f>
        <v>Champvent</v>
      </c>
      <c r="C295" s="127">
        <f>'A) Base RI'!AN297</f>
        <v>652</v>
      </c>
      <c r="D295" s="168">
        <f>'D) Ecrêtage'!N295</f>
        <v>32.268006350989374</v>
      </c>
      <c r="E295" s="37">
        <f t="shared" si="20"/>
        <v>11.827055235648828</v>
      </c>
      <c r="F295" s="171">
        <f t="shared" si="18"/>
        <v>147824.47106153701</v>
      </c>
      <c r="G295" s="152">
        <f>'A) Base RI'!AM297</f>
        <v>71</v>
      </c>
      <c r="H295" s="160">
        <f t="shared" si="19"/>
        <v>1.0509446837038279</v>
      </c>
      <c r="I295" s="175">
        <f t="shared" si="21"/>
        <v>155355.34198345267</v>
      </c>
    </row>
    <row r="296" spans="1:9" x14ac:dyDescent="0.25">
      <c r="A296" s="53">
        <f>'A) Base RI'!A298</f>
        <v>5907</v>
      </c>
      <c r="B296" s="9" t="str">
        <f>'A) Base RI'!B298</f>
        <v>Chavannes-le-Chêne</v>
      </c>
      <c r="C296" s="127">
        <f>'A) Base RI'!AN298</f>
        <v>300</v>
      </c>
      <c r="D296" s="168">
        <f>'D) Ecrêtage'!N296</f>
        <v>29.397855555555562</v>
      </c>
      <c r="E296" s="37">
        <f t="shared" si="20"/>
        <v>14.69720603108264</v>
      </c>
      <c r="F296" s="171">
        <f t="shared" si="18"/>
        <v>92856.947704380116</v>
      </c>
      <c r="G296" s="152">
        <f>'A) Base RI'!AM298</f>
        <v>78</v>
      </c>
      <c r="H296" s="160">
        <f t="shared" si="19"/>
        <v>1.1545589482943461</v>
      </c>
      <c r="I296" s="175">
        <f t="shared" si="21"/>
        <v>107208.81988339221</v>
      </c>
    </row>
    <row r="297" spans="1:9" x14ac:dyDescent="0.25">
      <c r="A297" s="53">
        <f>'A) Base RI'!A299</f>
        <v>5908</v>
      </c>
      <c r="B297" s="9" t="str">
        <f>'A) Base RI'!B299</f>
        <v>Chêne-Pâquier</v>
      </c>
      <c r="C297" s="127">
        <f>'A) Base RI'!AN299</f>
        <v>140</v>
      </c>
      <c r="D297" s="168">
        <f>'D) Ecrêtage'!N297</f>
        <v>20.822348101265824</v>
      </c>
      <c r="E297" s="37">
        <f t="shared" si="20"/>
        <v>23.272713485372378</v>
      </c>
      <c r="F297" s="171">
        <f t="shared" si="18"/>
        <v>69496.977010019007</v>
      </c>
      <c r="G297" s="152">
        <f>'A) Base RI'!AM299</f>
        <v>79</v>
      </c>
      <c r="H297" s="160">
        <f t="shared" si="19"/>
        <v>1.1693609860929917</v>
      </c>
      <c r="I297" s="175">
        <f t="shared" si="21"/>
        <v>81267.053566917792</v>
      </c>
    </row>
    <row r="298" spans="1:9" x14ac:dyDescent="0.25">
      <c r="A298" s="53">
        <f>'A) Base RI'!A300</f>
        <v>5909</v>
      </c>
      <c r="B298" s="9" t="str">
        <f>'A) Base RI'!B300</f>
        <v>Cheseaux-Noréaz</v>
      </c>
      <c r="C298" s="127">
        <f>'A) Base RI'!AN300</f>
        <v>670</v>
      </c>
      <c r="D298" s="168">
        <f>'D) Ecrêtage'!N298</f>
        <v>36.971807249466941</v>
      </c>
      <c r="E298" s="37">
        <f t="shared" si="20"/>
        <v>7.1232543371712609</v>
      </c>
      <c r="F298" s="171">
        <f t="shared" si="18"/>
        <v>90201.769671599686</v>
      </c>
      <c r="G298" s="152">
        <f>'A) Base RI'!AM300</f>
        <v>70</v>
      </c>
      <c r="H298" s="160">
        <f t="shared" si="19"/>
        <v>1.0361426459051826</v>
      </c>
      <c r="I298" s="175">
        <f t="shared" si="21"/>
        <v>93461.900292861144</v>
      </c>
    </row>
    <row r="299" spans="1:9" x14ac:dyDescent="0.25">
      <c r="A299" s="53">
        <f>'A) Base RI'!A301</f>
        <v>5910</v>
      </c>
      <c r="B299" s="9" t="str">
        <f>'A) Base RI'!B301</f>
        <v>Cronay</v>
      </c>
      <c r="C299" s="127">
        <f>'A) Base RI'!AN301</f>
        <v>380</v>
      </c>
      <c r="D299" s="168">
        <f>'D) Ecrêtage'!N299</f>
        <v>26.571757495003332</v>
      </c>
      <c r="E299" s="37">
        <f t="shared" si="20"/>
        <v>17.52330409163487</v>
      </c>
      <c r="F299" s="171">
        <f t="shared" si="18"/>
        <v>142033.3889843373</v>
      </c>
      <c r="G299" s="152">
        <f>'A) Base RI'!AM301</f>
        <v>79</v>
      </c>
      <c r="H299" s="160">
        <f t="shared" si="19"/>
        <v>1.1693609860929917</v>
      </c>
      <c r="I299" s="175">
        <f t="shared" si="21"/>
        <v>166088.30380085413</v>
      </c>
    </row>
    <row r="300" spans="1:9" x14ac:dyDescent="0.25">
      <c r="A300" s="53">
        <f>'A) Base RI'!A302</f>
        <v>5911</v>
      </c>
      <c r="B300" s="9" t="str">
        <f>'A) Base RI'!B302</f>
        <v>Cuarny</v>
      </c>
      <c r="C300" s="127">
        <f>'A) Base RI'!AN302</f>
        <v>237</v>
      </c>
      <c r="D300" s="168">
        <f>'D) Ecrêtage'!N300</f>
        <v>32.664883832719113</v>
      </c>
      <c r="E300" s="37">
        <f t="shared" si="20"/>
        <v>11.430177753919089</v>
      </c>
      <c r="F300" s="171">
        <f t="shared" si="18"/>
        <v>57781.948883389327</v>
      </c>
      <c r="G300" s="152">
        <f>'A) Base RI'!AM302</f>
        <v>79</v>
      </c>
      <c r="H300" s="160">
        <f t="shared" si="19"/>
        <v>1.1693609860929917</v>
      </c>
      <c r="I300" s="175">
        <f t="shared" si="21"/>
        <v>67567.956724654985</v>
      </c>
    </row>
    <row r="301" spans="1:9" x14ac:dyDescent="0.25">
      <c r="A301" s="53">
        <f>'A) Base RI'!A303</f>
        <v>5912</v>
      </c>
      <c r="B301" s="9" t="str">
        <f>'A) Base RI'!B303</f>
        <v>Démoret</v>
      </c>
      <c r="C301" s="127">
        <f>'A) Base RI'!AN303</f>
        <v>126</v>
      </c>
      <c r="D301" s="168">
        <f>'D) Ecrêtage'!N301</f>
        <v>21.919213207916915</v>
      </c>
      <c r="E301" s="37">
        <f t="shared" si="20"/>
        <v>22.175848378721287</v>
      </c>
      <c r="F301" s="171">
        <f t="shared" si="18"/>
        <v>61108.211309371967</v>
      </c>
      <c r="G301" s="152">
        <f>'A) Base RI'!AM303</f>
        <v>81</v>
      </c>
      <c r="H301" s="160">
        <f t="shared" si="19"/>
        <v>1.1989650616902825</v>
      </c>
      <c r="I301" s="175">
        <f t="shared" si="21"/>
        <v>73266.610342323984</v>
      </c>
    </row>
    <row r="302" spans="1:9" x14ac:dyDescent="0.25">
      <c r="A302" s="53">
        <f>'A) Base RI'!A304</f>
        <v>5913</v>
      </c>
      <c r="B302" s="9" t="str">
        <f>'A) Base RI'!B304</f>
        <v>Donneloye</v>
      </c>
      <c r="C302" s="127">
        <f>'A) Base RI'!AN304</f>
        <v>779</v>
      </c>
      <c r="D302" s="168">
        <f>'D) Ecrêtage'!N302</f>
        <v>26.988446199025795</v>
      </c>
      <c r="E302" s="37">
        <f t="shared" si="20"/>
        <v>17.106615387612408</v>
      </c>
      <c r="F302" s="171">
        <f t="shared" si="18"/>
        <v>262656.51225678582</v>
      </c>
      <c r="G302" s="152">
        <f>'A) Base RI'!AM304</f>
        <v>73</v>
      </c>
      <c r="H302" s="160">
        <f t="shared" si="19"/>
        <v>1.0805487593011189</v>
      </c>
      <c r="I302" s="175">
        <f t="shared" si="21"/>
        <v>283813.16844142904</v>
      </c>
    </row>
    <row r="303" spans="1:9" x14ac:dyDescent="0.25">
      <c r="A303" s="53">
        <f>'A) Base RI'!A305</f>
        <v>5914</v>
      </c>
      <c r="B303" s="9" t="str">
        <f>'A) Base RI'!B305</f>
        <v>Ependes</v>
      </c>
      <c r="C303" s="127">
        <f>'A) Base RI'!AN305</f>
        <v>350</v>
      </c>
      <c r="D303" s="168">
        <f>'D) Ecrêtage'!N303</f>
        <v>25.251604571428572</v>
      </c>
      <c r="E303" s="37">
        <f t="shared" si="20"/>
        <v>18.84345701520963</v>
      </c>
      <c r="F303" s="171">
        <f t="shared" si="18"/>
        <v>133553.00159529826</v>
      </c>
      <c r="G303" s="152">
        <f>'A) Base RI'!AM305</f>
        <v>75</v>
      </c>
      <c r="H303" s="160">
        <f t="shared" si="19"/>
        <v>1.1101528348984098</v>
      </c>
      <c r="I303" s="175">
        <f t="shared" si="21"/>
        <v>148264.24333021222</v>
      </c>
    </row>
    <row r="304" spans="1:9" x14ac:dyDescent="0.25">
      <c r="A304" s="53">
        <f>'A) Base RI'!A306</f>
        <v>5915</v>
      </c>
      <c r="B304" s="9" t="str">
        <f>'A) Base RI'!B306</f>
        <v>Essert-Pittet</v>
      </c>
      <c r="C304" s="127">
        <f>'A) Base RI'!AN306</f>
        <v>170</v>
      </c>
      <c r="D304" s="168">
        <f>'D) Ecrêtage'!N304</f>
        <v>22.70814089965398</v>
      </c>
      <c r="E304" s="37">
        <f t="shared" si="20"/>
        <v>21.386920686984222</v>
      </c>
      <c r="F304" s="171">
        <f t="shared" si="18"/>
        <v>73624.474464943181</v>
      </c>
      <c r="G304" s="152">
        <f>'A) Base RI'!AM306</f>
        <v>75</v>
      </c>
      <c r="H304" s="160">
        <f t="shared" si="19"/>
        <v>1.1101528348984098</v>
      </c>
      <c r="I304" s="175">
        <f t="shared" si="21"/>
        <v>81734.419045162256</v>
      </c>
    </row>
    <row r="305" spans="1:9" x14ac:dyDescent="0.25">
      <c r="A305" s="53">
        <f>'A) Base RI'!A307</f>
        <v>5919</v>
      </c>
      <c r="B305" s="9" t="str">
        <f>'A) Base RI'!B307</f>
        <v>Mathod</v>
      </c>
      <c r="C305" s="127">
        <f>'A) Base RI'!AN307</f>
        <v>614</v>
      </c>
      <c r="D305" s="168">
        <f>'D) Ecrêtage'!N305</f>
        <v>27.498173988320566</v>
      </c>
      <c r="E305" s="37">
        <f t="shared" si="20"/>
        <v>16.596887598317636</v>
      </c>
      <c r="F305" s="171">
        <f t="shared" si="18"/>
        <v>203605.96992763324</v>
      </c>
      <c r="G305" s="152">
        <f>'A) Base RI'!AM307</f>
        <v>74</v>
      </c>
      <c r="H305" s="160">
        <f t="shared" si="19"/>
        <v>1.0953507970997642</v>
      </c>
      <c r="I305" s="175">
        <f t="shared" si="21"/>
        <v>223019.9614545037</v>
      </c>
    </row>
    <row r="306" spans="1:9" x14ac:dyDescent="0.25">
      <c r="A306" s="53">
        <f>'A) Base RI'!A308</f>
        <v>5921</v>
      </c>
      <c r="B306" s="9" t="str">
        <f>'A) Base RI'!B308</f>
        <v>Molondin</v>
      </c>
      <c r="C306" s="127">
        <f>'A) Base RI'!AN308</f>
        <v>218</v>
      </c>
      <c r="D306" s="168">
        <f>'D) Ecrêtage'!N306</f>
        <v>25.31231226639483</v>
      </c>
      <c r="E306" s="37">
        <f t="shared" si="20"/>
        <v>18.782749320243372</v>
      </c>
      <c r="F306" s="171">
        <f t="shared" si="18"/>
        <v>89549.762624151525</v>
      </c>
      <c r="G306" s="152">
        <f>'A) Base RI'!AM308</f>
        <v>81</v>
      </c>
      <c r="H306" s="160">
        <f t="shared" si="19"/>
        <v>1.1989650616902825</v>
      </c>
      <c r="I306" s="175">
        <f t="shared" si="21"/>
        <v>107367.03666901599</v>
      </c>
    </row>
    <row r="307" spans="1:9" x14ac:dyDescent="0.25">
      <c r="A307" s="53">
        <f>'A) Base RI'!A309</f>
        <v>5922</v>
      </c>
      <c r="B307" s="9" t="str">
        <f>'A) Base RI'!B309</f>
        <v>Montagny-près-Yverdon</v>
      </c>
      <c r="C307" s="127">
        <f>'A) Base RI'!AN309</f>
        <v>733</v>
      </c>
      <c r="D307" s="168">
        <f>'D) Ecrêtage'!N307</f>
        <v>59.50727412216326</v>
      </c>
      <c r="E307" s="37">
        <f t="shared" si="20"/>
        <v>0</v>
      </c>
      <c r="F307" s="171">
        <f t="shared" si="18"/>
        <v>0</v>
      </c>
      <c r="G307" s="152">
        <f>'A) Base RI'!AM309</f>
        <v>61</v>
      </c>
      <c r="H307" s="160">
        <f t="shared" si="19"/>
        <v>0.90292430571737325</v>
      </c>
      <c r="I307" s="175">
        <f t="shared" si="21"/>
        <v>0</v>
      </c>
    </row>
    <row r="308" spans="1:9" x14ac:dyDescent="0.25">
      <c r="A308" s="53">
        <f>'A) Base RI'!A310</f>
        <v>5923</v>
      </c>
      <c r="B308" s="9" t="str">
        <f>'A) Base RI'!B310</f>
        <v>Oppens</v>
      </c>
      <c r="C308" s="127">
        <f>'A) Base RI'!AN310</f>
        <v>182</v>
      </c>
      <c r="D308" s="168">
        <f>'D) Ecrêtage'!N308</f>
        <v>26.81880206213539</v>
      </c>
      <c r="E308" s="37">
        <f t="shared" si="20"/>
        <v>17.276259524502812</v>
      </c>
      <c r="F308" s="171">
        <f t="shared" si="18"/>
        <v>68765.386835759535</v>
      </c>
      <c r="G308" s="152">
        <f>'A) Base RI'!AM310</f>
        <v>81</v>
      </c>
      <c r="H308" s="160">
        <f t="shared" si="19"/>
        <v>1.1989650616902825</v>
      </c>
      <c r="I308" s="175">
        <f t="shared" si="21"/>
        <v>82447.296269692568</v>
      </c>
    </row>
    <row r="309" spans="1:9" x14ac:dyDescent="0.25">
      <c r="A309" s="53">
        <f>'A) Base RI'!A311</f>
        <v>5924</v>
      </c>
      <c r="B309" s="9" t="str">
        <f>'A) Base RI'!B311</f>
        <v>Orges</v>
      </c>
      <c r="C309" s="127">
        <f>'A) Base RI'!AN311</f>
        <v>292</v>
      </c>
      <c r="D309" s="168">
        <f>'D) Ecrêtage'!N309</f>
        <v>32.453590336912256</v>
      </c>
      <c r="E309" s="37">
        <f t="shared" si="20"/>
        <v>11.641471249725946</v>
      </c>
      <c r="F309" s="171">
        <f t="shared" si="18"/>
        <v>67918.205906301126</v>
      </c>
      <c r="G309" s="152">
        <f>'A) Base RI'!AM311</f>
        <v>74</v>
      </c>
      <c r="H309" s="160">
        <f t="shared" si="19"/>
        <v>1.0953507970997642</v>
      </c>
      <c r="I309" s="175">
        <f t="shared" si="21"/>
        <v>74394.260977052851</v>
      </c>
    </row>
    <row r="310" spans="1:9" x14ac:dyDescent="0.25">
      <c r="A310" s="53">
        <f>'A) Base RI'!A312</f>
        <v>5925</v>
      </c>
      <c r="B310" s="9" t="str">
        <f>'A) Base RI'!B312</f>
        <v>Orzens</v>
      </c>
      <c r="C310" s="127">
        <f>'A) Base RI'!AN312</f>
        <v>200</v>
      </c>
      <c r="D310" s="168">
        <f>'D) Ecrêtage'!N310</f>
        <v>24.377213291139242</v>
      </c>
      <c r="E310" s="37">
        <f t="shared" si="20"/>
        <v>19.71784829549896</v>
      </c>
      <c r="F310" s="171">
        <f t="shared" si="18"/>
        <v>84116.340828598579</v>
      </c>
      <c r="G310" s="152">
        <f>'A) Base RI'!AM312</f>
        <v>79</v>
      </c>
      <c r="H310" s="160">
        <f t="shared" si="19"/>
        <v>1.1693609860929917</v>
      </c>
      <c r="I310" s="175">
        <f t="shared" si="21"/>
        <v>98362.367257864214</v>
      </c>
    </row>
    <row r="311" spans="1:9" x14ac:dyDescent="0.25">
      <c r="A311" s="53">
        <f>'A) Base RI'!A313</f>
        <v>5926</v>
      </c>
      <c r="B311" s="9" t="str">
        <f>'A) Base RI'!B313</f>
        <v>Pomy</v>
      </c>
      <c r="C311" s="127">
        <f>'A) Base RI'!AN313</f>
        <v>760</v>
      </c>
      <c r="D311" s="168">
        <f>'D) Ecrêtage'!N311</f>
        <v>29.966350815418828</v>
      </c>
      <c r="E311" s="37">
        <f t="shared" si="20"/>
        <v>14.128710771219374</v>
      </c>
      <c r="F311" s="171">
        <f t="shared" si="18"/>
        <v>205844.01296804933</v>
      </c>
      <c r="G311" s="152">
        <f>'A) Base RI'!AM313</f>
        <v>71</v>
      </c>
      <c r="H311" s="160">
        <f t="shared" si="19"/>
        <v>1.0509446837038279</v>
      </c>
      <c r="I311" s="175">
        <f t="shared" si="21"/>
        <v>216330.67110103325</v>
      </c>
    </row>
    <row r="312" spans="1:9" x14ac:dyDescent="0.25">
      <c r="A312" s="53">
        <f>'A) Base RI'!A314</f>
        <v>5928</v>
      </c>
      <c r="B312" s="9" t="str">
        <f>'A) Base RI'!B314</f>
        <v>Rovray</v>
      </c>
      <c r="C312" s="127">
        <f>'A) Base RI'!AN314</f>
        <v>172</v>
      </c>
      <c r="D312" s="168">
        <f>'D) Ecrêtage'!N312</f>
        <v>25.882140809174896</v>
      </c>
      <c r="E312" s="37">
        <f t="shared" si="20"/>
        <v>18.212920777463307</v>
      </c>
      <c r="F312" s="171">
        <f t="shared" si="18"/>
        <v>61743.986986093914</v>
      </c>
      <c r="G312" s="152">
        <f>'A) Base RI'!AM314</f>
        <v>73</v>
      </c>
      <c r="H312" s="160">
        <f t="shared" si="19"/>
        <v>1.0805487593011189</v>
      </c>
      <c r="I312" s="175">
        <f t="shared" si="21"/>
        <v>66717.388532128214</v>
      </c>
    </row>
    <row r="313" spans="1:9" x14ac:dyDescent="0.25">
      <c r="A313" s="53">
        <f>'A) Base RI'!A315</f>
        <v>5929</v>
      </c>
      <c r="B313" s="9" t="str">
        <f>'A) Base RI'!B315</f>
        <v>Suchy</v>
      </c>
      <c r="C313" s="127">
        <f>'A) Base RI'!AN315</f>
        <v>606</v>
      </c>
      <c r="D313" s="168">
        <f>'D) Ecrêtage'!N313</f>
        <v>27.36598750589345</v>
      </c>
      <c r="E313" s="37">
        <f t="shared" si="20"/>
        <v>16.729074080744752</v>
      </c>
      <c r="F313" s="171">
        <f t="shared" si="18"/>
        <v>191604.77707640195</v>
      </c>
      <c r="G313" s="152">
        <f>'A) Base RI'!AM315</f>
        <v>70</v>
      </c>
      <c r="H313" s="160">
        <f t="shared" si="19"/>
        <v>1.0361426459051826</v>
      </c>
      <c r="I313" s="175">
        <f t="shared" si="21"/>
        <v>198529.88068801578</v>
      </c>
    </row>
    <row r="314" spans="1:9" x14ac:dyDescent="0.25">
      <c r="A314" s="53">
        <f>'A) Base RI'!A316</f>
        <v>5930</v>
      </c>
      <c r="B314" s="9" t="str">
        <f>'A) Base RI'!B316</f>
        <v>Suscévaz</v>
      </c>
      <c r="C314" s="127">
        <f>'A) Base RI'!AN316</f>
        <v>202</v>
      </c>
      <c r="D314" s="168">
        <f>'D) Ecrêtage'!N314</f>
        <v>24.190707320732074</v>
      </c>
      <c r="E314" s="37">
        <f t="shared" si="20"/>
        <v>19.904354265906129</v>
      </c>
      <c r="F314" s="171">
        <f t="shared" si="18"/>
        <v>71648.509789726333</v>
      </c>
      <c r="G314" s="152">
        <f>'A) Base RI'!AM316</f>
        <v>66</v>
      </c>
      <c r="H314" s="160">
        <f t="shared" si="19"/>
        <v>0.97693449471060068</v>
      </c>
      <c r="I314" s="175">
        <f t="shared" si="21"/>
        <v>69995.900708193818</v>
      </c>
    </row>
    <row r="315" spans="1:9" x14ac:dyDescent="0.25">
      <c r="A315" s="53">
        <f>'A) Base RI'!A317</f>
        <v>5931</v>
      </c>
      <c r="B315" s="9" t="str">
        <f>'A) Base RI'!B317</f>
        <v>Treycovagnes</v>
      </c>
      <c r="C315" s="127">
        <f>'A) Base RI'!AN317</f>
        <v>446</v>
      </c>
      <c r="D315" s="168">
        <f>'D) Ecrêtage'!N315</f>
        <v>36.701287344942052</v>
      </c>
      <c r="E315" s="37">
        <f t="shared" si="20"/>
        <v>7.3937742416961498</v>
      </c>
      <c r="F315" s="171">
        <f t="shared" si="18"/>
        <v>68557.588652248887</v>
      </c>
      <c r="G315" s="152">
        <f>'A) Base RI'!AM317</f>
        <v>77</v>
      </c>
      <c r="H315" s="160">
        <f t="shared" si="19"/>
        <v>1.1397569104957008</v>
      </c>
      <c r="I315" s="175">
        <f t="shared" si="21"/>
        <v>78138.985433322305</v>
      </c>
    </row>
    <row r="316" spans="1:9" x14ac:dyDescent="0.25">
      <c r="A316" s="53">
        <f>'A) Base RI'!A318</f>
        <v>5932</v>
      </c>
      <c r="B316" s="9" t="str">
        <f>'A) Base RI'!B318</f>
        <v>Ursins</v>
      </c>
      <c r="C316" s="127">
        <f>'A) Base RI'!AN318</f>
        <v>210</v>
      </c>
      <c r="D316" s="168">
        <f>'D) Ecrêtage'!N316</f>
        <v>30.31558974358974</v>
      </c>
      <c r="E316" s="37">
        <f t="shared" si="20"/>
        <v>13.779471843048462</v>
      </c>
      <c r="F316" s="171">
        <f t="shared" si="18"/>
        <v>60941.092173066136</v>
      </c>
      <c r="G316" s="152">
        <f>'A) Base RI'!AM318</f>
        <v>78</v>
      </c>
      <c r="H316" s="160">
        <f t="shared" si="19"/>
        <v>1.1545589482943461</v>
      </c>
      <c r="I316" s="175">
        <f t="shared" si="21"/>
        <v>70360.083287244051</v>
      </c>
    </row>
    <row r="317" spans="1:9" x14ac:dyDescent="0.25">
      <c r="A317" s="53">
        <f>'A) Base RI'!A319</f>
        <v>5933</v>
      </c>
      <c r="B317" s="9" t="str">
        <f>'A) Base RI'!B319</f>
        <v>Valeyres-sous-Montagny</v>
      </c>
      <c r="C317" s="127">
        <f>'A) Base RI'!AN319</f>
        <v>689</v>
      </c>
      <c r="D317" s="168">
        <f>'D) Ecrêtage'!N317</f>
        <v>28.415765803902598</v>
      </c>
      <c r="E317" s="37">
        <f t="shared" si="20"/>
        <v>15.679295782735604</v>
      </c>
      <c r="F317" s="171">
        <f t="shared" si="18"/>
        <v>210010.99640128593</v>
      </c>
      <c r="G317" s="152">
        <f>'A) Base RI'!AM319</f>
        <v>72</v>
      </c>
      <c r="H317" s="160">
        <f t="shared" si="19"/>
        <v>1.0657467215024734</v>
      </c>
      <c r="I317" s="175">
        <f t="shared" si="21"/>
        <v>223818.53089413821</v>
      </c>
    </row>
    <row r="318" spans="1:9" x14ac:dyDescent="0.25">
      <c r="A318" s="53">
        <f>'A) Base RI'!A320</f>
        <v>5934</v>
      </c>
      <c r="B318" s="9" t="str">
        <f>'A) Base RI'!B320</f>
        <v>Valeyres-sous-Ursins</v>
      </c>
      <c r="C318" s="127">
        <f>'A) Base RI'!AN320</f>
        <v>247</v>
      </c>
      <c r="D318" s="168">
        <f>'D) Ecrêtage'!N318</f>
        <v>27.757377645672122</v>
      </c>
      <c r="E318" s="37">
        <f t="shared" si="20"/>
        <v>16.33768394096608</v>
      </c>
      <c r="F318" s="171">
        <f t="shared" si="18"/>
        <v>86075.251219819213</v>
      </c>
      <c r="G318" s="152">
        <f>'A) Base RI'!AM320</f>
        <v>79</v>
      </c>
      <c r="H318" s="160">
        <f t="shared" si="19"/>
        <v>1.1693609860929917</v>
      </c>
      <c r="I318" s="175">
        <f t="shared" si="21"/>
        <v>100653.04064460978</v>
      </c>
    </row>
    <row r="319" spans="1:9" x14ac:dyDescent="0.25">
      <c r="A319" s="53">
        <f>'A) Base RI'!A321</f>
        <v>5935</v>
      </c>
      <c r="B319" s="9" t="str">
        <f>'A) Base RI'!B321</f>
        <v>Villars-Epeney</v>
      </c>
      <c r="C319" s="127">
        <f>'A) Base RI'!AN321</f>
        <v>105</v>
      </c>
      <c r="D319" s="168">
        <f>'D) Ecrêtage'!N319</f>
        <v>40.501288888888894</v>
      </c>
      <c r="E319" s="37">
        <f t="shared" si="20"/>
        <v>3.5937726977493085</v>
      </c>
      <c r="F319" s="171">
        <f t="shared" si="18"/>
        <v>6113.007358871575</v>
      </c>
      <c r="G319" s="152">
        <f>'A) Base RI'!AM321</f>
        <v>60</v>
      </c>
      <c r="H319" s="160">
        <f t="shared" si="19"/>
        <v>0.88812226791872784</v>
      </c>
      <c r="I319" s="175">
        <f t="shared" si="21"/>
        <v>5429.0979593648954</v>
      </c>
    </row>
    <row r="320" spans="1:9" x14ac:dyDescent="0.25">
      <c r="A320" s="53">
        <f>'A) Base RI'!A322</f>
        <v>5937</v>
      </c>
      <c r="B320" s="9" t="str">
        <f>'A) Base RI'!B322</f>
        <v>Vugelles-La Mothe</v>
      </c>
      <c r="C320" s="127">
        <f>'A) Base RI'!AN322</f>
        <v>134</v>
      </c>
      <c r="D320" s="168">
        <f>'D) Ecrêtage'!N320</f>
        <v>16.962554827901307</v>
      </c>
      <c r="E320" s="37">
        <f t="shared" si="20"/>
        <v>27.132506758736895</v>
      </c>
      <c r="F320" s="171">
        <f t="shared" si="18"/>
        <v>68715.786617177073</v>
      </c>
      <c r="G320" s="152">
        <f>'A) Base RI'!AM322</f>
        <v>70</v>
      </c>
      <c r="H320" s="160">
        <f t="shared" si="19"/>
        <v>1.0361426459051826</v>
      </c>
      <c r="I320" s="175">
        <f t="shared" si="21"/>
        <v>71199.356960977791</v>
      </c>
    </row>
    <row r="321" spans="1:9" x14ac:dyDescent="0.25">
      <c r="A321" s="53">
        <f>'A) Base RI'!A323</f>
        <v>5938</v>
      </c>
      <c r="B321" s="9" t="str">
        <f>'A) Base RI'!B323</f>
        <v>Yverdon-les-Bains</v>
      </c>
      <c r="C321" s="127">
        <f>'A) Base RI'!AN323</f>
        <v>29570</v>
      </c>
      <c r="D321" s="168">
        <f>'D) Ecrêtage'!N321</f>
        <v>27.367095576907346</v>
      </c>
      <c r="E321" s="37">
        <f t="shared" si="20"/>
        <v>16.727966009730856</v>
      </c>
      <c r="F321" s="171">
        <f t="shared" si="18"/>
        <v>10216912.198619399</v>
      </c>
      <c r="G321" s="152">
        <f>'A) Base RI'!AM323</f>
        <v>76.5</v>
      </c>
      <c r="H321" s="160">
        <f t="shared" si="19"/>
        <v>1.1323558915963781</v>
      </c>
      <c r="I321" s="175">
        <f t="shared" si="21"/>
        <v>11569180.722029582</v>
      </c>
    </row>
    <row r="322" spans="1:9" x14ac:dyDescent="0.25">
      <c r="A322" s="55">
        <f>'A) Base RI'!A324</f>
        <v>5939</v>
      </c>
      <c r="B322" s="122" t="str">
        <f>'A) Base RI'!B324</f>
        <v>Yvonand</v>
      </c>
      <c r="C322" s="128">
        <f>'A) Base RI'!AN324</f>
        <v>3236</v>
      </c>
      <c r="D322" s="169">
        <f>'D) Ecrêtage'!N322</f>
        <v>27.274742833195052</v>
      </c>
      <c r="E322" s="163">
        <f t="shared" si="20"/>
        <v>16.82031875344315</v>
      </c>
      <c r="F322" s="171">
        <f t="shared" si="18"/>
        <v>1072826.1697918596</v>
      </c>
      <c r="G322" s="153">
        <f>'A) Base RI'!AM324</f>
        <v>73</v>
      </c>
      <c r="H322" s="164">
        <f t="shared" si="19"/>
        <v>1.0805487593011189</v>
      </c>
      <c r="I322" s="176">
        <f t="shared" si="21"/>
        <v>1159240.9867143654</v>
      </c>
    </row>
    <row r="323" spans="1:9" x14ac:dyDescent="0.25">
      <c r="A323" s="83"/>
      <c r="B323" s="68">
        <f>COUNTA(B5:B322)</f>
        <v>318</v>
      </c>
      <c r="C323" s="128">
        <f>SUM(C5:C322)</f>
        <v>778251</v>
      </c>
      <c r="D323" s="165">
        <f>'D) Ecrêtage'!N323</f>
        <v>44.095061586638202</v>
      </c>
      <c r="E323" s="166"/>
      <c r="F323" s="11">
        <f>SUM(F5:F322)</f>
        <v>94866155.506466344</v>
      </c>
      <c r="G323" s="187">
        <f>'B) D RI'!S325</f>
        <v>67.558265530946699</v>
      </c>
      <c r="H323" s="164">
        <f>G323/G$323</f>
        <v>1</v>
      </c>
      <c r="I323" s="40">
        <f>SUM(I5:I322)</f>
        <v>103077378.54377048</v>
      </c>
    </row>
  </sheetData>
  <mergeCells count="8">
    <mergeCell ref="A3:A4"/>
    <mergeCell ref="I3:I4"/>
    <mergeCell ref="H3:H4"/>
    <mergeCell ref="G3:G4"/>
    <mergeCell ref="F3:F4"/>
    <mergeCell ref="B3:B4"/>
    <mergeCell ref="C3:C4"/>
    <mergeCell ref="D3:D4"/>
  </mergeCells>
  <phoneticPr fontId="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353"/>
  <sheetViews>
    <sheetView workbookViewId="0"/>
  </sheetViews>
  <sheetFormatPr baseColWidth="10" defaultColWidth="11" defaultRowHeight="15" x14ac:dyDescent="0.25"/>
  <cols>
    <col min="1" max="1" width="9.375" style="14" customWidth="1"/>
    <col min="2" max="2" width="22.25" style="14" customWidth="1"/>
    <col min="3" max="3" width="13.375" style="14" customWidth="1"/>
    <col min="4" max="4" width="11.125" style="14" bestFit="1" customWidth="1"/>
    <col min="5" max="5" width="13" style="14" customWidth="1"/>
    <col min="6" max="7" width="12.375" style="14" customWidth="1"/>
    <col min="8" max="9" width="13" style="14" bestFit="1" customWidth="1"/>
    <col min="10" max="10" width="3.5" style="14" customWidth="1"/>
    <col min="11" max="16384" width="11" style="14"/>
  </cols>
  <sheetData>
    <row r="1" spans="1:9" ht="21" x14ac:dyDescent="0.25">
      <c r="A1" s="57" t="s">
        <v>371</v>
      </c>
      <c r="B1" s="45"/>
      <c r="C1" s="92"/>
      <c r="D1" s="92"/>
      <c r="E1" s="92"/>
      <c r="F1" s="92"/>
      <c r="G1" s="92"/>
      <c r="H1" s="92"/>
      <c r="I1" s="92"/>
    </row>
    <row r="3" spans="1:9" x14ac:dyDescent="0.25">
      <c r="A3" s="184" t="s">
        <v>51</v>
      </c>
      <c r="B3" s="185"/>
      <c r="C3" s="186" t="s">
        <v>517</v>
      </c>
      <c r="D3" s="186" t="s">
        <v>453</v>
      </c>
      <c r="E3" s="92"/>
      <c r="F3" s="92"/>
      <c r="G3" s="92"/>
      <c r="H3" s="92"/>
      <c r="I3" s="92"/>
    </row>
    <row r="4" spans="1:9" x14ac:dyDescent="0.25">
      <c r="A4" s="103" t="s">
        <v>118</v>
      </c>
      <c r="B4" s="104"/>
      <c r="C4" s="11">
        <f>E334</f>
        <v>636897464.51646113</v>
      </c>
      <c r="D4" s="38"/>
      <c r="E4" s="92"/>
      <c r="F4" s="92"/>
      <c r="G4" s="92"/>
      <c r="H4" s="92"/>
      <c r="I4" s="92"/>
    </row>
    <row r="5" spans="1:9" x14ac:dyDescent="0.25">
      <c r="A5" s="109" t="s">
        <v>480</v>
      </c>
      <c r="B5" s="48"/>
      <c r="C5" s="10">
        <v>0</v>
      </c>
      <c r="D5" s="36">
        <f>C5/$C$334</f>
        <v>0</v>
      </c>
      <c r="E5" s="92"/>
      <c r="F5" s="92"/>
      <c r="G5" s="92"/>
      <c r="H5" s="92"/>
      <c r="I5" s="92"/>
    </row>
    <row r="6" spans="1:9" x14ac:dyDescent="0.25">
      <c r="A6" s="109" t="s">
        <v>479</v>
      </c>
      <c r="B6" s="48"/>
      <c r="C6" s="10">
        <f>Paramètres!B32</f>
        <v>2629996</v>
      </c>
      <c r="D6" s="422">
        <f>C6/$C$334</f>
        <v>7.6638226670752832E-2</v>
      </c>
      <c r="E6" s="92"/>
      <c r="F6" s="92"/>
      <c r="G6" s="92"/>
      <c r="H6" s="92"/>
      <c r="I6" s="92"/>
    </row>
    <row r="7" spans="1:9" x14ac:dyDescent="0.25">
      <c r="A7" s="109" t="s">
        <v>119</v>
      </c>
      <c r="B7" s="48"/>
      <c r="C7" s="10">
        <f>'I) Dépenses thématiques'!O323</f>
        <v>-137268103.09945095</v>
      </c>
      <c r="D7" s="422">
        <f>C7/$C$334</f>
        <v>-3.9999999999999964</v>
      </c>
      <c r="E7" s="92"/>
      <c r="F7" s="92"/>
      <c r="G7" s="92"/>
      <c r="H7" s="92"/>
      <c r="I7" s="92"/>
    </row>
    <row r="8" spans="1:9" x14ac:dyDescent="0.25">
      <c r="A8" s="111" t="s">
        <v>318</v>
      </c>
      <c r="B8" s="170"/>
      <c r="C8" s="20">
        <f>Paramètres!B33</f>
        <v>-450000</v>
      </c>
      <c r="D8" s="422">
        <f>C8/$C$334</f>
        <v>-1.3113024507200305E-2</v>
      </c>
      <c r="E8" s="92"/>
      <c r="F8" s="92"/>
      <c r="G8" s="92"/>
      <c r="H8" s="92"/>
      <c r="I8" s="92"/>
    </row>
    <row r="9" spans="1:9" x14ac:dyDescent="0.25">
      <c r="A9" s="111" t="s">
        <v>401</v>
      </c>
      <c r="B9" s="170"/>
      <c r="C9" s="20">
        <f>SUM(C5:C8)</f>
        <v>-135088107.09945095</v>
      </c>
      <c r="D9" s="138">
        <f>SUM(D5:D8)</f>
        <v>-3.9364747978364441</v>
      </c>
      <c r="E9" s="92"/>
      <c r="F9" s="92"/>
      <c r="G9" s="92"/>
      <c r="H9" s="92"/>
      <c r="I9" s="92"/>
    </row>
    <row r="10" spans="1:9" x14ac:dyDescent="0.25">
      <c r="A10" s="103" t="s">
        <v>485</v>
      </c>
      <c r="B10" s="104"/>
      <c r="C10" s="20">
        <f>-SUM(C4:C8)</f>
        <v>-501809357.41701019</v>
      </c>
      <c r="D10" s="138">
        <f>C10/$C$334</f>
        <v>-14.622752003892648</v>
      </c>
      <c r="E10" s="92"/>
      <c r="F10" s="92"/>
      <c r="G10" s="92"/>
      <c r="H10" s="92"/>
      <c r="I10" s="92"/>
    </row>
    <row r="11" spans="1:9" x14ac:dyDescent="0.25">
      <c r="A11" s="103" t="s">
        <v>400</v>
      </c>
      <c r="B11" s="105"/>
      <c r="C11" s="20">
        <f>C9+C10</f>
        <v>-636897464.51646113</v>
      </c>
      <c r="D11" s="138">
        <f>D10+D9</f>
        <v>-18.559226801729093</v>
      </c>
      <c r="E11" s="92"/>
      <c r="F11" s="92"/>
      <c r="G11" s="92"/>
      <c r="H11" s="92"/>
      <c r="I11" s="92"/>
    </row>
    <row r="14" spans="1:9" ht="60" customHeight="1" x14ac:dyDescent="0.25">
      <c r="A14" s="551" t="s">
        <v>50</v>
      </c>
      <c r="B14" s="551" t="s">
        <v>120</v>
      </c>
      <c r="C14" s="551" t="s">
        <v>481</v>
      </c>
      <c r="D14" s="581" t="s">
        <v>347</v>
      </c>
      <c r="E14" s="78" t="s">
        <v>118</v>
      </c>
      <c r="F14" s="78" t="s">
        <v>399</v>
      </c>
      <c r="G14" s="78" t="s">
        <v>484</v>
      </c>
      <c r="H14" s="78" t="s">
        <v>339</v>
      </c>
      <c r="I14" s="78" t="s">
        <v>452</v>
      </c>
    </row>
    <row r="15" spans="1:9" x14ac:dyDescent="0.25">
      <c r="A15" s="555"/>
      <c r="B15" s="555"/>
      <c r="C15" s="552"/>
      <c r="D15" s="588"/>
      <c r="E15" s="411">
        <f>-D9+F15+G15</f>
        <v>18.559226801729078</v>
      </c>
      <c r="F15" s="180">
        <f>F334/C334</f>
        <v>11.619071579487244</v>
      </c>
      <c r="G15" s="180">
        <f>G334/C334</f>
        <v>3.0036804244053892</v>
      </c>
      <c r="H15" s="180"/>
      <c r="I15" s="180"/>
    </row>
    <row r="16" spans="1:9" x14ac:dyDescent="0.25">
      <c r="A16" s="49">
        <f>'A) Base RI'!A7</f>
        <v>5401</v>
      </c>
      <c r="B16" s="50" t="str">
        <f>'A) Base RI'!B7</f>
        <v>Aigle</v>
      </c>
      <c r="C16" s="94">
        <f>'D) Ecrêtage'!M5</f>
        <v>274204.16723456793</v>
      </c>
      <c r="D16" s="61">
        <f>'A) Base RI'!AN7</f>
        <v>9740</v>
      </c>
      <c r="E16" s="15">
        <f>C16*E$15</f>
        <v>5089017.3296855958</v>
      </c>
      <c r="F16" s="44">
        <f>'F) Population'!K8</f>
        <v>4760985.9154929575</v>
      </c>
      <c r="G16" s="10">
        <f>'G) Solidarité'!I5</f>
        <v>2827568.8392131184</v>
      </c>
      <c r="H16" s="15">
        <f>F16+G16</f>
        <v>7588554.7547060754</v>
      </c>
      <c r="I16" s="67">
        <f>E16-H16</f>
        <v>-2499537.4250204796</v>
      </c>
    </row>
    <row r="17" spans="1:9" x14ac:dyDescent="0.25">
      <c r="A17" s="53">
        <f>'A) Base RI'!A8</f>
        <v>5402</v>
      </c>
      <c r="B17" s="35" t="str">
        <f>'A) Base RI'!B8</f>
        <v>Bex</v>
      </c>
      <c r="C17" s="15">
        <f>'D) Ecrêtage'!M6</f>
        <v>168618.65154929578</v>
      </c>
      <c r="D17" s="10">
        <f>'A) Base RI'!AN8</f>
        <v>7424</v>
      </c>
      <c r="E17" s="15">
        <f>C17*E$15</f>
        <v>3129431.7971051065</v>
      </c>
      <c r="F17" s="44">
        <f>'F) Population'!K9</f>
        <v>3208563.38028169</v>
      </c>
      <c r="G17" s="10">
        <f>'G) Solidarité'!I6</f>
        <v>3198134.971564176</v>
      </c>
      <c r="H17" s="15">
        <f t="shared" ref="H17:H71" si="0">F17+G17</f>
        <v>6406698.3518458661</v>
      </c>
      <c r="I17" s="67">
        <f t="shared" ref="I17:I71" si="1">E17-H17</f>
        <v>-3277266.5547407595</v>
      </c>
    </row>
    <row r="18" spans="1:9" x14ac:dyDescent="0.25">
      <c r="A18" s="53">
        <f>'A) Base RI'!A9</f>
        <v>5403</v>
      </c>
      <c r="B18" s="35" t="str">
        <f>'A) Base RI'!B9</f>
        <v>Chessel</v>
      </c>
      <c r="C18" s="15">
        <f>'D) Ecrêtage'!M7</f>
        <v>8336.8572368421064</v>
      </c>
      <c r="D18" s="10">
        <f>'A) Base RI'!AN9</f>
        <v>395</v>
      </c>
      <c r="E18" s="15">
        <f t="shared" ref="E18:E80" si="2">C18*E$15</f>
        <v>154725.62427218904</v>
      </c>
      <c r="F18" s="44">
        <f>'F) Population'!K10</f>
        <v>38943.661971830981</v>
      </c>
      <c r="G18" s="10">
        <f>'G) Solidarité'!I7</f>
        <v>209619.36806270736</v>
      </c>
      <c r="H18" s="15">
        <f t="shared" si="0"/>
        <v>248563.03003453836</v>
      </c>
      <c r="I18" s="67">
        <f>E18-H18</f>
        <v>-93837.405762349314</v>
      </c>
    </row>
    <row r="19" spans="1:9" x14ac:dyDescent="0.25">
      <c r="A19" s="53">
        <f>'A) Base RI'!A10</f>
        <v>5404</v>
      </c>
      <c r="B19" s="35" t="str">
        <f>'A) Base RI'!B10</f>
        <v>Corbeyrier</v>
      </c>
      <c r="C19" s="15">
        <f>'D) Ecrêtage'!M8</f>
        <v>33526.758280623108</v>
      </c>
      <c r="D19" s="10">
        <f>'A) Base RI'!AN10</f>
        <v>440</v>
      </c>
      <c r="E19" s="15">
        <f t="shared" si="2"/>
        <v>622230.71085683268</v>
      </c>
      <c r="F19" s="44">
        <f>'F) Population'!K11</f>
        <v>43380.281690140844</v>
      </c>
      <c r="G19" s="10">
        <f>'G) Solidarité'!I8</f>
        <v>0</v>
      </c>
      <c r="H19" s="15">
        <f t="shared" si="0"/>
        <v>43380.281690140844</v>
      </c>
      <c r="I19" s="67">
        <f t="shared" si="1"/>
        <v>578850.42916669184</v>
      </c>
    </row>
    <row r="20" spans="1:9" x14ac:dyDescent="0.25">
      <c r="A20" s="53">
        <f>'A) Base RI'!A11</f>
        <v>5405</v>
      </c>
      <c r="B20" s="35" t="str">
        <f>'A) Base RI'!B11</f>
        <v>Gryon</v>
      </c>
      <c r="C20" s="15">
        <f>'D) Ecrêtage'!M9</f>
        <v>64864.951911111115</v>
      </c>
      <c r="D20" s="10">
        <f>'A) Base RI'!AN11</f>
        <v>1342</v>
      </c>
      <c r="E20" s="15">
        <f t="shared" si="2"/>
        <v>1203843.3540015612</v>
      </c>
      <c r="F20" s="44">
        <f>'F) Population'!K12</f>
        <v>216605.63380281691</v>
      </c>
      <c r="G20" s="10">
        <f>'G) Solidarité'!I9</f>
        <v>0</v>
      </c>
      <c r="H20" s="15">
        <f t="shared" si="0"/>
        <v>216605.63380281691</v>
      </c>
      <c r="I20" s="67">
        <f t="shared" si="1"/>
        <v>987237.72019874421</v>
      </c>
    </row>
    <row r="21" spans="1:9" x14ac:dyDescent="0.25">
      <c r="A21" s="53">
        <f>'A) Base RI'!A12</f>
        <v>5406</v>
      </c>
      <c r="B21" s="35" t="str">
        <f>'A) Base RI'!B12</f>
        <v>Lavey-Morcles</v>
      </c>
      <c r="C21" s="15">
        <f>'D) Ecrêtage'!M10</f>
        <v>20248.886901408452</v>
      </c>
      <c r="D21" s="10">
        <f>'A) Base RI'!AN12</f>
        <v>922</v>
      </c>
      <c r="E21" s="15">
        <f t="shared" si="2"/>
        <v>375803.68448580062</v>
      </c>
      <c r="F21" s="44">
        <f>'F) Population'!K13</f>
        <v>90901.408450704213</v>
      </c>
      <c r="G21" s="10">
        <f>'G) Solidarité'!I10</f>
        <v>411127.02425955608</v>
      </c>
      <c r="H21" s="15">
        <f t="shared" si="0"/>
        <v>502028.43271026027</v>
      </c>
      <c r="I21" s="67">
        <f t="shared" si="1"/>
        <v>-126224.74822445965</v>
      </c>
    </row>
    <row r="22" spans="1:9" x14ac:dyDescent="0.25">
      <c r="A22" s="53">
        <f>'A) Base RI'!A13</f>
        <v>5407</v>
      </c>
      <c r="B22" s="35" t="str">
        <f>'A) Base RI'!B13</f>
        <v>Leysin</v>
      </c>
      <c r="C22" s="15">
        <f>'D) Ecrêtage'!M11</f>
        <v>82610.97474358973</v>
      </c>
      <c r="D22" s="10">
        <f>'A) Base RI'!AN13</f>
        <v>4088</v>
      </c>
      <c r="E22" s="15">
        <f t="shared" si="2"/>
        <v>1533195.8165781945</v>
      </c>
      <c r="F22" s="44">
        <f>'F) Population'!K14</f>
        <v>1325070.4225352113</v>
      </c>
      <c r="G22" s="10">
        <f>'G) Solidarité'!I11</f>
        <v>2374352.0423979098</v>
      </c>
      <c r="H22" s="15">
        <f t="shared" si="0"/>
        <v>3699422.4649331211</v>
      </c>
      <c r="I22" s="67">
        <f t="shared" si="1"/>
        <v>-2166226.6483549266</v>
      </c>
    </row>
    <row r="23" spans="1:9" x14ac:dyDescent="0.25">
      <c r="A23" s="53">
        <f>'A) Base RI'!A14</f>
        <v>5408</v>
      </c>
      <c r="B23" s="35" t="str">
        <f>'A) Base RI'!B14</f>
        <v>Noville</v>
      </c>
      <c r="C23" s="15">
        <f>'D) Ecrêtage'!M12</f>
        <v>33419.560339702759</v>
      </c>
      <c r="D23" s="10">
        <f>'A) Base RI'!AN14</f>
        <v>1056</v>
      </c>
      <c r="E23" s="15">
        <f t="shared" si="2"/>
        <v>620241.19995861361</v>
      </c>
      <c r="F23" s="44">
        <f>'F) Population'!K15</f>
        <v>117915.49295774648</v>
      </c>
      <c r="G23" s="10">
        <f>'G) Solidarité'!I12</f>
        <v>323727.34473204671</v>
      </c>
      <c r="H23" s="15">
        <f t="shared" si="0"/>
        <v>441642.8376897932</v>
      </c>
      <c r="I23" s="67">
        <f t="shared" si="1"/>
        <v>178598.36226882041</v>
      </c>
    </row>
    <row r="24" spans="1:9" x14ac:dyDescent="0.25">
      <c r="A24" s="53">
        <f>'A) Base RI'!A15</f>
        <v>5409</v>
      </c>
      <c r="B24" s="35" t="str">
        <f>'A) Base RI'!B15</f>
        <v>Ollon</v>
      </c>
      <c r="C24" s="15">
        <f>'D) Ecrêtage'!M13</f>
        <v>366034.73937782802</v>
      </c>
      <c r="D24" s="10">
        <f>'A) Base RI'!AN15</f>
        <v>7473</v>
      </c>
      <c r="E24" s="15">
        <f t="shared" si="2"/>
        <v>6793321.7454249039</v>
      </c>
      <c r="F24" s="44">
        <f>'F) Population'!K16</f>
        <v>3237549.295774648</v>
      </c>
      <c r="G24" s="10">
        <f>'G) Solidarité'!I13</f>
        <v>0</v>
      </c>
      <c r="H24" s="15">
        <f t="shared" si="0"/>
        <v>3237549.295774648</v>
      </c>
      <c r="I24" s="67">
        <f t="shared" si="1"/>
        <v>3555772.449650256</v>
      </c>
    </row>
    <row r="25" spans="1:9" x14ac:dyDescent="0.25">
      <c r="A25" s="53">
        <f>'A) Base RI'!A16</f>
        <v>5410</v>
      </c>
      <c r="B25" s="35" t="str">
        <f>'A) Base RI'!B16</f>
        <v>Ormont-Dessous</v>
      </c>
      <c r="C25" s="15">
        <f>'D) Ecrêtage'!M14</f>
        <v>36452.210276008496</v>
      </c>
      <c r="D25" s="10">
        <f>'A) Base RI'!AN16</f>
        <v>1105</v>
      </c>
      <c r="E25" s="15">
        <f t="shared" si="2"/>
        <v>676524.83793676097</v>
      </c>
      <c r="F25" s="44">
        <f>'F) Population'!K17</f>
        <v>134823.94366197183</v>
      </c>
      <c r="G25" s="10">
        <f>'G) Solidarité'!I14</f>
        <v>302252.15316757862</v>
      </c>
      <c r="H25" s="15">
        <f t="shared" si="0"/>
        <v>437076.09682955046</v>
      </c>
      <c r="I25" s="67">
        <f t="shared" si="1"/>
        <v>239448.74110721052</v>
      </c>
    </row>
    <row r="26" spans="1:9" x14ac:dyDescent="0.25">
      <c r="A26" s="53">
        <f>'A) Base RI'!A17</f>
        <v>5411</v>
      </c>
      <c r="B26" s="35" t="str">
        <f>'A) Base RI'!B17</f>
        <v>Ormont-Dessus</v>
      </c>
      <c r="C26" s="15">
        <f>'D) Ecrêtage'!M15</f>
        <v>74047.924868421047</v>
      </c>
      <c r="D26" s="10">
        <f>'A) Base RI'!AN17</f>
        <v>1479</v>
      </c>
      <c r="E26" s="15">
        <f t="shared" si="2"/>
        <v>1374272.2318304211</v>
      </c>
      <c r="F26" s="44">
        <f>'F) Population'!K18</f>
        <v>263880.28169014084</v>
      </c>
      <c r="G26" s="10">
        <f>'G) Solidarité'!I15</f>
        <v>0</v>
      </c>
      <c r="H26" s="15">
        <f t="shared" si="0"/>
        <v>263880.28169014084</v>
      </c>
      <c r="I26" s="67">
        <f t="shared" si="1"/>
        <v>1110391.9501402802</v>
      </c>
    </row>
    <row r="27" spans="1:9" x14ac:dyDescent="0.25">
      <c r="A27" s="53">
        <f>'A) Base RI'!A18</f>
        <v>5412</v>
      </c>
      <c r="B27" s="35" t="str">
        <f>'A) Base RI'!B18</f>
        <v>Rennaz</v>
      </c>
      <c r="C27" s="15">
        <f>'D) Ecrêtage'!M16</f>
        <v>26224.228148148151</v>
      </c>
      <c r="D27" s="10">
        <f>'A) Base RI'!AN18</f>
        <v>843</v>
      </c>
      <c r="E27" s="15">
        <f t="shared" si="2"/>
        <v>486701.39790176926</v>
      </c>
      <c r="F27" s="44">
        <f>'F) Population'!K19</f>
        <v>83112.676056338023</v>
      </c>
      <c r="G27" s="10">
        <f>'G) Solidarité'!I16</f>
        <v>199353.55671723079</v>
      </c>
      <c r="H27" s="15">
        <f t="shared" si="0"/>
        <v>282466.23277356883</v>
      </c>
      <c r="I27" s="67">
        <f t="shared" si="1"/>
        <v>204235.16512820043</v>
      </c>
    </row>
    <row r="28" spans="1:9" x14ac:dyDescent="0.25">
      <c r="A28" s="53">
        <f>'A) Base RI'!A19</f>
        <v>5413</v>
      </c>
      <c r="B28" s="35" t="str">
        <f>'A) Base RI'!B19</f>
        <v>Roche</v>
      </c>
      <c r="C28" s="15">
        <f>'D) Ecrêtage'!M17</f>
        <v>38924.228382352943</v>
      </c>
      <c r="D28" s="10">
        <f>'A) Base RI'!AN19</f>
        <v>1597</v>
      </c>
      <c r="E28" s="15">
        <f t="shared" si="2"/>
        <v>722403.58263038844</v>
      </c>
      <c r="F28" s="44">
        <f>'F) Population'!K20</f>
        <v>304598.59154929576</v>
      </c>
      <c r="G28" s="10">
        <f>'G) Solidarité'!I17</f>
        <v>582039.92681275134</v>
      </c>
      <c r="H28" s="15">
        <f t="shared" si="0"/>
        <v>886638.51836204715</v>
      </c>
      <c r="I28" s="67">
        <f t="shared" si="1"/>
        <v>-164234.93573165871</v>
      </c>
    </row>
    <row r="29" spans="1:9" x14ac:dyDescent="0.25">
      <c r="A29" s="53">
        <f>'A) Base RI'!A20</f>
        <v>5414</v>
      </c>
      <c r="B29" s="35" t="str">
        <f>'A) Base RI'!B20</f>
        <v>Villeneuve</v>
      </c>
      <c r="C29" s="15">
        <f>'D) Ecrêtage'!M18</f>
        <v>159863.47130434786</v>
      </c>
      <c r="D29" s="10">
        <f>'A) Base RI'!AN20</f>
        <v>5457</v>
      </c>
      <c r="E29" s="15">
        <f t="shared" si="2"/>
        <v>2966942.4212491</v>
      </c>
      <c r="F29" s="44">
        <f>'F) Population'!K21</f>
        <v>2044985.9154929577</v>
      </c>
      <c r="G29" s="10">
        <f>'G) Solidarité'!I18</f>
        <v>1536729.4058703426</v>
      </c>
      <c r="H29" s="15">
        <f t="shared" si="0"/>
        <v>3581715.3213633001</v>
      </c>
      <c r="I29" s="67">
        <f t="shared" si="1"/>
        <v>-614772.90011420008</v>
      </c>
    </row>
    <row r="30" spans="1:9" x14ac:dyDescent="0.25">
      <c r="A30" s="53">
        <f>'A) Base RI'!A21</f>
        <v>5415</v>
      </c>
      <c r="B30" s="35" t="str">
        <f>'A) Base RI'!B21</f>
        <v>Yvorne</v>
      </c>
      <c r="C30" s="15">
        <f>'D) Ecrêtage'!M19</f>
        <v>35726.744476885644</v>
      </c>
      <c r="D30" s="10">
        <f>'A) Base RI'!AN21</f>
        <v>1061</v>
      </c>
      <c r="E30" s="15">
        <f t="shared" si="2"/>
        <v>663060.75363394234</v>
      </c>
      <c r="F30" s="44">
        <f>'F) Population'!K22</f>
        <v>119640.84507042254</v>
      </c>
      <c r="G30" s="10">
        <f>'G) Solidarité'!I19</f>
        <v>207370.77568647623</v>
      </c>
      <c r="H30" s="15">
        <f t="shared" si="0"/>
        <v>327011.62075689877</v>
      </c>
      <c r="I30" s="67">
        <f t="shared" si="1"/>
        <v>336049.13287704356</v>
      </c>
    </row>
    <row r="31" spans="1:9" x14ac:dyDescent="0.25">
      <c r="A31" s="53">
        <f>'A) Base RI'!A22</f>
        <v>5421</v>
      </c>
      <c r="B31" s="35" t="str">
        <f>'A) Base RI'!B22</f>
        <v>Apples</v>
      </c>
      <c r="C31" s="15">
        <f>'D) Ecrêtage'!M20</f>
        <v>59005.563421052633</v>
      </c>
      <c r="D31" s="10">
        <f>'A) Base RI'!AN22</f>
        <v>1412</v>
      </c>
      <c r="E31" s="15">
        <f t="shared" si="2"/>
        <v>1095097.6340951249</v>
      </c>
      <c r="F31" s="44">
        <f>'F) Population'!K23</f>
        <v>240760.56338028167</v>
      </c>
      <c r="G31" s="10">
        <f>'G) Solidarité'!I20</f>
        <v>75177.062093938148</v>
      </c>
      <c r="H31" s="15">
        <f t="shared" si="0"/>
        <v>315937.62547421979</v>
      </c>
      <c r="I31" s="67">
        <f t="shared" si="1"/>
        <v>779160.00862090511</v>
      </c>
    </row>
    <row r="32" spans="1:9" x14ac:dyDescent="0.25">
      <c r="A32" s="53">
        <f>'A) Base RI'!A23</f>
        <v>5422</v>
      </c>
      <c r="B32" s="35" t="str">
        <f>'A) Base RI'!B23</f>
        <v>Aubonne</v>
      </c>
      <c r="C32" s="15">
        <f>'D) Ecrêtage'!M21</f>
        <v>206220.17598069846</v>
      </c>
      <c r="D32" s="10">
        <f>'A) Base RI'!AN23</f>
        <v>3272</v>
      </c>
      <c r="E32" s="15">
        <f t="shared" si="2"/>
        <v>3827287.0171182659</v>
      </c>
      <c r="F32" s="44">
        <f>'F) Population'!K24</f>
        <v>922816.90140845068</v>
      </c>
      <c r="G32" s="10">
        <f>'G) Solidarité'!I21</f>
        <v>0</v>
      </c>
      <c r="H32" s="15">
        <f t="shared" si="0"/>
        <v>922816.90140845068</v>
      </c>
      <c r="I32" s="67">
        <f t="shared" si="1"/>
        <v>2904470.1157098152</v>
      </c>
    </row>
    <row r="33" spans="1:9" x14ac:dyDescent="0.25">
      <c r="A33" s="53">
        <f>'A) Base RI'!A24</f>
        <v>5423</v>
      </c>
      <c r="B33" s="35" t="str">
        <f>'A) Base RI'!B24</f>
        <v>Ballens</v>
      </c>
      <c r="C33" s="15">
        <f>'D) Ecrêtage'!M22</f>
        <v>15358.055362318841</v>
      </c>
      <c r="D33" s="10">
        <f>'A) Base RI'!AN24</f>
        <v>508</v>
      </c>
      <c r="E33" s="15">
        <f t="shared" si="2"/>
        <v>285033.63270278682</v>
      </c>
      <c r="F33" s="44">
        <f>'F) Population'!K25</f>
        <v>50084.507042253521</v>
      </c>
      <c r="G33" s="10">
        <f>'G) Solidarité'!I22</f>
        <v>133996.67593128714</v>
      </c>
      <c r="H33" s="15">
        <f t="shared" si="0"/>
        <v>184081.18297354068</v>
      </c>
      <c r="I33" s="67">
        <f t="shared" si="1"/>
        <v>100952.44972924615</v>
      </c>
    </row>
    <row r="34" spans="1:9" x14ac:dyDescent="0.25">
      <c r="A34" s="53">
        <f>'A) Base RI'!A25</f>
        <v>5424</v>
      </c>
      <c r="B34" s="35" t="str">
        <f>'A) Base RI'!B25</f>
        <v>Berolle</v>
      </c>
      <c r="C34" s="15">
        <f>'D) Ecrêtage'!M23</f>
        <v>9058.2428571428572</v>
      </c>
      <c r="D34" s="10">
        <f>'A) Base RI'!AN25</f>
        <v>301</v>
      </c>
      <c r="E34" s="15">
        <f t="shared" si="2"/>
        <v>168113.9836108567</v>
      </c>
      <c r="F34" s="44">
        <f>'F) Population'!K26</f>
        <v>29676.056338028167</v>
      </c>
      <c r="G34" s="10">
        <f>'G) Solidarité'!I23</f>
        <v>99861.815032399798</v>
      </c>
      <c r="H34" s="15">
        <f t="shared" si="0"/>
        <v>129537.87137042797</v>
      </c>
      <c r="I34" s="67">
        <f t="shared" si="1"/>
        <v>38576.112240428731</v>
      </c>
    </row>
    <row r="35" spans="1:9" x14ac:dyDescent="0.25">
      <c r="A35" s="53">
        <f>'A) Base RI'!A26</f>
        <v>5425</v>
      </c>
      <c r="B35" s="35" t="str">
        <f>'A) Base RI'!B26</f>
        <v>Bière</v>
      </c>
      <c r="C35" s="15">
        <f>'D) Ecrêtage'!M24</f>
        <v>39413.041470588236</v>
      </c>
      <c r="D35" s="10">
        <f>'A) Base RI'!AN26</f>
        <v>1546</v>
      </c>
      <c r="E35" s="15">
        <f t="shared" si="2"/>
        <v>731475.57559860079</v>
      </c>
      <c r="F35" s="44">
        <f>'F) Population'!K27</f>
        <v>287000</v>
      </c>
      <c r="G35" s="10">
        <f>'G) Solidarité'!I24</f>
        <v>531447.81547726539</v>
      </c>
      <c r="H35" s="15">
        <f t="shared" si="0"/>
        <v>818447.81547726539</v>
      </c>
      <c r="I35" s="67">
        <f t="shared" si="1"/>
        <v>-86972.239878664608</v>
      </c>
    </row>
    <row r="36" spans="1:9" x14ac:dyDescent="0.25">
      <c r="A36" s="53">
        <f>'A) Base RI'!A27</f>
        <v>5426</v>
      </c>
      <c r="B36" s="35" t="str">
        <f>'A) Base RI'!B27</f>
        <v>Bougy-Villars</v>
      </c>
      <c r="C36" s="15">
        <f>'D) Ecrêtage'!M25</f>
        <v>35690.328405985179</v>
      </c>
      <c r="D36" s="10">
        <f>'A) Base RI'!AN27</f>
        <v>467</v>
      </c>
      <c r="E36" s="15">
        <f t="shared" si="2"/>
        <v>662384.89951487281</v>
      </c>
      <c r="F36" s="44">
        <f>'F) Population'!K28</f>
        <v>46042.25352112676</v>
      </c>
      <c r="G36" s="10">
        <f>'G) Solidarité'!I25</f>
        <v>0</v>
      </c>
      <c r="H36" s="15">
        <f t="shared" si="0"/>
        <v>46042.25352112676</v>
      </c>
      <c r="I36" s="67">
        <f t="shared" si="1"/>
        <v>616342.645993746</v>
      </c>
    </row>
    <row r="37" spans="1:9" x14ac:dyDescent="0.25">
      <c r="A37" s="53">
        <f>'A) Base RI'!A28</f>
        <v>5427</v>
      </c>
      <c r="B37" s="35" t="str">
        <f>'A) Base RI'!B28</f>
        <v>Féchy</v>
      </c>
      <c r="C37" s="15">
        <f>'D) Ecrêtage'!M26</f>
        <v>61273.790417776101</v>
      </c>
      <c r="D37" s="10">
        <f>'A) Base RI'!AN28</f>
        <v>887</v>
      </c>
      <c r="E37" s="15">
        <f t="shared" si="2"/>
        <v>1137194.1733651205</v>
      </c>
      <c r="F37" s="44">
        <f>'F) Population'!K29</f>
        <v>87450.704225352107</v>
      </c>
      <c r="G37" s="10">
        <f>'G) Solidarité'!I26</f>
        <v>0</v>
      </c>
      <c r="H37" s="15">
        <f t="shared" si="0"/>
        <v>87450.704225352107</v>
      </c>
      <c r="I37" s="67">
        <f t="shared" si="1"/>
        <v>1049743.4691397685</v>
      </c>
    </row>
    <row r="38" spans="1:9" x14ac:dyDescent="0.25">
      <c r="A38" s="53">
        <f>'A) Base RI'!A29</f>
        <v>5428</v>
      </c>
      <c r="B38" s="35" t="str">
        <f>'A) Base RI'!B29</f>
        <v>Gimel</v>
      </c>
      <c r="C38" s="15">
        <f>'D) Ecrêtage'!M27</f>
        <v>58004.622727272719</v>
      </c>
      <c r="D38" s="10">
        <f>'A) Base RI'!AN29</f>
        <v>1948</v>
      </c>
      <c r="E38" s="15">
        <f t="shared" si="2"/>
        <v>1076520.9487441834</v>
      </c>
      <c r="F38" s="44">
        <f>'F) Population'!K30</f>
        <v>425718.30985915492</v>
      </c>
      <c r="G38" s="10">
        <f>'G) Solidarité'!I27</f>
        <v>569882.98404055834</v>
      </c>
      <c r="H38" s="15">
        <f t="shared" si="0"/>
        <v>995601.29389971332</v>
      </c>
      <c r="I38" s="67">
        <f t="shared" si="1"/>
        <v>80919.654844470089</v>
      </c>
    </row>
    <row r="39" spans="1:9" x14ac:dyDescent="0.25">
      <c r="A39" s="53">
        <f>'A) Base RI'!A30</f>
        <v>5429</v>
      </c>
      <c r="B39" s="35" t="str">
        <f>'A) Base RI'!B30</f>
        <v>Longirod</v>
      </c>
      <c r="C39" s="15">
        <f>'D) Ecrêtage'!M28</f>
        <v>12171.349506172839</v>
      </c>
      <c r="D39" s="10">
        <f>'A) Base RI'!AN30</f>
        <v>460</v>
      </c>
      <c r="E39" s="15">
        <f t="shared" si="2"/>
        <v>225890.83596817494</v>
      </c>
      <c r="F39" s="44">
        <f>'F) Population'!K31</f>
        <v>45352.112676056335</v>
      </c>
      <c r="G39" s="10">
        <f>'G) Solidarité'!I28</f>
        <v>212717.65344838233</v>
      </c>
      <c r="H39" s="15">
        <f t="shared" si="0"/>
        <v>258069.76612443867</v>
      </c>
      <c r="I39" s="67">
        <f t="shared" si="1"/>
        <v>-32178.930156263727</v>
      </c>
    </row>
    <row r="40" spans="1:9" x14ac:dyDescent="0.25">
      <c r="A40" s="53">
        <f>'A) Base RI'!A31</f>
        <v>5430</v>
      </c>
      <c r="B40" s="35" t="str">
        <f>'A) Base RI'!B31</f>
        <v>Marchissy</v>
      </c>
      <c r="C40" s="15">
        <f>'D) Ecrêtage'!M29</f>
        <v>10573.165189873416</v>
      </c>
      <c r="D40" s="10">
        <f>'A) Base RI'!AN31</f>
        <v>430</v>
      </c>
      <c r="E40" s="15">
        <f t="shared" si="2"/>
        <v>196229.77077100764</v>
      </c>
      <c r="F40" s="44">
        <f>'F) Population'!K32</f>
        <v>42394.366197183095</v>
      </c>
      <c r="G40" s="10">
        <f>'G) Solidarité'!I29</f>
        <v>209210.23588117585</v>
      </c>
      <c r="H40" s="15">
        <f t="shared" si="0"/>
        <v>251604.60207835893</v>
      </c>
      <c r="I40" s="67">
        <f t="shared" si="1"/>
        <v>-55374.831307351298</v>
      </c>
    </row>
    <row r="41" spans="1:9" x14ac:dyDescent="0.25">
      <c r="A41" s="53">
        <f>'A) Base RI'!A32</f>
        <v>5431</v>
      </c>
      <c r="B41" s="35" t="str">
        <f>'A) Base RI'!B32</f>
        <v>Mollens</v>
      </c>
      <c r="C41" s="15">
        <f>'D) Ecrêtage'!M30</f>
        <v>11206.031081081082</v>
      </c>
      <c r="D41" s="10">
        <f>'A) Base RI'!AN32</f>
        <v>295</v>
      </c>
      <c r="E41" s="15">
        <f t="shared" si="2"/>
        <v>207975.2723810091</v>
      </c>
      <c r="F41" s="44">
        <f>'F) Population'!K33</f>
        <v>29084.507042253517</v>
      </c>
      <c r="G41" s="10">
        <f>'G) Solidarité'!I30</f>
        <v>39437.23080956038</v>
      </c>
      <c r="H41" s="15">
        <f t="shared" si="0"/>
        <v>68521.737851813901</v>
      </c>
      <c r="I41" s="67">
        <f t="shared" si="1"/>
        <v>139453.5345291952</v>
      </c>
    </row>
    <row r="42" spans="1:9" x14ac:dyDescent="0.25">
      <c r="A42" s="53">
        <f>'A) Base RI'!A33</f>
        <v>5432</v>
      </c>
      <c r="B42" s="35" t="str">
        <f>'A) Base RI'!B33</f>
        <v>Montherod</v>
      </c>
      <c r="C42" s="15">
        <f>'D) Ecrêtage'!M31</f>
        <v>17725.419230769232</v>
      </c>
      <c r="D42" s="10">
        <f>'A) Base RI'!AN33</f>
        <v>522</v>
      </c>
      <c r="E42" s="15">
        <f t="shared" si="2"/>
        <v>328970.07565957634</v>
      </c>
      <c r="F42" s="44">
        <f>'F) Population'!K34</f>
        <v>51464.788732394365</v>
      </c>
      <c r="G42" s="10">
        <f>'G) Solidarité'!I31</f>
        <v>128679.9745393738</v>
      </c>
      <c r="H42" s="15">
        <f t="shared" si="0"/>
        <v>180144.76327176817</v>
      </c>
      <c r="I42" s="67">
        <f t="shared" si="1"/>
        <v>148825.31238780817</v>
      </c>
    </row>
    <row r="43" spans="1:9" x14ac:dyDescent="0.25">
      <c r="A43" s="53">
        <f>'A) Base RI'!A34</f>
        <v>5434</v>
      </c>
      <c r="B43" s="35" t="str">
        <f>'A) Base RI'!B34</f>
        <v>Saint-George</v>
      </c>
      <c r="C43" s="15">
        <f>'D) Ecrêtage'!M32</f>
        <v>35895.731094890507</v>
      </c>
      <c r="D43" s="10">
        <f>'A) Base RI'!AN34</f>
        <v>991</v>
      </c>
      <c r="E43" s="15">
        <f t="shared" si="2"/>
        <v>666197.01460395183</v>
      </c>
      <c r="F43" s="44">
        <f>'F) Population'!K35</f>
        <v>97704.225352112669</v>
      </c>
      <c r="G43" s="10">
        <f>'G) Solidarité'!I32</f>
        <v>146318.35111740863</v>
      </c>
      <c r="H43" s="15">
        <f t="shared" si="0"/>
        <v>244022.5764695213</v>
      </c>
      <c r="I43" s="67">
        <f t="shared" si="1"/>
        <v>422174.43813443056</v>
      </c>
    </row>
    <row r="44" spans="1:9" x14ac:dyDescent="0.25">
      <c r="A44" s="53">
        <f>'A) Base RI'!A35</f>
        <v>5435</v>
      </c>
      <c r="B44" s="35" t="str">
        <f>'A) Base RI'!B35</f>
        <v>Saint-Livres</v>
      </c>
      <c r="C44" s="15">
        <f>'D) Ecrêtage'!M33</f>
        <v>22398.12956521739</v>
      </c>
      <c r="D44" s="10">
        <f>'A) Base RI'!AN35</f>
        <v>689</v>
      </c>
      <c r="E44" s="15">
        <f t="shared" si="2"/>
        <v>415691.96653538308</v>
      </c>
      <c r="F44" s="44">
        <f>'F) Population'!K36</f>
        <v>67929.57746478873</v>
      </c>
      <c r="G44" s="10">
        <f>'G) Solidarité'!I33</f>
        <v>151904.1350839092</v>
      </c>
      <c r="H44" s="15">
        <f t="shared" si="0"/>
        <v>219833.71254869795</v>
      </c>
      <c r="I44" s="67">
        <f t="shared" si="1"/>
        <v>195858.25398668513</v>
      </c>
    </row>
    <row r="45" spans="1:9" x14ac:dyDescent="0.25">
      <c r="A45" s="53">
        <f>'A) Base RI'!A36</f>
        <v>5436</v>
      </c>
      <c r="B45" s="35" t="str">
        <f>'A) Base RI'!B36</f>
        <v>Saint-Oyens</v>
      </c>
      <c r="C45" s="15">
        <f>'D) Ecrêtage'!M34</f>
        <v>10474.604814814815</v>
      </c>
      <c r="D45" s="10">
        <f>'A) Base RI'!AN36</f>
        <v>350</v>
      </c>
      <c r="E45" s="15">
        <f t="shared" si="2"/>
        <v>194400.56641663157</v>
      </c>
      <c r="F45" s="44">
        <f>'F) Population'!K37</f>
        <v>34507.042253521126</v>
      </c>
      <c r="G45" s="10">
        <f>'G) Solidarité'!I34</f>
        <v>130023.01497490203</v>
      </c>
      <c r="H45" s="15">
        <f t="shared" si="0"/>
        <v>164530.05722842316</v>
      </c>
      <c r="I45" s="67">
        <f t="shared" si="1"/>
        <v>29870.509188208409</v>
      </c>
    </row>
    <row r="46" spans="1:9" x14ac:dyDescent="0.25">
      <c r="A46" s="53">
        <f>'A) Base RI'!A37</f>
        <v>5437</v>
      </c>
      <c r="B46" s="35" t="str">
        <f>'A) Base RI'!B37</f>
        <v>Saubraz</v>
      </c>
      <c r="C46" s="15">
        <f>'D) Ecrêtage'!M35</f>
        <v>10138.793125</v>
      </c>
      <c r="D46" s="10">
        <f>'A) Base RI'!AN37</f>
        <v>420</v>
      </c>
      <c r="E46" s="15">
        <f t="shared" si="2"/>
        <v>188168.16110268651</v>
      </c>
      <c r="F46" s="44">
        <f>'F) Population'!K38</f>
        <v>41408.450704225346</v>
      </c>
      <c r="G46" s="10">
        <f>'G) Solidarité'!I35</f>
        <v>214371.9537986723</v>
      </c>
      <c r="H46" s="15">
        <f t="shared" si="0"/>
        <v>255780.40450289764</v>
      </c>
      <c r="I46" s="67">
        <f t="shared" si="1"/>
        <v>-67612.243400211126</v>
      </c>
    </row>
    <row r="47" spans="1:9" x14ac:dyDescent="0.25">
      <c r="A47" s="53">
        <f>'A) Base RI'!A38</f>
        <v>5451</v>
      </c>
      <c r="B47" s="35" t="str">
        <f>'A) Base RI'!B38</f>
        <v>Avenches</v>
      </c>
      <c r="C47" s="15">
        <f>'D) Ecrêtage'!M36</f>
        <v>109207.82382352941</v>
      </c>
      <c r="D47" s="10">
        <f>'A) Base RI'!AN38</f>
        <v>4129</v>
      </c>
      <c r="E47" s="15">
        <f t="shared" si="2"/>
        <v>2026812.7708641544</v>
      </c>
      <c r="F47" s="44">
        <f>'F) Population'!K39</f>
        <v>1345281.690140845</v>
      </c>
      <c r="G47" s="10">
        <f>'G) Solidarité'!I36</f>
        <v>1346468.9757472386</v>
      </c>
      <c r="H47" s="15">
        <f t="shared" si="0"/>
        <v>2691750.6658880836</v>
      </c>
      <c r="I47" s="67">
        <f t="shared" si="1"/>
        <v>-664937.89502392919</v>
      </c>
    </row>
    <row r="48" spans="1:9" x14ac:dyDescent="0.25">
      <c r="A48" s="53">
        <f>'A) Base RI'!A39</f>
        <v>5456</v>
      </c>
      <c r="B48" s="35" t="str">
        <f>'A) Base RI'!B39</f>
        <v>Cudrefin</v>
      </c>
      <c r="C48" s="15">
        <f>'D) Ecrêtage'!M37</f>
        <v>51373.818644067804</v>
      </c>
      <c r="D48" s="10">
        <f>'A) Base RI'!AN39</f>
        <v>1555</v>
      </c>
      <c r="E48" s="15">
        <f t="shared" si="2"/>
        <v>953458.35188615217</v>
      </c>
      <c r="F48" s="44">
        <f>'F) Population'!K40</f>
        <v>290105.63380281691</v>
      </c>
      <c r="G48" s="10">
        <f>'G) Solidarité'!I37</f>
        <v>239202.80736169545</v>
      </c>
      <c r="H48" s="15">
        <f t="shared" si="0"/>
        <v>529308.44116451242</v>
      </c>
      <c r="I48" s="67">
        <f t="shared" si="1"/>
        <v>424149.91072163975</v>
      </c>
    </row>
    <row r="49" spans="1:9" x14ac:dyDescent="0.25">
      <c r="A49" s="53">
        <f>'A) Base RI'!A40</f>
        <v>5458</v>
      </c>
      <c r="B49" s="35" t="str">
        <f>'A) Base RI'!B40</f>
        <v>Faoug</v>
      </c>
      <c r="C49" s="15">
        <f>'D) Ecrêtage'!M38</f>
        <v>31692.092968750003</v>
      </c>
      <c r="D49" s="10">
        <f>'A) Base RI'!AN40</f>
        <v>870</v>
      </c>
      <c r="E49" s="15">
        <f t="shared" si="2"/>
        <v>588180.7412285147</v>
      </c>
      <c r="F49" s="44">
        <f>'F) Population'!K41</f>
        <v>85774.647887323939</v>
      </c>
      <c r="G49" s="10">
        <f>'G) Solidarité'!I38</f>
        <v>109197.02614670138</v>
      </c>
      <c r="H49" s="15">
        <f t="shared" si="0"/>
        <v>194971.67403402532</v>
      </c>
      <c r="I49" s="67">
        <f t="shared" si="1"/>
        <v>393209.06719448941</v>
      </c>
    </row>
    <row r="50" spans="1:9" x14ac:dyDescent="0.25">
      <c r="A50" s="53">
        <f>'A) Base RI'!A41</f>
        <v>5464</v>
      </c>
      <c r="B50" s="35" t="str">
        <f>'A) Base RI'!B41</f>
        <v>Vully-les-Lacs</v>
      </c>
      <c r="C50" s="15">
        <f>'D) Ecrêtage'!M39</f>
        <v>96310.385124378095</v>
      </c>
      <c r="D50" s="10">
        <f>'A) Base RI'!AN41</f>
        <v>2935</v>
      </c>
      <c r="E50" s="15">
        <f t="shared" si="2"/>
        <v>1787446.2808852075</v>
      </c>
      <c r="F50" s="44">
        <f>'F) Population'!K42</f>
        <v>766302.81690140849</v>
      </c>
      <c r="G50" s="10">
        <f>'G) Solidarité'!I39</f>
        <v>593985.66777461139</v>
      </c>
      <c r="H50" s="15">
        <f t="shared" si="0"/>
        <v>1360288.4846760198</v>
      </c>
      <c r="I50" s="67">
        <f t="shared" si="1"/>
        <v>427157.79620918771</v>
      </c>
    </row>
    <row r="51" spans="1:9" x14ac:dyDescent="0.25">
      <c r="A51" s="53">
        <f>'A) Base RI'!A42</f>
        <v>5471</v>
      </c>
      <c r="B51" s="35" t="str">
        <f>'A) Base RI'!B42</f>
        <v>Bettens</v>
      </c>
      <c r="C51" s="15">
        <f>'D) Ecrêtage'!M40</f>
        <v>16449.086587301586</v>
      </c>
      <c r="D51" s="10">
        <f>'A) Base RI'!AN42</f>
        <v>584</v>
      </c>
      <c r="E51" s="15">
        <f t="shared" si="2"/>
        <v>305282.32865500991</v>
      </c>
      <c r="F51" s="44">
        <f>'F) Population'!K43</f>
        <v>57577.464788732388</v>
      </c>
      <c r="G51" s="10">
        <f>'G) Solidarité'!I40</f>
        <v>182170.36763872925</v>
      </c>
      <c r="H51" s="15">
        <f t="shared" si="0"/>
        <v>239747.83242746163</v>
      </c>
      <c r="I51" s="67">
        <f t="shared" si="1"/>
        <v>65534.496227548283</v>
      </c>
    </row>
    <row r="52" spans="1:9" x14ac:dyDescent="0.25">
      <c r="A52" s="53">
        <f>'A) Base RI'!A43</f>
        <v>5472</v>
      </c>
      <c r="B52" s="35" t="str">
        <f>'A) Base RI'!B43</f>
        <v>Bournens</v>
      </c>
      <c r="C52" s="15">
        <f>'D) Ecrêtage'!M41</f>
        <v>14191.801124999998</v>
      </c>
      <c r="D52" s="10">
        <f>'A) Base RI'!AN43</f>
        <v>370</v>
      </c>
      <c r="E52" s="15">
        <f t="shared" si="2"/>
        <v>263388.85580390884</v>
      </c>
      <c r="F52" s="44">
        <f>'F) Population'!K44</f>
        <v>36478.873239436616</v>
      </c>
      <c r="G52" s="10">
        <f>'G) Solidarité'!I41</f>
        <v>54311.433296822062</v>
      </c>
      <c r="H52" s="15">
        <f t="shared" si="0"/>
        <v>90790.306536258679</v>
      </c>
      <c r="I52" s="67">
        <f t="shared" si="1"/>
        <v>172598.54926765017</v>
      </c>
    </row>
    <row r="53" spans="1:9" x14ac:dyDescent="0.25">
      <c r="A53" s="53">
        <f>'A) Base RI'!A44</f>
        <v>5473</v>
      </c>
      <c r="B53" s="35" t="str">
        <f>'A) Base RI'!B44</f>
        <v>Boussens</v>
      </c>
      <c r="C53" s="15">
        <f>'D) Ecrêtage'!M42</f>
        <v>32757.052898550723</v>
      </c>
      <c r="D53" s="10">
        <f>'A) Base RI'!AN44</f>
        <v>980</v>
      </c>
      <c r="E53" s="15">
        <f t="shared" si="2"/>
        <v>607945.57410043979</v>
      </c>
      <c r="F53" s="44">
        <f>'F) Population'!K45</f>
        <v>96619.718309859149</v>
      </c>
      <c r="G53" s="10">
        <f>'G) Solidarité'!I42</f>
        <v>198954.37436538865</v>
      </c>
      <c r="H53" s="15">
        <f t="shared" si="0"/>
        <v>295574.09267524781</v>
      </c>
      <c r="I53" s="67">
        <f t="shared" si="1"/>
        <v>312371.48142519197</v>
      </c>
    </row>
    <row r="54" spans="1:9" x14ac:dyDescent="0.25">
      <c r="A54" s="53">
        <f>'A) Base RI'!A45</f>
        <v>5474</v>
      </c>
      <c r="B54" s="35" t="str">
        <f>'A) Base RI'!B45</f>
        <v>La Chaux (Cossonay)</v>
      </c>
      <c r="C54" s="15">
        <f>'D) Ecrêtage'!M43</f>
        <v>12924.858852813852</v>
      </c>
      <c r="D54" s="10">
        <f>'A) Base RI'!AN45</f>
        <v>421</v>
      </c>
      <c r="E54" s="15">
        <f t="shared" si="2"/>
        <v>239875.38682970818</v>
      </c>
      <c r="F54" s="44">
        <f>'F) Population'!K46</f>
        <v>41507.042253521126</v>
      </c>
      <c r="G54" s="10">
        <f>'G) Solidarité'!I43</f>
        <v>133623.02530760688</v>
      </c>
      <c r="H54" s="15">
        <f t="shared" si="0"/>
        <v>175130.067561128</v>
      </c>
      <c r="I54" s="67">
        <f t="shared" si="1"/>
        <v>64745.319268580177</v>
      </c>
    </row>
    <row r="55" spans="1:9" x14ac:dyDescent="0.25">
      <c r="A55" s="53">
        <f>'A) Base RI'!A46</f>
        <v>5475</v>
      </c>
      <c r="B55" s="35" t="str">
        <f>'A) Base RI'!B46</f>
        <v>Chavannes-le-Veyron</v>
      </c>
      <c r="C55" s="15">
        <f>'D) Ecrêtage'!M44</f>
        <v>2672.7945454545452</v>
      </c>
      <c r="D55" s="10">
        <f>'A) Base RI'!AN46</f>
        <v>143</v>
      </c>
      <c r="E55" s="15">
        <f t="shared" si="2"/>
        <v>49605.000163515288</v>
      </c>
      <c r="F55" s="44">
        <f>'F) Population'!K47</f>
        <v>14098.591549295774</v>
      </c>
      <c r="G55" s="10">
        <f>'G) Solidarité'!I44</f>
        <v>86081.162622782431</v>
      </c>
      <c r="H55" s="15">
        <f t="shared" si="0"/>
        <v>100179.7541720782</v>
      </c>
      <c r="I55" s="67">
        <f t="shared" si="1"/>
        <v>-50574.754008562915</v>
      </c>
    </row>
    <row r="56" spans="1:9" x14ac:dyDescent="0.25">
      <c r="A56" s="53">
        <f>'A) Base RI'!A47</f>
        <v>5476</v>
      </c>
      <c r="B56" s="35" t="str">
        <f>'A) Base RI'!B47</f>
        <v>Chevilly</v>
      </c>
      <c r="C56" s="15">
        <f>'D) Ecrêtage'!M45</f>
        <v>10247.952162162162</v>
      </c>
      <c r="D56" s="10">
        <f>'A) Base RI'!AN47</f>
        <v>299</v>
      </c>
      <c r="E56" s="15">
        <f t="shared" si="2"/>
        <v>190194.06843083748</v>
      </c>
      <c r="F56" s="44">
        <f>'F) Population'!K48</f>
        <v>29478.873239436616</v>
      </c>
      <c r="G56" s="10">
        <f>'G) Solidarité'!I45</f>
        <v>64264.993213554713</v>
      </c>
      <c r="H56" s="15">
        <f t="shared" si="0"/>
        <v>93743.866452991322</v>
      </c>
      <c r="I56" s="67">
        <f t="shared" si="1"/>
        <v>96450.201977846154</v>
      </c>
    </row>
    <row r="57" spans="1:9" x14ac:dyDescent="0.25">
      <c r="A57" s="53">
        <f>'A) Base RI'!A48</f>
        <v>5477</v>
      </c>
      <c r="B57" s="35" t="str">
        <f>'A) Base RI'!B48</f>
        <v>Cossonay</v>
      </c>
      <c r="C57" s="15">
        <f>'D) Ecrêtage'!M46</f>
        <v>125937.08528138528</v>
      </c>
      <c r="D57" s="10">
        <f>'A) Base RI'!AN48</f>
        <v>3632</v>
      </c>
      <c r="E57" s="15">
        <f t="shared" si="2"/>
        <v>2337294.9284859262</v>
      </c>
      <c r="F57" s="44">
        <f>'F) Population'!K49</f>
        <v>1100281.690140845</v>
      </c>
      <c r="G57" s="10">
        <f>'G) Solidarité'!I46</f>
        <v>656724.53838354768</v>
      </c>
      <c r="H57" s="15">
        <f t="shared" si="0"/>
        <v>1757006.2285243927</v>
      </c>
      <c r="I57" s="67">
        <f t="shared" si="1"/>
        <v>580288.69996153354</v>
      </c>
    </row>
    <row r="58" spans="1:9" x14ac:dyDescent="0.25">
      <c r="A58" s="53">
        <f>'A) Base RI'!A49</f>
        <v>5478</v>
      </c>
      <c r="B58" s="35" t="str">
        <f>'A) Base RI'!B49</f>
        <v>Cottens</v>
      </c>
      <c r="C58" s="15">
        <f>'D) Ecrêtage'!M47</f>
        <v>14465.317702702703</v>
      </c>
      <c r="D58" s="10">
        <f>'A) Base RI'!AN49</f>
        <v>483</v>
      </c>
      <c r="E58" s="15">
        <f t="shared" si="2"/>
        <v>268465.11200352613</v>
      </c>
      <c r="F58" s="44">
        <f>'F) Population'!K50</f>
        <v>47619.718309859149</v>
      </c>
      <c r="G58" s="10">
        <f>'G) Solidarité'!I47</f>
        <v>149532.13054796876</v>
      </c>
      <c r="H58" s="15">
        <f t="shared" si="0"/>
        <v>197151.84885782789</v>
      </c>
      <c r="I58" s="67">
        <f t="shared" si="1"/>
        <v>71313.263145698234</v>
      </c>
    </row>
    <row r="59" spans="1:9" x14ac:dyDescent="0.25">
      <c r="A59" s="53">
        <f>'A) Base RI'!A50</f>
        <v>5479</v>
      </c>
      <c r="B59" s="35" t="str">
        <f>'A) Base RI'!B50</f>
        <v>Cuarnens</v>
      </c>
      <c r="C59" s="15">
        <f>'D) Ecrêtage'!M48</f>
        <v>11562.819350649352</v>
      </c>
      <c r="D59" s="10">
        <f>'A) Base RI'!AN50</f>
        <v>481</v>
      </c>
      <c r="E59" s="15">
        <f t="shared" si="2"/>
        <v>214596.98679612306</v>
      </c>
      <c r="F59" s="44">
        <f>'F) Population'!K51</f>
        <v>47422.535211267605</v>
      </c>
      <c r="G59" s="10">
        <f>'G) Solidarité'!I48</f>
        <v>228588.68927503665</v>
      </c>
      <c r="H59" s="15">
        <f t="shared" si="0"/>
        <v>276011.22448630427</v>
      </c>
      <c r="I59" s="67">
        <f t="shared" si="1"/>
        <v>-61414.237690181209</v>
      </c>
    </row>
    <row r="60" spans="1:9" x14ac:dyDescent="0.25">
      <c r="A60" s="53">
        <f>'A) Base RI'!A51</f>
        <v>5480</v>
      </c>
      <c r="B60" s="35" t="str">
        <f>'A) Base RI'!B51</f>
        <v>Daillens</v>
      </c>
      <c r="C60" s="15">
        <f>'D) Ecrêtage'!M49</f>
        <v>34852.093380281687</v>
      </c>
      <c r="D60" s="10">
        <f>'A) Base RI'!AN51</f>
        <v>958</v>
      </c>
      <c r="E60" s="15">
        <f t="shared" si="2"/>
        <v>646827.90555968846</v>
      </c>
      <c r="F60" s="44">
        <f>'F) Population'!K52</f>
        <v>94450.704225352107</v>
      </c>
      <c r="G60" s="10">
        <f>'G) Solidarité'!I49</f>
        <v>148903.10027454927</v>
      </c>
      <c r="H60" s="15">
        <f t="shared" si="0"/>
        <v>243353.80449990137</v>
      </c>
      <c r="I60" s="67">
        <f t="shared" si="1"/>
        <v>403474.10105978709</v>
      </c>
    </row>
    <row r="61" spans="1:9" x14ac:dyDescent="0.25">
      <c r="A61" s="53">
        <f>'A) Base RI'!A52</f>
        <v>5481</v>
      </c>
      <c r="B61" s="35" t="str">
        <f>'A) Base RI'!B52</f>
        <v>Dizy</v>
      </c>
      <c r="C61" s="15">
        <f>'D) Ecrêtage'!M50</f>
        <v>8900.2526582278479</v>
      </c>
      <c r="D61" s="10">
        <f>'A) Base RI'!AN52</f>
        <v>222</v>
      </c>
      <c r="E61" s="15">
        <f t="shared" si="2"/>
        <v>165181.80767674276</v>
      </c>
      <c r="F61" s="44">
        <f>'F) Population'!K53</f>
        <v>21887.32394366197</v>
      </c>
      <c r="G61" s="10">
        <f>'G) Solidarité'!I50</f>
        <v>22170.139603195057</v>
      </c>
      <c r="H61" s="15">
        <f t="shared" si="0"/>
        <v>44057.463546857027</v>
      </c>
      <c r="I61" s="67">
        <f t="shared" si="1"/>
        <v>121124.34412988572</v>
      </c>
    </row>
    <row r="62" spans="1:9" x14ac:dyDescent="0.25">
      <c r="A62" s="53">
        <f>'A) Base RI'!A53</f>
        <v>5482</v>
      </c>
      <c r="B62" s="35" t="str">
        <f>'A) Base RI'!B53</f>
        <v>Eclépens</v>
      </c>
      <c r="C62" s="15">
        <f>'D) Ecrêtage'!M51</f>
        <v>26792.007391304349</v>
      </c>
      <c r="D62" s="10">
        <f>'A) Base RI'!AN53</f>
        <v>1043</v>
      </c>
      <c r="E62" s="15">
        <f t="shared" si="2"/>
        <v>497238.94164881925</v>
      </c>
      <c r="F62" s="44">
        <f>'F) Population'!K54</f>
        <v>113429.57746478873</v>
      </c>
      <c r="G62" s="10">
        <f>'G) Solidarité'!I51</f>
        <v>162361.38734257096</v>
      </c>
      <c r="H62" s="15">
        <f t="shared" si="0"/>
        <v>275790.96480735968</v>
      </c>
      <c r="I62" s="67">
        <f t="shared" si="1"/>
        <v>221447.97684145957</v>
      </c>
    </row>
    <row r="63" spans="1:9" x14ac:dyDescent="0.25">
      <c r="A63" s="53">
        <f>'A) Base RI'!A54</f>
        <v>5483</v>
      </c>
      <c r="B63" s="35" t="str">
        <f>'A) Base RI'!B54</f>
        <v>Ferreyres</v>
      </c>
      <c r="C63" s="15">
        <f>'D) Ecrêtage'!M52</f>
        <v>9773.8555263157887</v>
      </c>
      <c r="D63" s="10">
        <f>'A) Base RI'!AN54</f>
        <v>316</v>
      </c>
      <c r="E63" s="15">
        <f t="shared" si="2"/>
        <v>181395.20144022786</v>
      </c>
      <c r="F63" s="44">
        <f>'F) Population'!K55</f>
        <v>31154.929577464787</v>
      </c>
      <c r="G63" s="10">
        <f>'G) Solidarité'!I52</f>
        <v>96033.99375959074</v>
      </c>
      <c r="H63" s="15">
        <f t="shared" si="0"/>
        <v>127188.92333705553</v>
      </c>
      <c r="I63" s="67">
        <f t="shared" si="1"/>
        <v>54206.278103172328</v>
      </c>
    </row>
    <row r="64" spans="1:9" x14ac:dyDescent="0.25">
      <c r="A64" s="53">
        <f>'A) Base RI'!A55</f>
        <v>5484</v>
      </c>
      <c r="B64" s="35" t="str">
        <f>'A) Base RI'!B55</f>
        <v>Gollion</v>
      </c>
      <c r="C64" s="15">
        <f>'D) Ecrêtage'!M53</f>
        <v>29063.721351351356</v>
      </c>
      <c r="D64" s="10">
        <f>'A) Base RI'!AN55</f>
        <v>902</v>
      </c>
      <c r="E64" s="15">
        <f t="shared" si="2"/>
        <v>539400.19626198581</v>
      </c>
      <c r="F64" s="44">
        <f>'F) Population'!K56</f>
        <v>88929.57746478873</v>
      </c>
      <c r="G64" s="10">
        <f>'G) Solidarité'!I53</f>
        <v>234390.04621320881</v>
      </c>
      <c r="H64" s="15">
        <f t="shared" si="0"/>
        <v>323319.62367799756</v>
      </c>
      <c r="I64" s="67">
        <f t="shared" si="1"/>
        <v>216080.57258398825</v>
      </c>
    </row>
    <row r="65" spans="1:9" x14ac:dyDescent="0.25">
      <c r="A65" s="53">
        <f>'A) Base RI'!A56</f>
        <v>5485</v>
      </c>
      <c r="B65" s="35" t="str">
        <f>'A) Base RI'!B56</f>
        <v>Grancy</v>
      </c>
      <c r="C65" s="15">
        <f>'D) Ecrêtage'!M54</f>
        <v>15073.947999999999</v>
      </c>
      <c r="D65" s="10">
        <f>'A) Base RI'!AN56</f>
        <v>408</v>
      </c>
      <c r="E65" s="15">
        <f t="shared" si="2"/>
        <v>279760.81972947042</v>
      </c>
      <c r="F65" s="44">
        <f>'F) Population'!K57</f>
        <v>40225.352112676053</v>
      </c>
      <c r="G65" s="10">
        <f>'G) Solidarité'!I54</f>
        <v>57120.701503418844</v>
      </c>
      <c r="H65" s="15">
        <f t="shared" si="0"/>
        <v>97346.053616094898</v>
      </c>
      <c r="I65" s="67">
        <f t="shared" si="1"/>
        <v>182414.76611337552</v>
      </c>
    </row>
    <row r="66" spans="1:9" x14ac:dyDescent="0.25">
      <c r="A66" s="53">
        <f>'A) Base RI'!A57</f>
        <v>5486</v>
      </c>
      <c r="B66" s="35" t="str">
        <f>'A) Base RI'!B57</f>
        <v>L'Isle</v>
      </c>
      <c r="C66" s="15">
        <f>'D) Ecrêtage'!M55</f>
        <v>29834.586052631581</v>
      </c>
      <c r="D66" s="10">
        <f>'A) Base RI'!AN57</f>
        <v>1033</v>
      </c>
      <c r="E66" s="15">
        <f t="shared" si="2"/>
        <v>553706.84908649256</v>
      </c>
      <c r="F66" s="44">
        <f>'F) Population'!K58</f>
        <v>109978.87323943662</v>
      </c>
      <c r="G66" s="10">
        <f>'G) Solidarité'!I55</f>
        <v>362780.36324469815</v>
      </c>
      <c r="H66" s="15">
        <f t="shared" si="0"/>
        <v>472759.2364841348</v>
      </c>
      <c r="I66" s="67">
        <f t="shared" si="1"/>
        <v>80947.612602357753</v>
      </c>
    </row>
    <row r="67" spans="1:9" x14ac:dyDescent="0.25">
      <c r="A67" s="53">
        <f>'A) Base RI'!A58</f>
        <v>5487</v>
      </c>
      <c r="B67" s="35" t="str">
        <f>'A) Base RI'!B58</f>
        <v>Lussery-Villars</v>
      </c>
      <c r="C67" s="15">
        <f>'D) Ecrêtage'!M56</f>
        <v>13143.798970588234</v>
      </c>
      <c r="D67" s="10">
        <f>'A) Base RI'!AN58</f>
        <v>462</v>
      </c>
      <c r="E67" s="15">
        <f t="shared" si="2"/>
        <v>243938.74613148021</v>
      </c>
      <c r="F67" s="44">
        <f>'F) Population'!K59</f>
        <v>45549.295774647886</v>
      </c>
      <c r="G67" s="10">
        <f>'G) Solidarité'!I56</f>
        <v>133575.99607558348</v>
      </c>
      <c r="H67" s="15">
        <f t="shared" si="0"/>
        <v>179125.29185023136</v>
      </c>
      <c r="I67" s="67">
        <f t="shared" si="1"/>
        <v>64813.454281248851</v>
      </c>
    </row>
    <row r="68" spans="1:9" x14ac:dyDescent="0.25">
      <c r="A68" s="53">
        <f>'A) Base RI'!A59</f>
        <v>5488</v>
      </c>
      <c r="B68" s="35" t="str">
        <f>'A) Base RI'!B59</f>
        <v>Mauraz</v>
      </c>
      <c r="C68" s="15">
        <f>'D) Ecrêtage'!M57</f>
        <v>1604.8968918918922</v>
      </c>
      <c r="D68" s="10">
        <f>'A) Base RI'!AN59</f>
        <v>53</v>
      </c>
      <c r="E68" s="15">
        <f t="shared" si="2"/>
        <v>29785.645410011701</v>
      </c>
      <c r="F68" s="44">
        <f>'F) Population'!K60</f>
        <v>5225.3521126760561</v>
      </c>
      <c r="G68" s="10">
        <f>'G) Solidarité'!I57</f>
        <v>16022.993679865649</v>
      </c>
      <c r="H68" s="15">
        <f t="shared" si="0"/>
        <v>21248.345792541706</v>
      </c>
      <c r="I68" s="67">
        <f t="shared" si="1"/>
        <v>8537.2996174699947</v>
      </c>
    </row>
    <row r="69" spans="1:9" x14ac:dyDescent="0.25">
      <c r="A69" s="53">
        <f>'A) Base RI'!A60</f>
        <v>5489</v>
      </c>
      <c r="B69" s="35" t="str">
        <f>'A) Base RI'!B60</f>
        <v>Mex</v>
      </c>
      <c r="C69" s="15">
        <f>'D) Ecrêtage'!M58</f>
        <v>44353.476729435359</v>
      </c>
      <c r="D69" s="10">
        <f>'A) Base RI'!AN60</f>
        <v>710</v>
      </c>
      <c r="E69" s="15">
        <f t="shared" si="2"/>
        <v>823166.23406680371</v>
      </c>
      <c r="F69" s="44">
        <f>'F) Population'!K61</f>
        <v>70000</v>
      </c>
      <c r="G69" s="10">
        <f>'G) Solidarité'!I58</f>
        <v>0</v>
      </c>
      <c r="H69" s="15">
        <f t="shared" si="0"/>
        <v>70000</v>
      </c>
      <c r="I69" s="67">
        <f t="shared" si="1"/>
        <v>753166.23406680371</v>
      </c>
    </row>
    <row r="70" spans="1:9" x14ac:dyDescent="0.25">
      <c r="A70" s="53">
        <f>'A) Base RI'!A61</f>
        <v>5490</v>
      </c>
      <c r="B70" s="35" t="str">
        <f>'A) Base RI'!B61</f>
        <v>Moiry</v>
      </c>
      <c r="C70" s="15">
        <f>'D) Ecrêtage'!M59</f>
        <v>7445.9272839506175</v>
      </c>
      <c r="D70" s="10">
        <f>'A) Base RI'!AN61</f>
        <v>304</v>
      </c>
      <c r="E70" s="15">
        <f t="shared" si="2"/>
        <v>138190.65321202209</v>
      </c>
      <c r="F70" s="44">
        <f>'F) Population'!K62</f>
        <v>29971.830985915491</v>
      </c>
      <c r="G70" s="10">
        <f>'G) Solidarité'!I59</f>
        <v>156252.37046863828</v>
      </c>
      <c r="H70" s="15">
        <f t="shared" si="0"/>
        <v>186224.20145455378</v>
      </c>
      <c r="I70" s="67">
        <f t="shared" si="1"/>
        <v>-48033.548242531688</v>
      </c>
    </row>
    <row r="71" spans="1:9" x14ac:dyDescent="0.25">
      <c r="A71" s="53">
        <f>'A) Base RI'!A62</f>
        <v>5491</v>
      </c>
      <c r="B71" s="35" t="str">
        <f>'A) Base RI'!B62</f>
        <v>Mont-la-Ville</v>
      </c>
      <c r="C71" s="15">
        <f>'D) Ecrêtage'!M60</f>
        <v>8756.4323684210522</v>
      </c>
      <c r="D71" s="10">
        <f>'A) Base RI'!AN62</f>
        <v>402</v>
      </c>
      <c r="E71" s="15">
        <f t="shared" si="2"/>
        <v>162512.61429952801</v>
      </c>
      <c r="F71" s="44">
        <f>'F) Population'!K63</f>
        <v>39633.802816901407</v>
      </c>
      <c r="G71" s="10">
        <f>'G) Solidarité'!I60</f>
        <v>207059.12033104218</v>
      </c>
      <c r="H71" s="15">
        <f t="shared" si="0"/>
        <v>246692.9231479436</v>
      </c>
      <c r="I71" s="67">
        <f t="shared" si="1"/>
        <v>-84180.308848415589</v>
      </c>
    </row>
    <row r="72" spans="1:9" x14ac:dyDescent="0.25">
      <c r="A72" s="53">
        <f>'A) Base RI'!A63</f>
        <v>5492</v>
      </c>
      <c r="B72" s="35" t="str">
        <f>'A) Base RI'!B63</f>
        <v>Montricher</v>
      </c>
      <c r="C72" s="15">
        <f>'D) Ecrêtage'!M61</f>
        <v>116722.19002278935</v>
      </c>
      <c r="D72" s="10">
        <f>'A) Base RI'!AN63</f>
        <v>951</v>
      </c>
      <c r="E72" s="15">
        <f t="shared" si="2"/>
        <v>2166273.5974274664</v>
      </c>
      <c r="F72" s="44">
        <f>'F) Population'!K64</f>
        <v>93760.563380281688</v>
      </c>
      <c r="G72" s="10">
        <f>'G) Solidarité'!I61</f>
        <v>0</v>
      </c>
      <c r="H72" s="15">
        <f t="shared" ref="H72:H126" si="3">F72+G72</f>
        <v>93760.563380281688</v>
      </c>
      <c r="I72" s="67">
        <f t="shared" ref="I72:I126" si="4">E72-H72</f>
        <v>2072513.0340471847</v>
      </c>
    </row>
    <row r="73" spans="1:9" x14ac:dyDescent="0.25">
      <c r="A73" s="53">
        <f>'A) Base RI'!A64</f>
        <v>5493</v>
      </c>
      <c r="B73" s="35" t="str">
        <f>'A) Base RI'!B64</f>
        <v>Orny</v>
      </c>
      <c r="C73" s="15">
        <f>'D) Ecrêtage'!M62</f>
        <v>9079.112581664911</v>
      </c>
      <c r="D73" s="10">
        <f>'A) Base RI'!AN64</f>
        <v>371</v>
      </c>
      <c r="E73" s="15">
        <f t="shared" si="2"/>
        <v>168501.30956155111</v>
      </c>
      <c r="F73" s="44">
        <f>'F) Population'!K65</f>
        <v>36577.464788732395</v>
      </c>
      <c r="G73" s="10">
        <f>'G) Solidarité'!I62</f>
        <v>155049.9516300855</v>
      </c>
      <c r="H73" s="15">
        <f t="shared" si="3"/>
        <v>191627.41641881788</v>
      </c>
      <c r="I73" s="67">
        <f t="shared" si="4"/>
        <v>-23126.106857266772</v>
      </c>
    </row>
    <row r="74" spans="1:9" x14ac:dyDescent="0.25">
      <c r="A74" s="53">
        <f>'A) Base RI'!A65</f>
        <v>5494</v>
      </c>
      <c r="B74" s="35" t="str">
        <f>'A) Base RI'!B65</f>
        <v>Pampigny</v>
      </c>
      <c r="C74" s="15">
        <f>'D) Ecrêtage'!M63</f>
        <v>36797.992425396827</v>
      </c>
      <c r="D74" s="10">
        <f>'A) Base RI'!AN65</f>
        <v>1116</v>
      </c>
      <c r="E74" s="15">
        <f t="shared" si="2"/>
        <v>682942.28727124841</v>
      </c>
      <c r="F74" s="44">
        <f>'F) Population'!K66</f>
        <v>138619.71830985916</v>
      </c>
      <c r="G74" s="10">
        <f>'G) Solidarité'!I63</f>
        <v>279031.3089821146</v>
      </c>
      <c r="H74" s="15">
        <f t="shared" si="3"/>
        <v>417651.02729197376</v>
      </c>
      <c r="I74" s="67">
        <f t="shared" si="4"/>
        <v>265291.25997927465</v>
      </c>
    </row>
    <row r="75" spans="1:9" x14ac:dyDescent="0.25">
      <c r="A75" s="53">
        <f>'A) Base RI'!A66</f>
        <v>5495</v>
      </c>
      <c r="B75" s="35" t="str">
        <f>'A) Base RI'!B66</f>
        <v>Penthalaz</v>
      </c>
      <c r="C75" s="15">
        <f>'D) Ecrêtage'!M64</f>
        <v>99436.02810810809</v>
      </c>
      <c r="D75" s="10">
        <f>'A) Base RI'!AN66</f>
        <v>3252</v>
      </c>
      <c r="E75" s="15">
        <f t="shared" si="2"/>
        <v>1845455.7979214857</v>
      </c>
      <c r="F75" s="44">
        <f>'F) Population'!K67</f>
        <v>912957.74647887319</v>
      </c>
      <c r="G75" s="10">
        <f>'G) Solidarité'!I64</f>
        <v>962093.72838677408</v>
      </c>
      <c r="H75" s="15">
        <f t="shared" si="3"/>
        <v>1875051.4748656473</v>
      </c>
      <c r="I75" s="67">
        <f t="shared" si="4"/>
        <v>-29595.676944161532</v>
      </c>
    </row>
    <row r="76" spans="1:9" x14ac:dyDescent="0.25">
      <c r="A76" s="53">
        <f>'A) Base RI'!A67</f>
        <v>5496</v>
      </c>
      <c r="B76" s="35" t="str">
        <f>'A) Base RI'!B67</f>
        <v>Penthaz</v>
      </c>
      <c r="C76" s="15">
        <f>'D) Ecrêtage'!M65</f>
        <v>52905.64732394366</v>
      </c>
      <c r="D76" s="10">
        <f>'A) Base RI'!AN67</f>
        <v>1703</v>
      </c>
      <c r="E76" s="15">
        <f t="shared" si="2"/>
        <v>981887.90777736146</v>
      </c>
      <c r="F76" s="44">
        <f>'F) Population'!K68</f>
        <v>341176.05633802817</v>
      </c>
      <c r="G76" s="10">
        <f>'G) Solidarité'!I65</f>
        <v>447017.86023090046</v>
      </c>
      <c r="H76" s="15">
        <f t="shared" si="3"/>
        <v>788193.91656892863</v>
      </c>
      <c r="I76" s="67">
        <f t="shared" si="4"/>
        <v>193693.99120843282</v>
      </c>
    </row>
    <row r="77" spans="1:9" x14ac:dyDescent="0.25">
      <c r="A77" s="53">
        <f>'A) Base RI'!A68</f>
        <v>5497</v>
      </c>
      <c r="B77" s="35" t="str">
        <f>'A) Base RI'!B68</f>
        <v>Pompaples</v>
      </c>
      <c r="C77" s="15">
        <f>'D) Ecrêtage'!M66</f>
        <v>22272.608181818188</v>
      </c>
      <c r="D77" s="10">
        <f>'A) Base RI'!AN68</f>
        <v>859</v>
      </c>
      <c r="E77" s="15">
        <f t="shared" si="2"/>
        <v>413362.38671241049</v>
      </c>
      <c r="F77" s="44">
        <f>'F) Population'!K69</f>
        <v>84690.140845070418</v>
      </c>
      <c r="G77" s="10">
        <f>'G) Solidarité'!I66</f>
        <v>271667.88451041048</v>
      </c>
      <c r="H77" s="15">
        <f>F77+G77</f>
        <v>356358.0253554809</v>
      </c>
      <c r="I77" s="67">
        <f>E77-H77</f>
        <v>57004.361356929585</v>
      </c>
    </row>
    <row r="78" spans="1:9" x14ac:dyDescent="0.25">
      <c r="A78" s="53">
        <f>'A) Base RI'!A69</f>
        <v>5498</v>
      </c>
      <c r="B78" s="35" t="str">
        <f>'A) Base RI'!B69</f>
        <v>La Sarraz</v>
      </c>
      <c r="C78" s="15">
        <f>'D) Ecrêtage'!M67</f>
        <v>73804.61909090908</v>
      </c>
      <c r="D78" s="10">
        <f>'A) Base RI'!AN69</f>
        <v>2567</v>
      </c>
      <c r="E78" s="15">
        <f t="shared" si="2"/>
        <v>1369756.6647234054</v>
      </c>
      <c r="F78" s="44">
        <f>'F) Population'!K70</f>
        <v>639316.90140845068</v>
      </c>
      <c r="G78" s="10">
        <f>'G) Solidarité'!I67</f>
        <v>685694.24082685949</v>
      </c>
      <c r="H78" s="15">
        <f t="shared" si="3"/>
        <v>1325011.1422353103</v>
      </c>
      <c r="I78" s="67">
        <f t="shared" si="4"/>
        <v>44745.522488095099</v>
      </c>
    </row>
    <row r="79" spans="1:9" x14ac:dyDescent="0.25">
      <c r="A79" s="53">
        <f>'A) Base RI'!A70</f>
        <v>5499</v>
      </c>
      <c r="B79" s="35" t="str">
        <f>'A) Base RI'!B70</f>
        <v>Senarclens</v>
      </c>
      <c r="C79" s="15">
        <f>'D) Ecrêtage'!M68</f>
        <v>18585.936788321167</v>
      </c>
      <c r="D79" s="10">
        <f>'A) Base RI'!AN70</f>
        <v>459</v>
      </c>
      <c r="E79" s="15">
        <f t="shared" si="2"/>
        <v>344940.61617705267</v>
      </c>
      <c r="F79" s="44">
        <f>'F) Population'!K71</f>
        <v>45253.521126760563</v>
      </c>
      <c r="G79" s="10">
        <f>'G) Solidarité'!I68</f>
        <v>31011.460355020379</v>
      </c>
      <c r="H79" s="15">
        <f t="shared" si="3"/>
        <v>76264.981481780938</v>
      </c>
      <c r="I79" s="67">
        <f t="shared" si="4"/>
        <v>268675.63469527173</v>
      </c>
    </row>
    <row r="80" spans="1:9" x14ac:dyDescent="0.25">
      <c r="A80" s="53">
        <f>'A) Base RI'!A71</f>
        <v>5500</v>
      </c>
      <c r="B80" s="35" t="str">
        <f>'A) Base RI'!B71</f>
        <v>Sévery</v>
      </c>
      <c r="C80" s="15">
        <f>'D) Ecrêtage'!M69</f>
        <v>8028.7526973684207</v>
      </c>
      <c r="D80" s="10">
        <f>'A) Base RI'!AN71</f>
        <v>243</v>
      </c>
      <c r="E80" s="15">
        <f t="shared" si="2"/>
        <v>149007.44224545461</v>
      </c>
      <c r="F80" s="44">
        <f>'F) Population'!K72</f>
        <v>23957.74647887324</v>
      </c>
      <c r="G80" s="10">
        <f>'G) Solidarité'!I69</f>
        <v>62011.839095547599</v>
      </c>
      <c r="H80" s="15">
        <f t="shared" si="3"/>
        <v>85969.585574420838</v>
      </c>
      <c r="I80" s="67">
        <f t="shared" si="4"/>
        <v>63037.856671033776</v>
      </c>
    </row>
    <row r="81" spans="1:9" x14ac:dyDescent="0.25">
      <c r="A81" s="53">
        <f>'A) Base RI'!A72</f>
        <v>5501</v>
      </c>
      <c r="B81" s="35" t="str">
        <f>'A) Base RI'!B72</f>
        <v>Sullens</v>
      </c>
      <c r="C81" s="15">
        <f>'D) Ecrêtage'!M70</f>
        <v>35737.650142857143</v>
      </c>
      <c r="D81" s="10">
        <f>'A) Base RI'!AN72</f>
        <v>978</v>
      </c>
      <c r="E81" s="15">
        <f t="shared" ref="E81:E144" si="5">C81*E$15</f>
        <v>663263.15436213126</v>
      </c>
      <c r="F81" s="44">
        <f>'F) Population'!K73</f>
        <v>96422.535211267605</v>
      </c>
      <c r="G81" s="10">
        <f>'G) Solidarité'!I70</f>
        <v>144666.59853937037</v>
      </c>
      <c r="H81" s="15">
        <f t="shared" si="3"/>
        <v>241089.13375063799</v>
      </c>
      <c r="I81" s="67">
        <f t="shared" si="4"/>
        <v>422174.02061149327</v>
      </c>
    </row>
    <row r="82" spans="1:9" x14ac:dyDescent="0.25">
      <c r="A82" s="53">
        <f>'A) Base RI'!A73</f>
        <v>5503</v>
      </c>
      <c r="B82" s="35" t="str">
        <f>'A) Base RI'!B73</f>
        <v>Vufflens-la-Ville</v>
      </c>
      <c r="C82" s="15">
        <f>'D) Ecrêtage'!M71</f>
        <v>64927.66542288557</v>
      </c>
      <c r="D82" s="10">
        <f>'A) Base RI'!AN73</f>
        <v>1252</v>
      </c>
      <c r="E82" s="15">
        <f t="shared" si="5"/>
        <v>1205007.2682901162</v>
      </c>
      <c r="F82" s="44">
        <f>'F) Population'!K74</f>
        <v>185549.29577464788</v>
      </c>
      <c r="G82" s="10">
        <f>'G) Solidarité'!I71</f>
        <v>0</v>
      </c>
      <c r="H82" s="15">
        <f t="shared" si="3"/>
        <v>185549.29577464788</v>
      </c>
      <c r="I82" s="67">
        <f t="shared" si="4"/>
        <v>1019457.9725154684</v>
      </c>
    </row>
    <row r="83" spans="1:9" x14ac:dyDescent="0.25">
      <c r="A83" s="53">
        <f>'A) Base RI'!A74</f>
        <v>5511</v>
      </c>
      <c r="B83" s="35" t="str">
        <f>'A) Base RI'!B74</f>
        <v>Assens</v>
      </c>
      <c r="C83" s="15">
        <f>'D) Ecrêtage'!M72</f>
        <v>39993.346428571429</v>
      </c>
      <c r="D83" s="10">
        <f>'A) Base RI'!AN74</f>
        <v>1060</v>
      </c>
      <c r="E83" s="15">
        <f t="shared" si="5"/>
        <v>742245.58692797879</v>
      </c>
      <c r="F83" s="44">
        <f>'F) Population'!K75</f>
        <v>119295.77464788733</v>
      </c>
      <c r="G83" s="10">
        <f>'G) Solidarité'!I72</f>
        <v>132135.35120703373</v>
      </c>
      <c r="H83" s="15">
        <f t="shared" si="3"/>
        <v>251431.12585492106</v>
      </c>
      <c r="I83" s="67">
        <f t="shared" si="4"/>
        <v>490814.46107305773</v>
      </c>
    </row>
    <row r="84" spans="1:9" x14ac:dyDescent="0.25">
      <c r="A84" s="53">
        <f>'A) Base RI'!A75</f>
        <v>5512</v>
      </c>
      <c r="B84" s="35" t="str">
        <f>'A) Base RI'!B75</f>
        <v>Bercher</v>
      </c>
      <c r="C84" s="15">
        <f>'D) Ecrêtage'!M73</f>
        <v>35096.262278481016</v>
      </c>
      <c r="D84" s="10">
        <f>'A) Base RI'!AN75</f>
        <v>1157</v>
      </c>
      <c r="E84" s="15">
        <f t="shared" si="5"/>
        <v>651359.49151929817</v>
      </c>
      <c r="F84" s="44">
        <f>'F) Population'!K76</f>
        <v>152767.60563380283</v>
      </c>
      <c r="G84" s="10">
        <f>'G) Solidarité'!I73</f>
        <v>397127.11999793269</v>
      </c>
      <c r="H84" s="15">
        <f t="shared" si="3"/>
        <v>549894.72563173552</v>
      </c>
      <c r="I84" s="67">
        <f t="shared" si="4"/>
        <v>101464.76588756265</v>
      </c>
    </row>
    <row r="85" spans="1:9" x14ac:dyDescent="0.25">
      <c r="A85" s="53">
        <f>'A) Base RI'!A76</f>
        <v>5513</v>
      </c>
      <c r="B85" s="35" t="str">
        <f>'A) Base RI'!B76</f>
        <v>Bioley-Orjulaz</v>
      </c>
      <c r="C85" s="15">
        <f>'D) Ecrêtage'!M74</f>
        <v>22441.228030303031</v>
      </c>
      <c r="D85" s="10">
        <f>'A) Base RI'!AN76</f>
        <v>483</v>
      </c>
      <c r="E85" s="15">
        <f t="shared" si="5"/>
        <v>416491.84072371386</v>
      </c>
      <c r="F85" s="44">
        <f>'F) Population'!K77</f>
        <v>47619.718309859149</v>
      </c>
      <c r="G85" s="10">
        <f>'G) Solidarité'!I74</f>
        <v>0</v>
      </c>
      <c r="H85" s="15">
        <f t="shared" si="3"/>
        <v>47619.718309859149</v>
      </c>
      <c r="I85" s="67">
        <f t="shared" si="4"/>
        <v>368872.1224138547</v>
      </c>
    </row>
    <row r="86" spans="1:9" x14ac:dyDescent="0.25">
      <c r="A86" s="53">
        <f>'A) Base RI'!A77</f>
        <v>5514</v>
      </c>
      <c r="B86" s="35" t="str">
        <f>'A) Base RI'!B77</f>
        <v>Bottens</v>
      </c>
      <c r="C86" s="15">
        <f>'D) Ecrêtage'!M75</f>
        <v>40579.944927536235</v>
      </c>
      <c r="D86" s="10">
        <f>'A) Base RI'!AN77</f>
        <v>1240</v>
      </c>
      <c r="E86" s="15">
        <f t="shared" si="5"/>
        <v>753132.4015118205</v>
      </c>
      <c r="F86" s="44">
        <f>'F) Population'!K78</f>
        <v>181408.45070422534</v>
      </c>
      <c r="G86" s="10">
        <f>'G) Solidarité'!I75</f>
        <v>268249.45527561783</v>
      </c>
      <c r="H86" s="15">
        <f t="shared" si="3"/>
        <v>449657.90597984317</v>
      </c>
      <c r="I86" s="67">
        <f t="shared" si="4"/>
        <v>303474.49553197733</v>
      </c>
    </row>
    <row r="87" spans="1:9" x14ac:dyDescent="0.25">
      <c r="A87" s="53">
        <f>'A) Base RI'!A78</f>
        <v>5515</v>
      </c>
      <c r="B87" s="35" t="str">
        <f>'A) Base RI'!B78</f>
        <v>Bretigny-sur-Morrens</v>
      </c>
      <c r="C87" s="15">
        <f>'D) Ecrêtage'!M76</f>
        <v>25654.980410958906</v>
      </c>
      <c r="D87" s="10">
        <f>'A) Base RI'!AN78</f>
        <v>817</v>
      </c>
      <c r="E87" s="15">
        <f t="shared" si="5"/>
        <v>476136.60004090302</v>
      </c>
      <c r="F87" s="44">
        <f>'F) Population'!K79</f>
        <v>80549.295774647879</v>
      </c>
      <c r="G87" s="10">
        <f>'G) Solidarité'!I76</f>
        <v>220870.86524583487</v>
      </c>
      <c r="H87" s="15">
        <f t="shared" si="3"/>
        <v>301420.16102048277</v>
      </c>
      <c r="I87" s="67">
        <f t="shared" si="4"/>
        <v>174716.43902042025</v>
      </c>
    </row>
    <row r="88" spans="1:9" x14ac:dyDescent="0.25">
      <c r="A88" s="53">
        <f>'A) Base RI'!A79</f>
        <v>5516</v>
      </c>
      <c r="B88" s="35" t="str">
        <f>'A) Base RI'!B79</f>
        <v>Cugy</v>
      </c>
      <c r="C88" s="15">
        <f>'D) Ecrêtage'!M77</f>
        <v>107712.55485714282</v>
      </c>
      <c r="D88" s="10">
        <f>'A) Base RI'!AN79</f>
        <v>2739</v>
      </c>
      <c r="E88" s="15">
        <f t="shared" si="5"/>
        <v>1999061.7349873986</v>
      </c>
      <c r="F88" s="44">
        <f>'F) Population'!K80</f>
        <v>698669.01408450701</v>
      </c>
      <c r="G88" s="10">
        <f>'G) Solidarité'!I77</f>
        <v>255830.01834762993</v>
      </c>
      <c r="H88" s="15">
        <f t="shared" si="3"/>
        <v>954499.03243213694</v>
      </c>
      <c r="I88" s="67">
        <f t="shared" si="4"/>
        <v>1044562.7025552617</v>
      </c>
    </row>
    <row r="89" spans="1:9" x14ac:dyDescent="0.25">
      <c r="A89" s="53">
        <f>'A) Base RI'!A80</f>
        <v>5518</v>
      </c>
      <c r="B89" s="35" t="str">
        <f>'A) Base RI'!B80</f>
        <v>Echallens</v>
      </c>
      <c r="C89" s="15">
        <f>'D) Ecrêtage'!M78</f>
        <v>187267.45324324328</v>
      </c>
      <c r="D89" s="10">
        <f>'A) Base RI'!AN80</f>
        <v>5677</v>
      </c>
      <c r="E89" s="15">
        <f t="shared" si="5"/>
        <v>3475539.1373235476</v>
      </c>
      <c r="F89" s="44">
        <f>'F) Population'!K81</f>
        <v>2175126.7605633801</v>
      </c>
      <c r="G89" s="10">
        <f>'G) Solidarité'!I78</f>
        <v>1380079.5950410136</v>
      </c>
      <c r="H89" s="15">
        <f t="shared" si="3"/>
        <v>3555206.3556043934</v>
      </c>
      <c r="I89" s="67">
        <f t="shared" si="4"/>
        <v>-79667.218280845787</v>
      </c>
    </row>
    <row r="90" spans="1:9" x14ac:dyDescent="0.25">
      <c r="A90" s="53">
        <f>'A) Base RI'!A81</f>
        <v>5520</v>
      </c>
      <c r="B90" s="35" t="str">
        <f>'A) Base RI'!B81</f>
        <v>Essertines-sur-Yverdon</v>
      </c>
      <c r="C90" s="15">
        <f>'D) Ecrêtage'!M79</f>
        <v>28096.496575342466</v>
      </c>
      <c r="D90" s="10">
        <f>'A) Base RI'!AN81</f>
        <v>943</v>
      </c>
      <c r="E90" s="15">
        <f t="shared" si="5"/>
        <v>521449.25227578514</v>
      </c>
      <c r="F90" s="44">
        <f>'F) Population'!K82</f>
        <v>92971.830985915483</v>
      </c>
      <c r="G90" s="10">
        <f>'G) Solidarité'!I79</f>
        <v>287201.47249696124</v>
      </c>
      <c r="H90" s="15">
        <f t="shared" si="3"/>
        <v>380173.30348287674</v>
      </c>
      <c r="I90" s="67">
        <f t="shared" si="4"/>
        <v>141275.9487929084</v>
      </c>
    </row>
    <row r="91" spans="1:9" x14ac:dyDescent="0.25">
      <c r="A91" s="53">
        <f>'A) Base RI'!A82</f>
        <v>5521</v>
      </c>
      <c r="B91" s="35" t="str">
        <f>'A) Base RI'!B82</f>
        <v>Etagnières</v>
      </c>
      <c r="C91" s="15">
        <f>'D) Ecrêtage'!M80</f>
        <v>40658.047260273968</v>
      </c>
      <c r="D91" s="10">
        <f>'A) Base RI'!AN82</f>
        <v>1118</v>
      </c>
      <c r="E91" s="15">
        <f t="shared" si="5"/>
        <v>754581.92041884421</v>
      </c>
      <c r="F91" s="44">
        <f>'F) Population'!K83</f>
        <v>139309.85915492958</v>
      </c>
      <c r="G91" s="10">
        <f>'G) Solidarité'!I80</f>
        <v>184016.33502723466</v>
      </c>
      <c r="H91" s="15">
        <f t="shared" si="3"/>
        <v>323326.19418216427</v>
      </c>
      <c r="I91" s="67">
        <f t="shared" si="4"/>
        <v>431255.72623667994</v>
      </c>
    </row>
    <row r="92" spans="1:9" x14ac:dyDescent="0.25">
      <c r="A92" s="53">
        <f>'A) Base RI'!A83</f>
        <v>5522</v>
      </c>
      <c r="B92" s="35" t="str">
        <f>'A) Base RI'!B83</f>
        <v>Fey</v>
      </c>
      <c r="C92" s="15">
        <f>'D) Ecrêtage'!M81</f>
        <v>19109.159333333333</v>
      </c>
      <c r="D92" s="10">
        <f>'A) Base RI'!AN83</f>
        <v>696</v>
      </c>
      <c r="E92" s="15">
        <f t="shared" si="5"/>
        <v>354651.22205771139</v>
      </c>
      <c r="F92" s="44">
        <f>'F) Population'!K84</f>
        <v>68619.718309859149</v>
      </c>
      <c r="G92" s="10">
        <f>'G) Solidarité'!I81</f>
        <v>260347.84899264487</v>
      </c>
      <c r="H92" s="15">
        <f t="shared" si="3"/>
        <v>328967.56730250403</v>
      </c>
      <c r="I92" s="67">
        <f t="shared" si="4"/>
        <v>25683.654755207361</v>
      </c>
    </row>
    <row r="93" spans="1:9" x14ac:dyDescent="0.25">
      <c r="A93" s="53">
        <f>'A) Base RI'!A84</f>
        <v>5523</v>
      </c>
      <c r="B93" s="35" t="str">
        <f>'A) Base RI'!B84</f>
        <v>Froideville</v>
      </c>
      <c r="C93" s="15">
        <f>'D) Ecrêtage'!M82</f>
        <v>77198.057236842113</v>
      </c>
      <c r="D93" s="10">
        <f>'A) Base RI'!AN84</f>
        <v>2459</v>
      </c>
      <c r="E93" s="15">
        <f t="shared" si="5"/>
        <v>1432736.2529114156</v>
      </c>
      <c r="F93" s="44">
        <f>'F) Population'!K85</f>
        <v>602049.29577464785</v>
      </c>
      <c r="G93" s="10">
        <f>'G) Solidarité'!I82</f>
        <v>720954.85520427523</v>
      </c>
      <c r="H93" s="15">
        <f t="shared" si="3"/>
        <v>1323004.1509789231</v>
      </c>
      <c r="I93" s="67">
        <f t="shared" si="4"/>
        <v>109732.10193249257</v>
      </c>
    </row>
    <row r="94" spans="1:9" x14ac:dyDescent="0.25">
      <c r="A94" s="53">
        <f>'A) Base RI'!A85</f>
        <v>5527</v>
      </c>
      <c r="B94" s="35" t="str">
        <f>'A) Base RI'!B85</f>
        <v>Morrens</v>
      </c>
      <c r="C94" s="15">
        <f>'D) Ecrêtage'!M83</f>
        <v>37560.717323943667</v>
      </c>
      <c r="D94" s="10">
        <f>'A) Base RI'!AN85</f>
        <v>1074</v>
      </c>
      <c r="E94" s="15">
        <f t="shared" si="5"/>
        <v>697097.871650705</v>
      </c>
      <c r="F94" s="44">
        <f>'F) Population'!K86</f>
        <v>124126.76056338029</v>
      </c>
      <c r="G94" s="10">
        <f>'G) Solidarité'!I83</f>
        <v>197383.96606071782</v>
      </c>
      <c r="H94" s="15">
        <f t="shared" si="3"/>
        <v>321510.72662409814</v>
      </c>
      <c r="I94" s="67">
        <f t="shared" si="4"/>
        <v>375587.14502660686</v>
      </c>
    </row>
    <row r="95" spans="1:9" x14ac:dyDescent="0.25">
      <c r="A95" s="53">
        <f>'A) Base RI'!A86</f>
        <v>5529</v>
      </c>
      <c r="B95" s="35" t="str">
        <f>'A) Base RI'!B86</f>
        <v>Oulens-sous-Echallens</v>
      </c>
      <c r="C95" s="15">
        <f>'D) Ecrêtage'!M84</f>
        <v>19874.862394366199</v>
      </c>
      <c r="D95" s="10">
        <f>'A) Base RI'!AN86</f>
        <v>560</v>
      </c>
      <c r="E95" s="15">
        <f t="shared" si="5"/>
        <v>368862.0788301985</v>
      </c>
      <c r="F95" s="44">
        <f>'F) Population'!K87</f>
        <v>55211.267605633802</v>
      </c>
      <c r="G95" s="10">
        <f>'G) Solidarité'!I84</f>
        <v>97073.861423843817</v>
      </c>
      <c r="H95" s="15">
        <f t="shared" si="3"/>
        <v>152285.12902947763</v>
      </c>
      <c r="I95" s="67">
        <f t="shared" si="4"/>
        <v>216576.94980072087</v>
      </c>
    </row>
    <row r="96" spans="1:9" x14ac:dyDescent="0.25">
      <c r="A96" s="53">
        <f>'A) Base RI'!A87</f>
        <v>5530</v>
      </c>
      <c r="B96" s="35" t="str">
        <f>'A) Base RI'!B87</f>
        <v>Pailly</v>
      </c>
      <c r="C96" s="15">
        <f>'D) Ecrêtage'!M85</f>
        <v>15272.027655913982</v>
      </c>
      <c r="D96" s="10">
        <f>'A) Base RI'!AN87</f>
        <v>534</v>
      </c>
      <c r="E96" s="15">
        <f t="shared" si="5"/>
        <v>283437.02498838649</v>
      </c>
      <c r="F96" s="44">
        <f>'F) Population'!K88</f>
        <v>52647.887323943658</v>
      </c>
      <c r="G96" s="10">
        <f>'G) Solidarité'!I85</f>
        <v>198629.0587099859</v>
      </c>
      <c r="H96" s="15">
        <f t="shared" si="3"/>
        <v>251276.94603392956</v>
      </c>
      <c r="I96" s="67">
        <f t="shared" si="4"/>
        <v>32160.078954456927</v>
      </c>
    </row>
    <row r="97" spans="1:9" x14ac:dyDescent="0.25">
      <c r="A97" s="53">
        <f>'A) Base RI'!A88</f>
        <v>5531</v>
      </c>
      <c r="B97" s="35" t="str">
        <f>'A) Base RI'!B88</f>
        <v>Penthéréaz</v>
      </c>
      <c r="C97" s="15">
        <f>'D) Ecrêtage'!M86</f>
        <v>12101.700128205126</v>
      </c>
      <c r="D97" s="10">
        <f>'A) Base RI'!AN88</f>
        <v>411</v>
      </c>
      <c r="E97" s="15">
        <f t="shared" si="5"/>
        <v>224598.19736587279</v>
      </c>
      <c r="F97" s="44">
        <f>'F) Population'!K89</f>
        <v>40521.126760563377</v>
      </c>
      <c r="G97" s="10">
        <f>'G) Solidarité'!I86</f>
        <v>146409.68497279094</v>
      </c>
      <c r="H97" s="15">
        <f t="shared" si="3"/>
        <v>186930.81173335432</v>
      </c>
      <c r="I97" s="67">
        <f t="shared" si="4"/>
        <v>37667.385632518475</v>
      </c>
    </row>
    <row r="98" spans="1:9" x14ac:dyDescent="0.25">
      <c r="A98" s="53">
        <f>'A) Base RI'!A89</f>
        <v>5533</v>
      </c>
      <c r="B98" s="35" t="str">
        <f>'A) Base RI'!B89</f>
        <v>Poliez-Pittet</v>
      </c>
      <c r="C98" s="15">
        <f>'D) Ecrêtage'!M87</f>
        <v>27045.170985915491</v>
      </c>
      <c r="D98" s="10">
        <f>'A) Base RI'!AN89</f>
        <v>844</v>
      </c>
      <c r="E98" s="15">
        <f t="shared" si="5"/>
        <v>501937.46221914841</v>
      </c>
      <c r="F98" s="44">
        <f>'F) Population'!K90</f>
        <v>83211.267605633795</v>
      </c>
      <c r="G98" s="10">
        <f>'G) Solidarité'!I87</f>
        <v>204912.39491166477</v>
      </c>
      <c r="H98" s="15">
        <f t="shared" si="3"/>
        <v>288123.6625172986</v>
      </c>
      <c r="I98" s="67">
        <f t="shared" si="4"/>
        <v>213813.79970184981</v>
      </c>
    </row>
    <row r="99" spans="1:9" x14ac:dyDescent="0.25">
      <c r="A99" s="53">
        <f>'A) Base RI'!A90</f>
        <v>5534</v>
      </c>
      <c r="B99" s="35" t="str">
        <f>'A) Base RI'!B90</f>
        <v>Rueyres</v>
      </c>
      <c r="C99" s="15">
        <f>'D) Ecrêtage'!M88</f>
        <v>10934.157945205479</v>
      </c>
      <c r="D99" s="10">
        <f>'A) Base RI'!AN90</f>
        <v>271</v>
      </c>
      <c r="E99" s="15">
        <f t="shared" si="5"/>
        <v>202929.51719099647</v>
      </c>
      <c r="F99" s="44">
        <f>'F) Population'!K91</f>
        <v>26718.309859154928</v>
      </c>
      <c r="G99" s="10">
        <f>'G) Solidarité'!I88</f>
        <v>21629.93861088753</v>
      </c>
      <c r="H99" s="15">
        <f t="shared" si="3"/>
        <v>48348.248470042454</v>
      </c>
      <c r="I99" s="67">
        <f t="shared" si="4"/>
        <v>154581.26872095402</v>
      </c>
    </row>
    <row r="100" spans="1:9" x14ac:dyDescent="0.25">
      <c r="A100" s="53">
        <f>'A) Base RI'!A91</f>
        <v>5535</v>
      </c>
      <c r="B100" s="35" t="str">
        <f>'A) Base RI'!B91</f>
        <v>Saint-Barthélemy</v>
      </c>
      <c r="C100" s="15">
        <f>'D) Ecrêtage'!M89</f>
        <v>20697.547200000001</v>
      </c>
      <c r="D100" s="10">
        <f>'A) Base RI'!AN91</f>
        <v>777</v>
      </c>
      <c r="E100" s="15">
        <f t="shared" si="5"/>
        <v>384130.47272429266</v>
      </c>
      <c r="F100" s="44">
        <f>'F) Population'!K92</f>
        <v>76605.633802816898</v>
      </c>
      <c r="G100" s="10">
        <f>'G) Solidarité'!I89</f>
        <v>304933.88537751103</v>
      </c>
      <c r="H100" s="15">
        <f t="shared" si="3"/>
        <v>381539.51918032794</v>
      </c>
      <c r="I100" s="67">
        <f t="shared" si="4"/>
        <v>2590.9535439647152</v>
      </c>
    </row>
    <row r="101" spans="1:9" x14ac:dyDescent="0.25">
      <c r="A101" s="53">
        <f>'A) Base RI'!A92</f>
        <v>5537</v>
      </c>
      <c r="B101" s="35" t="str">
        <f>'A) Base RI'!B92</f>
        <v>Villars-le-Terroir</v>
      </c>
      <c r="C101" s="15">
        <f>'D) Ecrêtage'!M90</f>
        <v>30041.138287671231</v>
      </c>
      <c r="D101" s="10">
        <f>'A) Base RI'!AN92</f>
        <v>1066</v>
      </c>
      <c r="E101" s="15">
        <f t="shared" si="5"/>
        <v>557540.29886299744</v>
      </c>
      <c r="F101" s="44">
        <f>'F) Population'!K93</f>
        <v>121366.19718309859</v>
      </c>
      <c r="G101" s="10">
        <f>'G) Solidarité'!I90</f>
        <v>361296.96197736275</v>
      </c>
      <c r="H101" s="15">
        <f t="shared" si="3"/>
        <v>482663.15916046133</v>
      </c>
      <c r="I101" s="67">
        <f t="shared" si="4"/>
        <v>74877.139702536108</v>
      </c>
    </row>
    <row r="102" spans="1:9" x14ac:dyDescent="0.25">
      <c r="A102" s="53">
        <f>'A) Base RI'!A93</f>
        <v>5539</v>
      </c>
      <c r="B102" s="35" t="str">
        <f>'A) Base RI'!B93</f>
        <v>Vuarrens</v>
      </c>
      <c r="C102" s="15">
        <f>'D) Ecrêtage'!M91</f>
        <v>22727.031566666661</v>
      </c>
      <c r="D102" s="10">
        <f>'A) Base RI'!AN93</f>
        <v>993</v>
      </c>
      <c r="E102" s="15">
        <f t="shared" si="5"/>
        <v>421796.13337582268</v>
      </c>
      <c r="F102" s="44">
        <f>'F) Population'!K94</f>
        <v>97901.408450704213</v>
      </c>
      <c r="G102" s="10">
        <f>'G) Solidarité'!I91</f>
        <v>473427.04431462684</v>
      </c>
      <c r="H102" s="15">
        <f t="shared" si="3"/>
        <v>571328.45276533102</v>
      </c>
      <c r="I102" s="67">
        <f t="shared" si="4"/>
        <v>-149532.31938950834</v>
      </c>
    </row>
    <row r="103" spans="1:9" x14ac:dyDescent="0.25">
      <c r="A103" s="53">
        <f>'A) Base RI'!A94</f>
        <v>5540</v>
      </c>
      <c r="B103" s="35" t="str">
        <f>'A) Base RI'!B94</f>
        <v>Montilliez</v>
      </c>
      <c r="C103" s="15">
        <f>'D) Ecrêtage'!M92</f>
        <v>54875.674391891895</v>
      </c>
      <c r="D103" s="10">
        <f>'A) Base RI'!AN94</f>
        <v>1698</v>
      </c>
      <c r="E103" s="15">
        <f t="shared" si="5"/>
        <v>1018450.0869369581</v>
      </c>
      <c r="F103" s="44">
        <f>'F) Population'!K95</f>
        <v>339450.70422535209</v>
      </c>
      <c r="G103" s="10">
        <f>'G) Solidarité'!I92</f>
        <v>437652.72216279246</v>
      </c>
      <c r="H103" s="15">
        <f>F103+G103</f>
        <v>777103.42638814449</v>
      </c>
      <c r="I103" s="67">
        <f>E103-H103</f>
        <v>241346.66054881364</v>
      </c>
    </row>
    <row r="104" spans="1:9" x14ac:dyDescent="0.25">
      <c r="A104" s="53">
        <f>'A) Base RI'!A95</f>
        <v>5541</v>
      </c>
      <c r="B104" s="35" t="str">
        <f>'A) Base RI'!B95</f>
        <v>Goumoëns</v>
      </c>
      <c r="C104" s="15">
        <f>'D) Ecrêtage'!M93</f>
        <v>32498.070519480509</v>
      </c>
      <c r="D104" s="10">
        <f>'A) Base RI'!AN95</f>
        <v>1051</v>
      </c>
      <c r="E104" s="15">
        <f t="shared" si="5"/>
        <v>603139.06138962426</v>
      </c>
      <c r="F104" s="44">
        <f>'F) Population'!K96</f>
        <v>116190.14084507042</v>
      </c>
      <c r="G104" s="10">
        <f>'G) Solidarité'!I93</f>
        <v>328084.72220636799</v>
      </c>
      <c r="H104" s="15">
        <f>F104+G104</f>
        <v>444274.86305143841</v>
      </c>
      <c r="I104" s="67">
        <f>E104-H104</f>
        <v>158864.19833818584</v>
      </c>
    </row>
    <row r="105" spans="1:9" x14ac:dyDescent="0.25">
      <c r="A105" s="53">
        <f>'A) Base RI'!A96</f>
        <v>5551</v>
      </c>
      <c r="B105" s="35" t="str">
        <f>'A) Base RI'!B96</f>
        <v>Bonvillars</v>
      </c>
      <c r="C105" s="15">
        <f>'D) Ecrêtage'!M94</f>
        <v>19291.965896103895</v>
      </c>
      <c r="D105" s="10">
        <f>'A) Base RI'!AN96</f>
        <v>495</v>
      </c>
      <c r="E105" s="15">
        <f t="shared" si="5"/>
        <v>358043.97051701474</v>
      </c>
      <c r="F105" s="44">
        <f>'F) Population'!K97</f>
        <v>48802.816901408449</v>
      </c>
      <c r="G105" s="10">
        <f>'G) Solidarité'!I94</f>
        <v>30648.128778522707</v>
      </c>
      <c r="H105" s="15">
        <f t="shared" si="3"/>
        <v>79450.945679931159</v>
      </c>
      <c r="I105" s="67">
        <f t="shared" si="4"/>
        <v>278593.02483708359</v>
      </c>
    </row>
    <row r="106" spans="1:9" x14ac:dyDescent="0.25">
      <c r="A106" s="53">
        <f>'A) Base RI'!A97</f>
        <v>5552</v>
      </c>
      <c r="B106" s="35" t="str">
        <f>'A) Base RI'!B97</f>
        <v>Bullet</v>
      </c>
      <c r="C106" s="15">
        <f>'D) Ecrêtage'!M95</f>
        <v>15735.537571428569</v>
      </c>
      <c r="D106" s="10">
        <f>'A) Base RI'!AN97</f>
        <v>629</v>
      </c>
      <c r="E106" s="15">
        <f t="shared" si="5"/>
        <v>292039.41063527198</v>
      </c>
      <c r="F106" s="44">
        <f>'F) Population'!K98</f>
        <v>62014.084507042251</v>
      </c>
      <c r="G106" s="10">
        <f>'G) Solidarité'!I95</f>
        <v>235002.16862576822</v>
      </c>
      <c r="H106" s="15">
        <f t="shared" si="3"/>
        <v>297016.25313281047</v>
      </c>
      <c r="I106" s="67">
        <f t="shared" si="4"/>
        <v>-4976.8424975384842</v>
      </c>
    </row>
    <row r="107" spans="1:9" x14ac:dyDescent="0.25">
      <c r="A107" s="53">
        <f>'A) Base RI'!A98</f>
        <v>5553</v>
      </c>
      <c r="B107" s="35" t="str">
        <f>'A) Base RI'!B98</f>
        <v>Champagne</v>
      </c>
      <c r="C107" s="15">
        <f>'D) Ecrêtage'!M96</f>
        <v>33369.783650793652</v>
      </c>
      <c r="D107" s="10">
        <f>'A) Base RI'!AN98</f>
        <v>1027</v>
      </c>
      <c r="E107" s="15">
        <f t="shared" si="5"/>
        <v>619317.38309971034</v>
      </c>
      <c r="F107" s="44">
        <f>'F) Population'!K99</f>
        <v>107908.45070422535</v>
      </c>
      <c r="G107" s="10">
        <f>'G) Solidarité'!I96</f>
        <v>189012.79431808647</v>
      </c>
      <c r="H107" s="15">
        <f t="shared" si="3"/>
        <v>296921.24502231181</v>
      </c>
      <c r="I107" s="67">
        <f t="shared" si="4"/>
        <v>322396.13807739853</v>
      </c>
    </row>
    <row r="108" spans="1:9" x14ac:dyDescent="0.25">
      <c r="A108" s="53">
        <f>'A) Base RI'!A99</f>
        <v>5554</v>
      </c>
      <c r="B108" s="35" t="str">
        <f>'A) Base RI'!B99</f>
        <v>Concise</v>
      </c>
      <c r="C108" s="15">
        <f>'D) Ecrêtage'!M97</f>
        <v>28986.7088</v>
      </c>
      <c r="D108" s="10">
        <f>'A) Base RI'!AN99</f>
        <v>960</v>
      </c>
      <c r="E108" s="15">
        <f t="shared" si="5"/>
        <v>537970.90285487613</v>
      </c>
      <c r="F108" s="44">
        <f>'F) Population'!K100</f>
        <v>94647.887323943651</v>
      </c>
      <c r="G108" s="10">
        <f>'G) Solidarité'!I97</f>
        <v>299993.43002722139</v>
      </c>
      <c r="H108" s="15">
        <f t="shared" si="3"/>
        <v>394641.31735116505</v>
      </c>
      <c r="I108" s="67">
        <f t="shared" si="4"/>
        <v>143329.58550371107</v>
      </c>
    </row>
    <row r="109" spans="1:9" x14ac:dyDescent="0.25">
      <c r="A109" s="53">
        <f>'A) Base RI'!A100</f>
        <v>5555</v>
      </c>
      <c r="B109" s="35" t="str">
        <f>'A) Base RI'!B100</f>
        <v>Corcelles-près-Concise</v>
      </c>
      <c r="C109" s="15">
        <f>'D) Ecrêtage'!M98</f>
        <v>11040.372394366199</v>
      </c>
      <c r="D109" s="10">
        <f>'A) Base RI'!AN100</f>
        <v>379</v>
      </c>
      <c r="E109" s="15">
        <f t="shared" si="5"/>
        <v>204900.77524259099</v>
      </c>
      <c r="F109" s="44">
        <f>'F) Population'!K101</f>
        <v>37366.197183098586</v>
      </c>
      <c r="G109" s="10">
        <f>'G) Solidarité'!I98</f>
        <v>114264.63807312975</v>
      </c>
      <c r="H109" s="15">
        <f t="shared" si="3"/>
        <v>151630.83525622834</v>
      </c>
      <c r="I109" s="67">
        <f t="shared" si="4"/>
        <v>53269.939986362646</v>
      </c>
    </row>
    <row r="110" spans="1:9" x14ac:dyDescent="0.25">
      <c r="A110" s="53">
        <f>'A) Base RI'!A101</f>
        <v>5556</v>
      </c>
      <c r="B110" s="35" t="str">
        <f>'A) Base RI'!B101</f>
        <v>Fiez</v>
      </c>
      <c r="C110" s="15">
        <f>'D) Ecrêtage'!M99</f>
        <v>12472.754202898552</v>
      </c>
      <c r="D110" s="10">
        <f>'A) Base RI'!AN101</f>
        <v>427</v>
      </c>
      <c r="E110" s="15">
        <f t="shared" si="5"/>
        <v>231484.67409381381</v>
      </c>
      <c r="F110" s="44">
        <f>'F) Population'!K102</f>
        <v>42098.591549295772</v>
      </c>
      <c r="G110" s="10">
        <f>'G) Solidarité'!I99</f>
        <v>120936.17036760211</v>
      </c>
      <c r="H110" s="15">
        <f t="shared" si="3"/>
        <v>163034.7619168979</v>
      </c>
      <c r="I110" s="67">
        <f t="shared" si="4"/>
        <v>68449.91217691591</v>
      </c>
    </row>
    <row r="111" spans="1:9" x14ac:dyDescent="0.25">
      <c r="A111" s="53">
        <f>'A) Base RI'!A102</f>
        <v>5557</v>
      </c>
      <c r="B111" s="35" t="str">
        <f>'A) Base RI'!B102</f>
        <v>Fontaines-sur-Grandson</v>
      </c>
      <c r="C111" s="15">
        <f>'D) Ecrêtage'!M100</f>
        <v>4030.2872463768117</v>
      </c>
      <c r="D111" s="10">
        <f>'A) Base RI'!AN102</f>
        <v>200</v>
      </c>
      <c r="E111" s="15">
        <f t="shared" si="5"/>
        <v>74799.015081623409</v>
      </c>
      <c r="F111" s="44">
        <f>'F) Population'!K103</f>
        <v>19718.309859154928</v>
      </c>
      <c r="G111" s="10">
        <f>'G) Solidarité'!I100</f>
        <v>91117.827975251479</v>
      </c>
      <c r="H111" s="15">
        <f t="shared" si="3"/>
        <v>110836.1378344064</v>
      </c>
      <c r="I111" s="67">
        <f t="shared" si="4"/>
        <v>-36037.122752782991</v>
      </c>
    </row>
    <row r="112" spans="1:9" x14ac:dyDescent="0.25">
      <c r="A112" s="53">
        <f>'A) Base RI'!A103</f>
        <v>5559</v>
      </c>
      <c r="B112" s="35" t="str">
        <f>'A) Base RI'!B103</f>
        <v>Giez</v>
      </c>
      <c r="C112" s="15">
        <f>'D) Ecrêtage'!M101</f>
        <v>18149.138484848489</v>
      </c>
      <c r="D112" s="10">
        <f>'A) Base RI'!AN103</f>
        <v>408</v>
      </c>
      <c r="E112" s="15">
        <f t="shared" si="5"/>
        <v>336833.97739629273</v>
      </c>
      <c r="F112" s="44">
        <f>'F) Population'!K104</f>
        <v>40225.352112676053</v>
      </c>
      <c r="G112" s="10">
        <f>'G) Solidarité'!I101</f>
        <v>0</v>
      </c>
      <c r="H112" s="15">
        <f t="shared" si="3"/>
        <v>40225.352112676053</v>
      </c>
      <c r="I112" s="67">
        <f t="shared" si="4"/>
        <v>296608.62528361665</v>
      </c>
    </row>
    <row r="113" spans="1:9" x14ac:dyDescent="0.25">
      <c r="A113" s="53">
        <f>'A) Base RI'!A104</f>
        <v>5560</v>
      </c>
      <c r="B113" s="35" t="str">
        <f>'A) Base RI'!B104</f>
        <v>Grandevent</v>
      </c>
      <c r="C113" s="15">
        <f>'D) Ecrêtage'!M102</f>
        <v>6446.6273529411765</v>
      </c>
      <c r="D113" s="10">
        <f>'A) Base RI'!AN104</f>
        <v>232</v>
      </c>
      <c r="E113" s="15">
        <f t="shared" si="5"/>
        <v>119644.41914946567</v>
      </c>
      <c r="F113" s="44">
        <f>'F) Population'!K105</f>
        <v>22873.239436619715</v>
      </c>
      <c r="G113" s="10">
        <f>'G) Solidarité'!I102</f>
        <v>69917.911936970006</v>
      </c>
      <c r="H113" s="15">
        <f t="shared" si="3"/>
        <v>92791.151373589717</v>
      </c>
      <c r="I113" s="67">
        <f t="shared" si="4"/>
        <v>26853.267775875953</v>
      </c>
    </row>
    <row r="114" spans="1:9" x14ac:dyDescent="0.25">
      <c r="A114" s="53">
        <f>'A) Base RI'!A105</f>
        <v>5561</v>
      </c>
      <c r="B114" s="35" t="str">
        <f>'A) Base RI'!B105</f>
        <v>Grandson</v>
      </c>
      <c r="C114" s="15">
        <f>'D) Ecrêtage'!M103</f>
        <v>115170.40130434782</v>
      </c>
      <c r="D114" s="10">
        <f>'A) Base RI'!AN105</f>
        <v>3313</v>
      </c>
      <c r="E114" s="15">
        <f t="shared" si="5"/>
        <v>2137473.5986535456</v>
      </c>
      <c r="F114" s="44">
        <f>'F) Population'!K106</f>
        <v>943028.1690140845</v>
      </c>
      <c r="G114" s="10">
        <f>'G) Solidarité'!I103</f>
        <v>588266.75679508597</v>
      </c>
      <c r="H114" s="15">
        <f t="shared" si="3"/>
        <v>1531294.9258091706</v>
      </c>
      <c r="I114" s="67">
        <f t="shared" si="4"/>
        <v>606178.67284437502</v>
      </c>
    </row>
    <row r="115" spans="1:9" x14ac:dyDescent="0.25">
      <c r="A115" s="53">
        <f>'A) Base RI'!A106</f>
        <v>5562</v>
      </c>
      <c r="B115" s="35" t="str">
        <f>'A) Base RI'!B106</f>
        <v>Mauborget</v>
      </c>
      <c r="C115" s="15">
        <f>'D) Ecrêtage'!M104</f>
        <v>3662.5545714285713</v>
      </c>
      <c r="D115" s="10">
        <f>'A) Base RI'!AN106</f>
        <v>123</v>
      </c>
      <c r="E115" s="15">
        <f t="shared" si="5"/>
        <v>67974.180964852494</v>
      </c>
      <c r="F115" s="44">
        <f>'F) Population'!K107</f>
        <v>12126.760563380281</v>
      </c>
      <c r="G115" s="10">
        <f>'G) Solidarité'!I104</f>
        <v>34488.534609651011</v>
      </c>
      <c r="H115" s="15">
        <f t="shared" si="3"/>
        <v>46615.295173031293</v>
      </c>
      <c r="I115" s="67">
        <f t="shared" si="4"/>
        <v>21358.885791821202</v>
      </c>
    </row>
    <row r="116" spans="1:9" x14ac:dyDescent="0.25">
      <c r="A116" s="53">
        <f>'A) Base RI'!A107</f>
        <v>5563</v>
      </c>
      <c r="B116" s="35" t="str">
        <f>'A) Base RI'!B107</f>
        <v>Mutrux</v>
      </c>
      <c r="C116" s="15">
        <f>'D) Ecrêtage'!M105</f>
        <v>4275.1686624203812</v>
      </c>
      <c r="D116" s="10">
        <f>'A) Base RI'!AN107</f>
        <v>162</v>
      </c>
      <c r="E116" s="15">
        <f t="shared" si="5"/>
        <v>79343.82482150459</v>
      </c>
      <c r="F116" s="44">
        <f>'F) Population'!K108</f>
        <v>15971.830985915492</v>
      </c>
      <c r="G116" s="10">
        <f>'G) Solidarité'!I105</f>
        <v>70638.059391937684</v>
      </c>
      <c r="H116" s="15">
        <f t="shared" si="3"/>
        <v>86609.890377853182</v>
      </c>
      <c r="I116" s="67">
        <f t="shared" si="4"/>
        <v>-7266.0655563485925</v>
      </c>
    </row>
    <row r="117" spans="1:9" x14ac:dyDescent="0.25">
      <c r="A117" s="53">
        <f>'A) Base RI'!A108</f>
        <v>5564</v>
      </c>
      <c r="B117" s="35" t="str">
        <f>'A) Base RI'!B108</f>
        <v>Novalles</v>
      </c>
      <c r="C117" s="15">
        <f>'D) Ecrêtage'!M106</f>
        <v>2063.0078618421053</v>
      </c>
      <c r="D117" s="10">
        <f>'A) Base RI'!AN108</f>
        <v>101</v>
      </c>
      <c r="E117" s="15">
        <f t="shared" si="5"/>
        <v>38287.830801677803</v>
      </c>
      <c r="F117" s="44">
        <f>'F) Population'!K109</f>
        <v>9957.7464788732395</v>
      </c>
      <c r="G117" s="10">
        <f>'G) Solidarité'!I106</f>
        <v>55184.633960106825</v>
      </c>
      <c r="H117" s="15">
        <f t="shared" si="3"/>
        <v>65142.380438980064</v>
      </c>
      <c r="I117" s="67">
        <f t="shared" si="4"/>
        <v>-26854.549637302262</v>
      </c>
    </row>
    <row r="118" spans="1:9" x14ac:dyDescent="0.25">
      <c r="A118" s="53">
        <f>'A) Base RI'!A109</f>
        <v>5565</v>
      </c>
      <c r="B118" s="35" t="str">
        <f>'A) Base RI'!B109</f>
        <v>Onnens</v>
      </c>
      <c r="C118" s="15">
        <f>'D) Ecrêtage'!M107</f>
        <v>17902.806410256413</v>
      </c>
      <c r="D118" s="10">
        <f>'A) Base RI'!AN109</f>
        <v>500</v>
      </c>
      <c r="E118" s="15">
        <f t="shared" si="5"/>
        <v>332262.24455539795</v>
      </c>
      <c r="F118" s="44">
        <f>'F) Population'!K110</f>
        <v>49295.774647887323</v>
      </c>
      <c r="G118" s="10">
        <f>'G) Solidarité'!I107</f>
        <v>69985.431135927298</v>
      </c>
      <c r="H118" s="15">
        <f t="shared" si="3"/>
        <v>119281.20578381463</v>
      </c>
      <c r="I118" s="67">
        <f t="shared" si="4"/>
        <v>212981.03877158332</v>
      </c>
    </row>
    <row r="119" spans="1:9" x14ac:dyDescent="0.25">
      <c r="A119" s="53">
        <f>'A) Base RI'!A110</f>
        <v>5566</v>
      </c>
      <c r="B119" s="35" t="str">
        <f>'A) Base RI'!B110</f>
        <v>Provence</v>
      </c>
      <c r="C119" s="15">
        <f>'D) Ecrêtage'!M108</f>
        <v>8605.0976954732487</v>
      </c>
      <c r="D119" s="10">
        <f>'A) Base RI'!AN110</f>
        <v>390</v>
      </c>
      <c r="E119" s="15">
        <f t="shared" si="5"/>
        <v>159703.95978132426</v>
      </c>
      <c r="F119" s="44">
        <f>'F) Population'!K111</f>
        <v>38450.704225352107</v>
      </c>
      <c r="G119" s="10">
        <f>'G) Solidarité'!I108</f>
        <v>225293.35497063477</v>
      </c>
      <c r="H119" s="15">
        <f t="shared" si="3"/>
        <v>263744.05919598689</v>
      </c>
      <c r="I119" s="67">
        <f t="shared" si="4"/>
        <v>-104040.09941466263</v>
      </c>
    </row>
    <row r="120" spans="1:9" x14ac:dyDescent="0.25">
      <c r="A120" s="53">
        <f>'A) Base RI'!A111</f>
        <v>5568</v>
      </c>
      <c r="B120" s="35" t="str">
        <f>'A) Base RI'!B111</f>
        <v>Sainte-Croix</v>
      </c>
      <c r="C120" s="15">
        <f>'D) Ecrêtage'!M109</f>
        <v>96229.339714285714</v>
      </c>
      <c r="D120" s="10">
        <f>'A) Base RI'!AN111</f>
        <v>4851</v>
      </c>
      <c r="E120" s="15">
        <f t="shared" si="5"/>
        <v>1785942.140738064</v>
      </c>
      <c r="F120" s="44">
        <f>'F) Population'!K112</f>
        <v>1701197.1830985914</v>
      </c>
      <c r="G120" s="10">
        <f>'G) Solidarité'!I109</f>
        <v>2304456.5683366633</v>
      </c>
      <c r="H120" s="15">
        <f t="shared" si="3"/>
        <v>4005653.7514352547</v>
      </c>
      <c r="I120" s="67">
        <f t="shared" si="4"/>
        <v>-2219711.6106971907</v>
      </c>
    </row>
    <row r="121" spans="1:9" x14ac:dyDescent="0.25">
      <c r="A121" s="53">
        <f>'A) Base RI'!A112</f>
        <v>5571</v>
      </c>
      <c r="B121" s="35" t="str">
        <f>'A) Base RI'!B112</f>
        <v>Tévenon</v>
      </c>
      <c r="C121" s="15">
        <f>'D) Ecrêtage'!M110</f>
        <v>20963.465799086756</v>
      </c>
      <c r="D121" s="10">
        <f>'A) Base RI'!AN112</f>
        <v>791</v>
      </c>
      <c r="E121" s="15">
        <f t="shared" si="5"/>
        <v>389065.71631554182</v>
      </c>
      <c r="F121" s="44">
        <f>'F) Population'!K113</f>
        <v>77985.915492957734</v>
      </c>
      <c r="G121" s="10">
        <f>'G) Solidarité'!I110</f>
        <v>296371.83015194593</v>
      </c>
      <c r="H121" s="15">
        <f t="shared" si="3"/>
        <v>374357.74564490368</v>
      </c>
      <c r="I121" s="67">
        <f t="shared" si="4"/>
        <v>14707.97067063814</v>
      </c>
    </row>
    <row r="122" spans="1:9" x14ac:dyDescent="0.25">
      <c r="A122" s="53">
        <f>'A) Base RI'!A113</f>
        <v>5581</v>
      </c>
      <c r="B122" s="35" t="str">
        <f>'A) Base RI'!B113</f>
        <v>Belmont-sur-Lausanne</v>
      </c>
      <c r="C122" s="15">
        <f>'D) Ecrêtage'!M111</f>
        <v>187042.91923261393</v>
      </c>
      <c r="D122" s="10">
        <f>'A) Base RI'!AN113</f>
        <v>3564</v>
      </c>
      <c r="E122" s="15">
        <f t="shared" si="5"/>
        <v>3471371.9596955758</v>
      </c>
      <c r="F122" s="44">
        <f>'F) Population'!K114</f>
        <v>1066760.5633802817</v>
      </c>
      <c r="G122" s="10">
        <f>'G) Solidarité'!I111</f>
        <v>0</v>
      </c>
      <c r="H122" s="15">
        <f t="shared" si="3"/>
        <v>1066760.5633802817</v>
      </c>
      <c r="I122" s="67">
        <f t="shared" si="4"/>
        <v>2404611.3963152943</v>
      </c>
    </row>
    <row r="123" spans="1:9" x14ac:dyDescent="0.25">
      <c r="A123" s="53">
        <f>'A) Base RI'!A114</f>
        <v>5582</v>
      </c>
      <c r="B123" s="35" t="str">
        <f>'A) Base RI'!B114</f>
        <v>Cheseaux-sur-Lausanne</v>
      </c>
      <c r="C123" s="15">
        <f>'D) Ecrêtage'!M112</f>
        <v>203617.184295302</v>
      </c>
      <c r="D123" s="10">
        <f>'A) Base RI'!AN114</f>
        <v>4347</v>
      </c>
      <c r="E123" s="15">
        <f t="shared" si="5"/>
        <v>3778977.5040659779</v>
      </c>
      <c r="F123" s="44">
        <f>'F) Population'!K115</f>
        <v>1452746.4788732394</v>
      </c>
      <c r="G123" s="10">
        <f>'G) Solidarité'!I112</f>
        <v>0</v>
      </c>
      <c r="H123" s="15">
        <f t="shared" si="3"/>
        <v>1452746.4788732394</v>
      </c>
      <c r="I123" s="67">
        <f t="shared" si="4"/>
        <v>2326231.0251927385</v>
      </c>
    </row>
    <row r="124" spans="1:9" x14ac:dyDescent="0.25">
      <c r="A124" s="53">
        <f>'A) Base RI'!A115</f>
        <v>5583</v>
      </c>
      <c r="B124" s="35" t="str">
        <f>'A) Base RI'!B115</f>
        <v>Crissier</v>
      </c>
      <c r="C124" s="15">
        <f>'D) Ecrêtage'!M113</f>
        <v>311741.22092307697</v>
      </c>
      <c r="D124" s="10">
        <f>'A) Base RI'!AN115</f>
        <v>7636</v>
      </c>
      <c r="E124" s="15">
        <f t="shared" si="5"/>
        <v>5785676.0225593159</v>
      </c>
      <c r="F124" s="44">
        <f>'F) Population'!K116</f>
        <v>3333971.8309859154</v>
      </c>
      <c r="G124" s="10">
        <f>'G) Solidarité'!I113</f>
        <v>421606.58418337168</v>
      </c>
      <c r="H124" s="15">
        <f t="shared" si="3"/>
        <v>3755578.415169287</v>
      </c>
      <c r="I124" s="67">
        <f t="shared" si="4"/>
        <v>2030097.6073900289</v>
      </c>
    </row>
    <row r="125" spans="1:9" x14ac:dyDescent="0.25">
      <c r="A125" s="53">
        <f>'A) Base RI'!A116</f>
        <v>5584</v>
      </c>
      <c r="B125" s="35" t="str">
        <f>'A) Base RI'!B116</f>
        <v>Epalinges</v>
      </c>
      <c r="C125" s="15">
        <f>'D) Ecrêtage'!M114</f>
        <v>455692.51</v>
      </c>
      <c r="D125" s="10">
        <f>'A) Base RI'!AN116</f>
        <v>9297</v>
      </c>
      <c r="E125" s="15">
        <f t="shared" si="5"/>
        <v>8457300.6449391954</v>
      </c>
      <c r="F125" s="44">
        <f>'F) Population'!K117</f>
        <v>4389739.4366197176</v>
      </c>
      <c r="G125" s="10">
        <f>'G) Solidarité'!I114</f>
        <v>0</v>
      </c>
      <c r="H125" s="15">
        <f t="shared" si="3"/>
        <v>4389739.4366197176</v>
      </c>
      <c r="I125" s="67">
        <f t="shared" si="4"/>
        <v>4067561.2083194777</v>
      </c>
    </row>
    <row r="126" spans="1:9" x14ac:dyDescent="0.25">
      <c r="A126" s="53">
        <f>'A) Base RI'!A117</f>
        <v>5585</v>
      </c>
      <c r="B126" s="35" t="str">
        <f>'A) Base RI'!B117</f>
        <v>Jouxtens-Mézery</v>
      </c>
      <c r="C126" s="15">
        <f>'D) Ecrêtage'!M115</f>
        <v>141606.14993641613</v>
      </c>
      <c r="D126" s="10">
        <f>'A) Base RI'!AN117</f>
        <v>1448</v>
      </c>
      <c r="E126" s="15">
        <f t="shared" si="5"/>
        <v>2628100.6531896004</v>
      </c>
      <c r="F126" s="44">
        <f>'F) Population'!K118</f>
        <v>253183.09859154932</v>
      </c>
      <c r="G126" s="10">
        <f>'G) Solidarité'!I115</f>
        <v>0</v>
      </c>
      <c r="H126" s="15">
        <f t="shared" si="3"/>
        <v>253183.09859154932</v>
      </c>
      <c r="I126" s="67">
        <f t="shared" si="4"/>
        <v>2374917.5545980511</v>
      </c>
    </row>
    <row r="127" spans="1:9" x14ac:dyDescent="0.25">
      <c r="A127" s="53">
        <f>'A) Base RI'!A118</f>
        <v>5586</v>
      </c>
      <c r="B127" s="35" t="str">
        <f>'A) Base RI'!B118</f>
        <v>Lausanne</v>
      </c>
      <c r="C127" s="15">
        <f>'D) Ecrêtage'!M116</f>
        <v>6075429.3645991571</v>
      </c>
      <c r="D127" s="10">
        <f>'A) Base RI'!AN118</f>
        <v>137053</v>
      </c>
      <c r="E127" s="15">
        <f t="shared" si="5"/>
        <v>112755271.49548054</v>
      </c>
      <c r="F127" s="44">
        <f>'F) Population'!K119</f>
        <v>135963316.90140843</v>
      </c>
      <c r="G127" s="10">
        <f>'G) Solidarité'!I116</f>
        <v>0</v>
      </c>
      <c r="H127" s="15">
        <f t="shared" ref="H127:H180" si="6">F127+G127</f>
        <v>135963316.90140843</v>
      </c>
      <c r="I127" s="67">
        <f t="shared" ref="I127:I180" si="7">E127-H127</f>
        <v>-23208045.405927896</v>
      </c>
    </row>
    <row r="128" spans="1:9" x14ac:dyDescent="0.25">
      <c r="A128" s="53">
        <f>'A) Base RI'!A119</f>
        <v>5587</v>
      </c>
      <c r="B128" s="35" t="str">
        <f>'A) Base RI'!B119</f>
        <v>Le Mont-sur-Lausanne</v>
      </c>
      <c r="C128" s="15">
        <f>'D) Ecrêtage'!M117</f>
        <v>413343.80273333337</v>
      </c>
      <c r="D128" s="10">
        <f>'A) Base RI'!AN119</f>
        <v>7881</v>
      </c>
      <c r="E128" s="15">
        <f t="shared" si="5"/>
        <v>7671341.3820170974</v>
      </c>
      <c r="F128" s="44">
        <f>'F) Population'!K120</f>
        <v>3478901.4084507041</v>
      </c>
      <c r="G128" s="10">
        <f>'G) Solidarité'!I117</f>
        <v>0</v>
      </c>
      <c r="H128" s="15">
        <f t="shared" si="6"/>
        <v>3478901.4084507041</v>
      </c>
      <c r="I128" s="67">
        <f t="shared" si="7"/>
        <v>4192439.9735663934</v>
      </c>
    </row>
    <row r="129" spans="1:9" x14ac:dyDescent="0.25">
      <c r="A129" s="53">
        <f>'A) Base RI'!A120</f>
        <v>5588</v>
      </c>
      <c r="B129" s="35" t="str">
        <f>'A) Base RI'!B120</f>
        <v>Paudex</v>
      </c>
      <c r="C129" s="15">
        <f>'D) Ecrêtage'!M118</f>
        <v>124239.86682322888</v>
      </c>
      <c r="D129" s="10">
        <f>'A) Base RI'!AN120</f>
        <v>1473</v>
      </c>
      <c r="E129" s="15">
        <f t="shared" si="5"/>
        <v>2305795.8661889206</v>
      </c>
      <c r="F129" s="44">
        <f>'F) Population'!K121</f>
        <v>261809.85915492958</v>
      </c>
      <c r="G129" s="10">
        <f>'G) Solidarité'!I118</f>
        <v>0</v>
      </c>
      <c r="H129" s="15">
        <f t="shared" si="6"/>
        <v>261809.85915492958</v>
      </c>
      <c r="I129" s="67">
        <f t="shared" si="7"/>
        <v>2043986.0070339909</v>
      </c>
    </row>
    <row r="130" spans="1:9" x14ac:dyDescent="0.25">
      <c r="A130" s="53">
        <f>'A) Base RI'!A121</f>
        <v>5589</v>
      </c>
      <c r="B130" s="35" t="str">
        <f>'A) Base RI'!B121</f>
        <v>Prilly</v>
      </c>
      <c r="C130" s="15">
        <f>'D) Ecrêtage'!M119</f>
        <v>437574.2323809524</v>
      </c>
      <c r="D130" s="10">
        <f>'A) Base RI'!AN121</f>
        <v>11871</v>
      </c>
      <c r="E130" s="15">
        <f t="shared" si="5"/>
        <v>8121039.4213505993</v>
      </c>
      <c r="F130" s="44">
        <f>'F) Population'!K122</f>
        <v>6546823.943661971</v>
      </c>
      <c r="G130" s="10">
        <f>'G) Solidarité'!I119</f>
        <v>1854142.4855072985</v>
      </c>
      <c r="H130" s="15">
        <f t="shared" si="6"/>
        <v>8400966.4291692693</v>
      </c>
      <c r="I130" s="67">
        <f t="shared" si="7"/>
        <v>-279927.00781867001</v>
      </c>
    </row>
    <row r="131" spans="1:9" x14ac:dyDescent="0.25">
      <c r="A131" s="53">
        <f>'A) Base RI'!A122</f>
        <v>5590</v>
      </c>
      <c r="B131" s="35" t="str">
        <f>'A) Base RI'!B122</f>
        <v>Pully</v>
      </c>
      <c r="C131" s="15">
        <f>'D) Ecrêtage'!M120</f>
        <v>1257122.2124035268</v>
      </c>
      <c r="D131" s="10">
        <f>'A) Base RI'!AN122</f>
        <v>17979</v>
      </c>
      <c r="E131" s="15">
        <f t="shared" si="5"/>
        <v>23331216.257488489</v>
      </c>
      <c r="F131" s="44">
        <f>'F) Population'!K123</f>
        <v>12696570.422535211</v>
      </c>
      <c r="G131" s="10">
        <f>'G) Solidarité'!I120</f>
        <v>0</v>
      </c>
      <c r="H131" s="15">
        <f t="shared" si="6"/>
        <v>12696570.422535211</v>
      </c>
      <c r="I131" s="67">
        <f t="shared" si="7"/>
        <v>10634645.834953278</v>
      </c>
    </row>
    <row r="132" spans="1:9" x14ac:dyDescent="0.25">
      <c r="A132" s="53">
        <f>'A) Base RI'!A123</f>
        <v>5591</v>
      </c>
      <c r="B132" s="35" t="str">
        <f>'A) Base RI'!B123</f>
        <v>Renens</v>
      </c>
      <c r="C132" s="15">
        <f>'D) Ecrêtage'!M121</f>
        <v>529647.11015468603</v>
      </c>
      <c r="D132" s="10">
        <f>'A) Base RI'!AN123</f>
        <v>20323</v>
      </c>
      <c r="E132" s="15">
        <f t="shared" si="5"/>
        <v>9829840.8422412034</v>
      </c>
      <c r="F132" s="44">
        <f>'F) Population'!K124</f>
        <v>15123105.633802816</v>
      </c>
      <c r="G132" s="10">
        <f>'G) Solidarité'!I121</f>
        <v>9025989.1045988351</v>
      </c>
      <c r="H132" s="15">
        <f t="shared" si="6"/>
        <v>24149094.738401651</v>
      </c>
      <c r="I132" s="67">
        <f t="shared" si="7"/>
        <v>-14319253.896160448</v>
      </c>
    </row>
    <row r="133" spans="1:9" x14ac:dyDescent="0.25">
      <c r="A133" s="53">
        <f>'A) Base RI'!A124</f>
        <v>5592</v>
      </c>
      <c r="B133" s="35" t="str">
        <f>'A) Base RI'!B124</f>
        <v>Romanel-sur-Lausanne</v>
      </c>
      <c r="C133" s="15">
        <f>'D) Ecrêtage'!M122</f>
        <v>116555.94314285714</v>
      </c>
      <c r="D133" s="10">
        <f>'A) Base RI'!AN124</f>
        <v>3352</v>
      </c>
      <c r="E133" s="15">
        <f t="shared" si="5"/>
        <v>2163188.1838777247</v>
      </c>
      <c r="F133" s="44">
        <f>'F) Population'!K125</f>
        <v>962253.52112676052</v>
      </c>
      <c r="G133" s="10">
        <f>'G) Solidarité'!I122</f>
        <v>611985.52294210624</v>
      </c>
      <c r="H133" s="15">
        <f t="shared" si="6"/>
        <v>1574239.0440688669</v>
      </c>
      <c r="I133" s="67">
        <f t="shared" si="7"/>
        <v>588949.13980885781</v>
      </c>
    </row>
    <row r="134" spans="1:9" x14ac:dyDescent="0.25">
      <c r="A134" s="53">
        <f>'A) Base RI'!A125</f>
        <v>5601</v>
      </c>
      <c r="B134" s="35" t="str">
        <f>'A) Base RI'!B125</f>
        <v>Chexbres</v>
      </c>
      <c r="C134" s="15">
        <f>'D) Ecrêtage'!M123</f>
        <v>99746.160000000018</v>
      </c>
      <c r="D134" s="10">
        <f>'A) Base RI'!AN125</f>
        <v>2235</v>
      </c>
      <c r="E134" s="15">
        <f t="shared" si="5"/>
        <v>1851211.6060415572</v>
      </c>
      <c r="F134" s="44">
        <f>'F) Population'!K126</f>
        <v>524753.52112676052</v>
      </c>
      <c r="G134" s="10">
        <f>'G) Solidarité'!I123</f>
        <v>0</v>
      </c>
      <c r="H134" s="15">
        <f t="shared" si="6"/>
        <v>524753.52112676052</v>
      </c>
      <c r="I134" s="67">
        <f t="shared" si="7"/>
        <v>1326458.0849147965</v>
      </c>
    </row>
    <row r="135" spans="1:9" x14ac:dyDescent="0.25">
      <c r="A135" s="53">
        <f>'A) Base RI'!A126</f>
        <v>5604</v>
      </c>
      <c r="B135" s="35" t="str">
        <f>'A) Base RI'!B126</f>
        <v>Forel (Lavaux)</v>
      </c>
      <c r="C135" s="15">
        <f>'D) Ecrêtage'!M124</f>
        <v>71240.347352941171</v>
      </c>
      <c r="D135" s="10">
        <f>'A) Base RI'!AN126</f>
        <v>2066</v>
      </c>
      <c r="E135" s="15">
        <f t="shared" si="5"/>
        <v>1322165.763957195</v>
      </c>
      <c r="F135" s="44">
        <f>'F) Population'!K127</f>
        <v>466436.61971830984</v>
      </c>
      <c r="G135" s="10">
        <f>'G) Solidarité'!I124</f>
        <v>367014.67815412645</v>
      </c>
      <c r="H135" s="15">
        <f t="shared" si="6"/>
        <v>833451.29787243623</v>
      </c>
      <c r="I135" s="67">
        <f t="shared" si="7"/>
        <v>488714.46608475875</v>
      </c>
    </row>
    <row r="136" spans="1:9" x14ac:dyDescent="0.25">
      <c r="A136" s="53">
        <f>'A) Base RI'!A127</f>
        <v>5606</v>
      </c>
      <c r="B136" s="35" t="str">
        <f>'A) Base RI'!B127</f>
        <v>Lutry</v>
      </c>
      <c r="C136" s="15">
        <f>'D) Ecrêtage'!M125</f>
        <v>685132.52802278637</v>
      </c>
      <c r="D136" s="10">
        <f>'A) Base RI'!AN127</f>
        <v>9888</v>
      </c>
      <c r="E136" s="15">
        <f t="shared" si="5"/>
        <v>12715529.976816896</v>
      </c>
      <c r="F136" s="44">
        <f>'F) Population'!K128</f>
        <v>4885014.0845070416</v>
      </c>
      <c r="G136" s="10">
        <f>'G) Solidarité'!I125</f>
        <v>0</v>
      </c>
      <c r="H136" s="15">
        <f t="shared" si="6"/>
        <v>4885014.0845070416</v>
      </c>
      <c r="I136" s="67">
        <f t="shared" si="7"/>
        <v>7830515.8923098547</v>
      </c>
    </row>
    <row r="137" spans="1:9" x14ac:dyDescent="0.25">
      <c r="A137" s="53">
        <f>'A) Base RI'!A128</f>
        <v>5607</v>
      </c>
      <c r="B137" s="35" t="str">
        <f>'A) Base RI'!B128</f>
        <v>Puidoux</v>
      </c>
      <c r="C137" s="15">
        <f>'D) Ecrêtage'!M126</f>
        <v>97147.534937888209</v>
      </c>
      <c r="D137" s="10">
        <f>'A) Base RI'!AN128</f>
        <v>2874</v>
      </c>
      <c r="E137" s="15">
        <f t="shared" si="5"/>
        <v>1802983.1341411669</v>
      </c>
      <c r="F137" s="44">
        <f>'F) Population'!K129</f>
        <v>745253.52112676052</v>
      </c>
      <c r="G137" s="10">
        <f>'G) Solidarité'!I126</f>
        <v>579300.72405787394</v>
      </c>
      <c r="H137" s="15">
        <f t="shared" si="6"/>
        <v>1324554.2451846343</v>
      </c>
      <c r="I137" s="67">
        <f t="shared" si="7"/>
        <v>478428.88895653258</v>
      </c>
    </row>
    <row r="138" spans="1:9" x14ac:dyDescent="0.25">
      <c r="A138" s="53">
        <f>'A) Base RI'!A129</f>
        <v>5609</v>
      </c>
      <c r="B138" s="35" t="str">
        <f>'A) Base RI'!B129</f>
        <v>Rivaz</v>
      </c>
      <c r="C138" s="15">
        <f>'D) Ecrêtage'!M127</f>
        <v>16888.91165354331</v>
      </c>
      <c r="D138" s="10">
        <f>'A) Base RI'!AN129</f>
        <v>357</v>
      </c>
      <c r="E138" s="15">
        <f t="shared" si="5"/>
        <v>313445.14181247557</v>
      </c>
      <c r="F138" s="44">
        <f>'F) Population'!K130</f>
        <v>35197.183098591544</v>
      </c>
      <c r="G138" s="10">
        <f>'G) Solidarité'!I127</f>
        <v>0</v>
      </c>
      <c r="H138" s="15">
        <f t="shared" si="6"/>
        <v>35197.183098591544</v>
      </c>
      <c r="I138" s="67">
        <f t="shared" si="7"/>
        <v>278247.958713884</v>
      </c>
    </row>
    <row r="139" spans="1:9" x14ac:dyDescent="0.25">
      <c r="A139" s="53">
        <f>'A) Base RI'!A130</f>
        <v>5610</v>
      </c>
      <c r="B139" s="35" t="str">
        <f>'A) Base RI'!B130</f>
        <v>St-Saphorin (Lavaux)</v>
      </c>
      <c r="C139" s="15">
        <f>'D) Ecrêtage'!M128</f>
        <v>20007.714179104478</v>
      </c>
      <c r="D139" s="10">
        <f>'A) Base RI'!AN130</f>
        <v>398</v>
      </c>
      <c r="E139" s="15">
        <f t="shared" si="5"/>
        <v>371327.70523417072</v>
      </c>
      <c r="F139" s="44">
        <f>'F) Population'!K131</f>
        <v>39239.436619718304</v>
      </c>
      <c r="G139" s="10">
        <f>'G) Solidarité'!I128</f>
        <v>0</v>
      </c>
      <c r="H139" s="15">
        <f t="shared" si="6"/>
        <v>39239.436619718304</v>
      </c>
      <c r="I139" s="67">
        <f t="shared" si="7"/>
        <v>332088.26861445239</v>
      </c>
    </row>
    <row r="140" spans="1:9" x14ac:dyDescent="0.25">
      <c r="A140" s="53">
        <f>'A) Base RI'!A131</f>
        <v>5611</v>
      </c>
      <c r="B140" s="35" t="str">
        <f>'A) Base RI'!B131</f>
        <v>Savigny</v>
      </c>
      <c r="C140" s="15">
        <f>'D) Ecrêtage'!M129</f>
        <v>115537.42516908211</v>
      </c>
      <c r="D140" s="10">
        <f>'A) Base RI'!AN131</f>
        <v>3276</v>
      </c>
      <c r="E140" s="15">
        <f t="shared" si="5"/>
        <v>2144285.2778007966</v>
      </c>
      <c r="F140" s="44">
        <f>'F) Population'!K132</f>
        <v>924788.73239436618</v>
      </c>
      <c r="G140" s="10">
        <f>'G) Solidarité'!I129</f>
        <v>550239.36424041993</v>
      </c>
      <c r="H140" s="15">
        <f t="shared" si="6"/>
        <v>1475028.0966347861</v>
      </c>
      <c r="I140" s="67">
        <f t="shared" si="7"/>
        <v>669257.18116601044</v>
      </c>
    </row>
    <row r="141" spans="1:9" x14ac:dyDescent="0.25">
      <c r="A141" s="53">
        <f>'A) Base RI'!A132</f>
        <v>5613</v>
      </c>
      <c r="B141" s="35" t="str">
        <f>'A) Base RI'!B132</f>
        <v>Bourg-en-Lavaux</v>
      </c>
      <c r="C141" s="15">
        <f>'D) Ecrêtage'!M130</f>
        <v>300134.21856717777</v>
      </c>
      <c r="D141" s="10">
        <f>'A) Base RI'!AN132</f>
        <v>5296</v>
      </c>
      <c r="E141" s="15">
        <f t="shared" si="5"/>
        <v>5570259.0333479792</v>
      </c>
      <c r="F141" s="44">
        <f>'F) Population'!K133</f>
        <v>1949746.4788732394</v>
      </c>
      <c r="G141" s="10">
        <f>'G) Solidarité'!I130</f>
        <v>0</v>
      </c>
      <c r="H141" s="15">
        <f t="shared" si="6"/>
        <v>1949746.4788732394</v>
      </c>
      <c r="I141" s="67">
        <f t="shared" si="7"/>
        <v>3620512.5544747398</v>
      </c>
    </row>
    <row r="142" spans="1:9" x14ac:dyDescent="0.25">
      <c r="A142" s="53">
        <f>'A) Base RI'!A133</f>
        <v>5621</v>
      </c>
      <c r="B142" s="35" t="str">
        <f>'A) Base RI'!B133</f>
        <v>Aclens</v>
      </c>
      <c r="C142" s="15">
        <f>'D) Ecrêtage'!M131</f>
        <v>26820.105850439882</v>
      </c>
      <c r="D142" s="10">
        <f>'A) Base RI'!AN133</f>
        <v>521</v>
      </c>
      <c r="E142" s="15">
        <f t="shared" si="5"/>
        <v>497760.4273246947</v>
      </c>
      <c r="F142" s="44">
        <f>'F) Population'!K134</f>
        <v>51366.197183098586</v>
      </c>
      <c r="G142" s="10">
        <f>'G) Solidarité'!I131</f>
        <v>0</v>
      </c>
      <c r="H142" s="15">
        <f t="shared" si="6"/>
        <v>51366.197183098586</v>
      </c>
      <c r="I142" s="67">
        <f t="shared" si="7"/>
        <v>446394.23014159611</v>
      </c>
    </row>
    <row r="143" spans="1:9" x14ac:dyDescent="0.25">
      <c r="A143" s="53">
        <f>'A) Base RI'!A134</f>
        <v>5622</v>
      </c>
      <c r="B143" s="35" t="str">
        <f>'A) Base RI'!B134</f>
        <v>Bremblens</v>
      </c>
      <c r="C143" s="15">
        <f>'D) Ecrêtage'!M132</f>
        <v>31335.32030656391</v>
      </c>
      <c r="D143" s="10">
        <f>'A) Base RI'!AN134</f>
        <v>516</v>
      </c>
      <c r="E143" s="15">
        <f t="shared" si="5"/>
        <v>581559.31647434633</v>
      </c>
      <c r="F143" s="44">
        <f>'F) Population'!K135</f>
        <v>50873.239436619711</v>
      </c>
      <c r="G143" s="10">
        <f>'G) Solidarité'!I132</f>
        <v>0</v>
      </c>
      <c r="H143" s="15">
        <f t="shared" si="6"/>
        <v>50873.239436619711</v>
      </c>
      <c r="I143" s="67">
        <f t="shared" si="7"/>
        <v>530686.07703772665</v>
      </c>
    </row>
    <row r="144" spans="1:9" x14ac:dyDescent="0.25">
      <c r="A144" s="53">
        <f>'A) Base RI'!A135</f>
        <v>5623</v>
      </c>
      <c r="B144" s="35" t="str">
        <f>'A) Base RI'!B135</f>
        <v>Buchillon</v>
      </c>
      <c r="C144" s="15">
        <f>'D) Ecrêtage'!M133</f>
        <v>58516.615294914322</v>
      </c>
      <c r="D144" s="10">
        <f>'A) Base RI'!AN135</f>
        <v>609</v>
      </c>
      <c r="E144" s="15">
        <f t="shared" si="5"/>
        <v>1086023.1349278437</v>
      </c>
      <c r="F144" s="44">
        <f>'F) Population'!K136</f>
        <v>60042.253521126753</v>
      </c>
      <c r="G144" s="10">
        <f>'G) Solidarité'!I133</f>
        <v>0</v>
      </c>
      <c r="H144" s="15">
        <f t="shared" si="6"/>
        <v>60042.253521126753</v>
      </c>
      <c r="I144" s="67">
        <f t="shared" si="7"/>
        <v>1025980.881406717</v>
      </c>
    </row>
    <row r="145" spans="1:9" x14ac:dyDescent="0.25">
      <c r="A145" s="53">
        <f>'A) Base RI'!A136</f>
        <v>5624</v>
      </c>
      <c r="B145" s="35" t="str">
        <f>'A) Base RI'!B136</f>
        <v>Bussigny</v>
      </c>
      <c r="C145" s="15">
        <f>'D) Ecrêtage'!M134</f>
        <v>334130.13322580641</v>
      </c>
      <c r="D145" s="10">
        <f>'A) Base RI'!AN136</f>
        <v>8227</v>
      </c>
      <c r="E145" s="15">
        <f t="shared" ref="E145:E208" si="8">C145*E$15</f>
        <v>6201196.9238296943</v>
      </c>
      <c r="F145" s="44">
        <f>'F) Population'!K137</f>
        <v>3683577.4647887321</v>
      </c>
      <c r="G145" s="10">
        <f>'G) Solidarité'!I134</f>
        <v>439987.89907120931</v>
      </c>
      <c r="H145" s="15">
        <f t="shared" si="6"/>
        <v>4123565.3638599413</v>
      </c>
      <c r="I145" s="67">
        <f t="shared" si="7"/>
        <v>2077631.559969753</v>
      </c>
    </row>
    <row r="146" spans="1:9" x14ac:dyDescent="0.25">
      <c r="A146" s="53">
        <f>'A) Base RI'!A137</f>
        <v>5625</v>
      </c>
      <c r="B146" s="35" t="str">
        <f>'A) Base RI'!B137</f>
        <v>Bussy-Chardonney</v>
      </c>
      <c r="C146" s="15">
        <f>'D) Ecrêtage'!M135</f>
        <v>13745.926324786325</v>
      </c>
      <c r="D146" s="10">
        <f>'A) Base RI'!AN137</f>
        <v>369</v>
      </c>
      <c r="E146" s="15">
        <f t="shared" si="8"/>
        <v>255113.76426156767</v>
      </c>
      <c r="F146" s="44">
        <f>'F) Population'!K138</f>
        <v>36380.281690140844</v>
      </c>
      <c r="G146" s="10">
        <f>'G) Solidarité'!I135</f>
        <v>61399.085223319322</v>
      </c>
      <c r="H146" s="15">
        <f t="shared" si="6"/>
        <v>97779.366913460166</v>
      </c>
      <c r="I146" s="67">
        <f t="shared" si="7"/>
        <v>157334.39734810751</v>
      </c>
    </row>
    <row r="147" spans="1:9" x14ac:dyDescent="0.25">
      <c r="A147" s="53">
        <f>'A) Base RI'!A138</f>
        <v>5627</v>
      </c>
      <c r="B147" s="35" t="str">
        <f>'A) Base RI'!B138</f>
        <v>Chavannes-près-Renens</v>
      </c>
      <c r="C147" s="15">
        <f>'D) Ecrêtage'!M136</f>
        <v>171770.86046413501</v>
      </c>
      <c r="D147" s="10">
        <f>'A) Base RI'!AN138</f>
        <v>7543</v>
      </c>
      <c r="E147" s="15">
        <f t="shared" si="8"/>
        <v>3187934.3572820402</v>
      </c>
      <c r="F147" s="44">
        <f>'F) Population'!K139</f>
        <v>3278957.7464788733</v>
      </c>
      <c r="G147" s="10">
        <f>'G) Solidarité'!I136</f>
        <v>4011701.6792774172</v>
      </c>
      <c r="H147" s="15">
        <f t="shared" si="6"/>
        <v>7290659.4257562906</v>
      </c>
      <c r="I147" s="67">
        <f t="shared" si="7"/>
        <v>-4102725.0684742504</v>
      </c>
    </row>
    <row r="148" spans="1:9" x14ac:dyDescent="0.25">
      <c r="A148" s="53">
        <f>'A) Base RI'!A139</f>
        <v>5628</v>
      </c>
      <c r="B148" s="35" t="str">
        <f>'A) Base RI'!B139</f>
        <v>Chigny</v>
      </c>
      <c r="C148" s="15">
        <f>'D) Ecrêtage'!M137</f>
        <v>19317.272281276957</v>
      </c>
      <c r="D148" s="10">
        <f>'A) Base RI'!AN139</f>
        <v>343</v>
      </c>
      <c r="E148" s="15">
        <f t="shared" si="8"/>
        <v>358513.63745897351</v>
      </c>
      <c r="F148" s="44">
        <f>'F) Population'!K140</f>
        <v>33816.9014084507</v>
      </c>
      <c r="G148" s="10">
        <f>'G) Solidarité'!I137</f>
        <v>0</v>
      </c>
      <c r="H148" s="15">
        <f t="shared" si="6"/>
        <v>33816.9014084507</v>
      </c>
      <c r="I148" s="67">
        <f t="shared" si="7"/>
        <v>324696.73605052283</v>
      </c>
    </row>
    <row r="149" spans="1:9" x14ac:dyDescent="0.25">
      <c r="A149" s="53">
        <f>'A) Base RI'!A140</f>
        <v>5629</v>
      </c>
      <c r="B149" s="35" t="str">
        <f>'A) Base RI'!B140</f>
        <v>Clarmont</v>
      </c>
      <c r="C149" s="15">
        <f>'D) Ecrêtage'!M138</f>
        <v>7536.1791999999996</v>
      </c>
      <c r="D149" s="10">
        <f>'A) Base RI'!AN140</f>
        <v>175</v>
      </c>
      <c r="E149" s="15">
        <f t="shared" si="8"/>
        <v>139865.6589912732</v>
      </c>
      <c r="F149" s="44">
        <f>'F) Population'!K141</f>
        <v>17253.521126760563</v>
      </c>
      <c r="G149" s="10">
        <f>'G) Solidarité'!I138</f>
        <v>4056.7712206605038</v>
      </c>
      <c r="H149" s="15">
        <f t="shared" si="6"/>
        <v>21310.292347421066</v>
      </c>
      <c r="I149" s="67">
        <f t="shared" si="7"/>
        <v>118555.36664385213</v>
      </c>
    </row>
    <row r="150" spans="1:9" x14ac:dyDescent="0.25">
      <c r="A150" s="53">
        <f>'A) Base RI'!A141</f>
        <v>5631</v>
      </c>
      <c r="B150" s="35" t="str">
        <f>'A) Base RI'!B141</f>
        <v>Denens</v>
      </c>
      <c r="C150" s="15">
        <f>'D) Ecrêtage'!M139</f>
        <v>42221.936176470583</v>
      </c>
      <c r="D150" s="10">
        <f>'A) Base RI'!AN141</f>
        <v>769</v>
      </c>
      <c r="E150" s="15">
        <f t="shared" si="8"/>
        <v>783606.48950724746</v>
      </c>
      <c r="F150" s="44">
        <f>'F) Population'!K142</f>
        <v>75816.901408450693</v>
      </c>
      <c r="G150" s="10">
        <f>'G) Solidarité'!I139</f>
        <v>0</v>
      </c>
      <c r="H150" s="15">
        <f t="shared" si="6"/>
        <v>75816.901408450693</v>
      </c>
      <c r="I150" s="67">
        <f t="shared" si="7"/>
        <v>707789.58809879678</v>
      </c>
    </row>
    <row r="151" spans="1:9" x14ac:dyDescent="0.25">
      <c r="A151" s="53">
        <f>'A) Base RI'!A142</f>
        <v>5632</v>
      </c>
      <c r="B151" s="35" t="str">
        <f>'A) Base RI'!B142</f>
        <v>Denges</v>
      </c>
      <c r="C151" s="15">
        <f>'D) Ecrêtage'!M140</f>
        <v>67310.066612903232</v>
      </c>
      <c r="D151" s="10">
        <f>'A) Base RI'!AN142</f>
        <v>1624</v>
      </c>
      <c r="E151" s="15">
        <f t="shared" si="8"/>
        <v>1249222.7923083634</v>
      </c>
      <c r="F151" s="44">
        <f>'F) Population'!K143</f>
        <v>313915.49295774649</v>
      </c>
      <c r="G151" s="10">
        <f>'G) Solidarité'!I140</f>
        <v>66064.59239970526</v>
      </c>
      <c r="H151" s="15">
        <f t="shared" si="6"/>
        <v>379980.08535745175</v>
      </c>
      <c r="I151" s="67">
        <f t="shared" si="7"/>
        <v>869242.70695091155</v>
      </c>
    </row>
    <row r="152" spans="1:9" x14ac:dyDescent="0.25">
      <c r="A152" s="53">
        <f>'A) Base RI'!A143</f>
        <v>5633</v>
      </c>
      <c r="B152" s="35" t="str">
        <f>'A) Base RI'!B143</f>
        <v>Echandens</v>
      </c>
      <c r="C152" s="15">
        <f>'D) Ecrêtage'!M141</f>
        <v>139554.44612903227</v>
      </c>
      <c r="D152" s="10">
        <f>'A) Base RI'!AN143</f>
        <v>2731</v>
      </c>
      <c r="E152" s="15">
        <f t="shared" si="8"/>
        <v>2590022.6168983923</v>
      </c>
      <c r="F152" s="44">
        <f>'F) Population'!K144</f>
        <v>695908.45070422534</v>
      </c>
      <c r="G152" s="10">
        <f>'G) Solidarité'!I141</f>
        <v>0</v>
      </c>
      <c r="H152" s="15">
        <f t="shared" si="6"/>
        <v>695908.45070422534</v>
      </c>
      <c r="I152" s="67">
        <f t="shared" si="7"/>
        <v>1894114.166194167</v>
      </c>
    </row>
    <row r="153" spans="1:9" x14ac:dyDescent="0.25">
      <c r="A153" s="53">
        <f>'A) Base RI'!A144</f>
        <v>5634</v>
      </c>
      <c r="B153" s="35" t="str">
        <f>'A) Base RI'!B144</f>
        <v>Echichens</v>
      </c>
      <c r="C153" s="15">
        <f>'D) Ecrêtage'!M142</f>
        <v>125699.21529411766</v>
      </c>
      <c r="D153" s="10">
        <f>'A) Base RI'!AN144</f>
        <v>2639</v>
      </c>
      <c r="E153" s="15">
        <f t="shared" si="8"/>
        <v>2332880.2454429022</v>
      </c>
      <c r="F153" s="44">
        <f>'F) Population'!K145</f>
        <v>664161.97183098597</v>
      </c>
      <c r="G153" s="10">
        <f>'G) Solidarité'!I142</f>
        <v>0</v>
      </c>
      <c r="H153" s="15">
        <f t="shared" si="6"/>
        <v>664161.97183098597</v>
      </c>
      <c r="I153" s="67">
        <f t="shared" si="7"/>
        <v>1668718.2736119162</v>
      </c>
    </row>
    <row r="154" spans="1:9" x14ac:dyDescent="0.25">
      <c r="A154" s="53">
        <f>'A) Base RI'!A145</f>
        <v>5635</v>
      </c>
      <c r="B154" s="35" t="str">
        <f>'A) Base RI'!B145</f>
        <v>Ecublens</v>
      </c>
      <c r="C154" s="15">
        <f>'D) Ecrêtage'!M143</f>
        <v>424543.31159592536</v>
      </c>
      <c r="D154" s="10">
        <f>'A) Base RI'!AN145</f>
        <v>12340</v>
      </c>
      <c r="E154" s="15">
        <f t="shared" si="8"/>
        <v>7879195.6070659179</v>
      </c>
      <c r="F154" s="44">
        <f>'F) Population'!K146</f>
        <v>6990140.8450704217</v>
      </c>
      <c r="G154" s="10">
        <f>'G) Solidarité'!I143</f>
        <v>1837226.0903455135</v>
      </c>
      <c r="H154" s="15">
        <f t="shared" si="6"/>
        <v>8827366.9354159348</v>
      </c>
      <c r="I154" s="67">
        <f t="shared" si="7"/>
        <v>-948171.32835001685</v>
      </c>
    </row>
    <row r="155" spans="1:9" x14ac:dyDescent="0.25">
      <c r="A155" s="53">
        <f>'A) Base RI'!A146</f>
        <v>5636</v>
      </c>
      <c r="B155" s="35" t="str">
        <f>'A) Base RI'!B146</f>
        <v>Etoy</v>
      </c>
      <c r="C155" s="15">
        <f>'D) Ecrêtage'!M144</f>
        <v>150854.83475409835</v>
      </c>
      <c r="D155" s="10">
        <f>'A) Base RI'!AN146</f>
        <v>2906</v>
      </c>
      <c r="E155" s="15">
        <f t="shared" si="8"/>
        <v>2799749.0923386733</v>
      </c>
      <c r="F155" s="44">
        <f>'F) Population'!K147</f>
        <v>756295.77464788733</v>
      </c>
      <c r="G155" s="10">
        <f>'G) Solidarité'!I144</f>
        <v>0</v>
      </c>
      <c r="H155" s="15">
        <f t="shared" si="6"/>
        <v>756295.77464788733</v>
      </c>
      <c r="I155" s="67">
        <f t="shared" si="7"/>
        <v>2043453.317690786</v>
      </c>
    </row>
    <row r="156" spans="1:9" x14ac:dyDescent="0.25">
      <c r="A156" s="53">
        <f>'A) Base RI'!A147</f>
        <v>5637</v>
      </c>
      <c r="B156" s="35" t="str">
        <f>'A) Base RI'!B147</f>
        <v>Lavigny</v>
      </c>
      <c r="C156" s="15">
        <f>'D) Ecrêtage'!M145</f>
        <v>35788.809619686814</v>
      </c>
      <c r="D156" s="10">
        <f>'A) Base RI'!AN147</f>
        <v>1006</v>
      </c>
      <c r="E156" s="15">
        <f t="shared" si="8"/>
        <v>664212.63469567103</v>
      </c>
      <c r="F156" s="44">
        <f>'F) Population'!K148</f>
        <v>100661.97183098592</v>
      </c>
      <c r="G156" s="10">
        <f>'G) Solidarité'!I145</f>
        <v>190116.71926104062</v>
      </c>
      <c r="H156" s="15">
        <f t="shared" si="6"/>
        <v>290778.69109202654</v>
      </c>
      <c r="I156" s="67">
        <f t="shared" si="7"/>
        <v>373433.9436036445</v>
      </c>
    </row>
    <row r="157" spans="1:9" x14ac:dyDescent="0.25">
      <c r="A157" s="53">
        <f>'A) Base RI'!A148</f>
        <v>5638</v>
      </c>
      <c r="B157" s="35" t="str">
        <f>'A) Base RI'!B148</f>
        <v>Lonay</v>
      </c>
      <c r="C157" s="15">
        <f>'D) Ecrêtage'!M146</f>
        <v>147644.94143177712</v>
      </c>
      <c r="D157" s="10">
        <f>'A) Base RI'!AN148</f>
        <v>2530</v>
      </c>
      <c r="E157" s="15">
        <f t="shared" si="8"/>
        <v>2740175.9541603578</v>
      </c>
      <c r="F157" s="44">
        <f>'F) Population'!K149</f>
        <v>626549.29577464785</v>
      </c>
      <c r="G157" s="10">
        <f>'G) Solidarité'!I146</f>
        <v>0</v>
      </c>
      <c r="H157" s="15">
        <f t="shared" si="6"/>
        <v>626549.29577464785</v>
      </c>
      <c r="I157" s="67">
        <f t="shared" si="7"/>
        <v>2113626.6583857099</v>
      </c>
    </row>
    <row r="158" spans="1:9" x14ac:dyDescent="0.25">
      <c r="A158" s="53">
        <f>'A) Base RI'!A149</f>
        <v>5639</v>
      </c>
      <c r="B158" s="35" t="str">
        <f>'A) Base RI'!B149</f>
        <v>Lully</v>
      </c>
      <c r="C158" s="15">
        <f>'D) Ecrêtage'!M147</f>
        <v>41723.705573770494</v>
      </c>
      <c r="D158" s="10">
        <f>'A) Base RI'!AN149</f>
        <v>785</v>
      </c>
      <c r="E158" s="15">
        <f t="shared" si="8"/>
        <v>774359.71475217433</v>
      </c>
      <c r="F158" s="44">
        <f>'F) Population'!K150</f>
        <v>77394.366197183088</v>
      </c>
      <c r="G158" s="10">
        <f>'G) Solidarité'!I147</f>
        <v>0</v>
      </c>
      <c r="H158" s="15">
        <f t="shared" si="6"/>
        <v>77394.366197183088</v>
      </c>
      <c r="I158" s="67">
        <f t="shared" si="7"/>
        <v>696965.34855499119</v>
      </c>
    </row>
    <row r="159" spans="1:9" x14ac:dyDescent="0.25">
      <c r="A159" s="53">
        <f>'A) Base RI'!A150</f>
        <v>5640</v>
      </c>
      <c r="B159" s="35" t="str">
        <f>'A) Base RI'!B150</f>
        <v>Lussy-sur-Morges</v>
      </c>
      <c r="C159" s="15">
        <f>'D) Ecrêtage'!M148</f>
        <v>46773.482488911992</v>
      </c>
      <c r="D159" s="10">
        <f>'A) Base RI'!AN150</f>
        <v>644</v>
      </c>
      <c r="E159" s="15">
        <f t="shared" si="8"/>
        <v>868079.66981842113</v>
      </c>
      <c r="F159" s="44">
        <f>'F) Population'!K151</f>
        <v>63492.957746478867</v>
      </c>
      <c r="G159" s="10">
        <f>'G) Solidarité'!I148</f>
        <v>0</v>
      </c>
      <c r="H159" s="15">
        <f t="shared" si="6"/>
        <v>63492.957746478867</v>
      </c>
      <c r="I159" s="67">
        <f t="shared" si="7"/>
        <v>804586.71207194228</v>
      </c>
    </row>
    <row r="160" spans="1:9" x14ac:dyDescent="0.25">
      <c r="A160" s="53">
        <f>'A) Base RI'!A151</f>
        <v>5642</v>
      </c>
      <c r="B160" s="35" t="str">
        <f>'A) Base RI'!B151</f>
        <v>Morges</v>
      </c>
      <c r="C160" s="15">
        <f>'D) Ecrêtage'!M149</f>
        <v>781778.61635036487</v>
      </c>
      <c r="D160" s="10">
        <f>'A) Base RI'!AN151</f>
        <v>15819</v>
      </c>
      <c r="E160" s="15">
        <f t="shared" si="8"/>
        <v>14509206.649588367</v>
      </c>
      <c r="F160" s="44">
        <f>'F) Population'!K152</f>
        <v>10460514.084507041</v>
      </c>
      <c r="G160" s="10">
        <f>'G) Solidarité'!I149</f>
        <v>0</v>
      </c>
      <c r="H160" s="15">
        <f t="shared" si="6"/>
        <v>10460514.084507041</v>
      </c>
      <c r="I160" s="67">
        <f t="shared" si="7"/>
        <v>4048692.5650813263</v>
      </c>
    </row>
    <row r="161" spans="1:9" x14ac:dyDescent="0.25">
      <c r="A161" s="53">
        <f>'A) Base RI'!A152</f>
        <v>5643</v>
      </c>
      <c r="B161" s="35" t="str">
        <f>'A) Base RI'!B152</f>
        <v>Préverenges</v>
      </c>
      <c r="C161" s="15">
        <f>'D) Ecrêtage'!M150</f>
        <v>262779.91921874997</v>
      </c>
      <c r="D161" s="10">
        <f>'A) Base RI'!AN152</f>
        <v>5276</v>
      </c>
      <c r="E161" s="15">
        <f t="shared" si="8"/>
        <v>4876992.1197208269</v>
      </c>
      <c r="F161" s="44">
        <f>'F) Population'!K153</f>
        <v>1937915.4929577464</v>
      </c>
      <c r="G161" s="10">
        <f>'G) Solidarité'!I150</f>
        <v>0</v>
      </c>
      <c r="H161" s="15">
        <f t="shared" si="6"/>
        <v>1937915.4929577464</v>
      </c>
      <c r="I161" s="67">
        <f t="shared" si="7"/>
        <v>2939076.6267630802</v>
      </c>
    </row>
    <row r="162" spans="1:9" x14ac:dyDescent="0.25">
      <c r="A162" s="53">
        <f>'A) Base RI'!A153</f>
        <v>5644</v>
      </c>
      <c r="B162" s="35" t="str">
        <f>'A) Base RI'!B153</f>
        <v>Reverolle</v>
      </c>
      <c r="C162" s="15">
        <f>'D) Ecrêtage'!M151</f>
        <v>14128.860263157892</v>
      </c>
      <c r="D162" s="10">
        <f>'A) Base RI'!AN153</f>
        <v>368</v>
      </c>
      <c r="E162" s="15">
        <f t="shared" si="8"/>
        <v>262220.72207388491</v>
      </c>
      <c r="F162" s="44">
        <f>'F) Population'!K154</f>
        <v>36281.690140845065</v>
      </c>
      <c r="G162" s="10">
        <f>'G) Solidarité'!I151</f>
        <v>48433.212733677297</v>
      </c>
      <c r="H162" s="15">
        <f t="shared" si="6"/>
        <v>84714.902874522362</v>
      </c>
      <c r="I162" s="67">
        <f t="shared" si="7"/>
        <v>177505.81919936254</v>
      </c>
    </row>
    <row r="163" spans="1:9" x14ac:dyDescent="0.25">
      <c r="A163" s="53">
        <f>'A) Base RI'!A154</f>
        <v>5645</v>
      </c>
      <c r="B163" s="35" t="str">
        <f>'A) Base RI'!B154</f>
        <v>Romanel-sur-Morges</v>
      </c>
      <c r="C163" s="15">
        <f>'D) Ecrêtage'!M152</f>
        <v>26355.884598214288</v>
      </c>
      <c r="D163" s="10">
        <f>'A) Base RI'!AN154</f>
        <v>477</v>
      </c>
      <c r="E163" s="15">
        <f t="shared" si="8"/>
        <v>489144.83981845726</v>
      </c>
      <c r="F163" s="44">
        <f>'F) Population'!K155</f>
        <v>47028.169014084502</v>
      </c>
      <c r="G163" s="10">
        <f>'G) Solidarité'!I152</f>
        <v>0</v>
      </c>
      <c r="H163" s="15">
        <f t="shared" si="6"/>
        <v>47028.169014084502</v>
      </c>
      <c r="I163" s="67">
        <f t="shared" si="7"/>
        <v>442116.67080437276</v>
      </c>
    </row>
    <row r="164" spans="1:9" x14ac:dyDescent="0.25">
      <c r="A164" s="53">
        <f>'A) Base RI'!A155</f>
        <v>5646</v>
      </c>
      <c r="B164" s="35" t="str">
        <f>'A) Base RI'!B155</f>
        <v>Saint-Prex</v>
      </c>
      <c r="C164" s="15">
        <f>'D) Ecrêtage'!M153</f>
        <v>440016.87022919563</v>
      </c>
      <c r="D164" s="10">
        <f>'A) Base RI'!AN155</f>
        <v>5661</v>
      </c>
      <c r="E164" s="15">
        <f t="shared" si="8"/>
        <v>8166372.891170633</v>
      </c>
      <c r="F164" s="44">
        <f>'F) Population'!K156</f>
        <v>2165661.971830986</v>
      </c>
      <c r="G164" s="10">
        <f>'G) Solidarité'!I153</f>
        <v>0</v>
      </c>
      <c r="H164" s="15">
        <f t="shared" si="6"/>
        <v>2165661.971830986</v>
      </c>
      <c r="I164" s="67">
        <f t="shared" si="7"/>
        <v>6000710.9193396475</v>
      </c>
    </row>
    <row r="165" spans="1:9" x14ac:dyDescent="0.25">
      <c r="A165" s="53">
        <f>'A) Base RI'!A156</f>
        <v>5648</v>
      </c>
      <c r="B165" s="35" t="str">
        <f>'A) Base RI'!B156</f>
        <v>Saint-Sulpice</v>
      </c>
      <c r="C165" s="15">
        <f>'D) Ecrêtage'!M154</f>
        <v>285929.07649603003</v>
      </c>
      <c r="D165" s="10">
        <f>'A) Base RI'!AN156</f>
        <v>4148</v>
      </c>
      <c r="E165" s="15">
        <f t="shared" si="8"/>
        <v>5306622.5798987644</v>
      </c>
      <c r="F165" s="44">
        <f>'F) Population'!K157</f>
        <v>1354647.8873239437</v>
      </c>
      <c r="G165" s="10">
        <f>'G) Solidarité'!I154</f>
        <v>0</v>
      </c>
      <c r="H165" s="15">
        <f t="shared" si="6"/>
        <v>1354647.8873239437</v>
      </c>
      <c r="I165" s="67">
        <f t="shared" si="7"/>
        <v>3951974.6925748205</v>
      </c>
    </row>
    <row r="166" spans="1:9" x14ac:dyDescent="0.25">
      <c r="A166" s="53">
        <f>'A) Base RI'!A157</f>
        <v>5649</v>
      </c>
      <c r="B166" s="35" t="str">
        <f>'A) Base RI'!B157</f>
        <v>Tolochenaz</v>
      </c>
      <c r="C166" s="15">
        <f>'D) Ecrêtage'!M155</f>
        <v>78727.730769230766</v>
      </c>
      <c r="D166" s="10">
        <f>'A) Base RI'!AN157</f>
        <v>1865</v>
      </c>
      <c r="E166" s="15">
        <f t="shared" si="8"/>
        <v>1461125.8109316186</v>
      </c>
      <c r="F166" s="44">
        <f>'F) Population'!K158</f>
        <v>397077.46478873241</v>
      </c>
      <c r="G166" s="10">
        <f>'G) Solidarité'!I155</f>
        <v>59260.39545689473</v>
      </c>
      <c r="H166" s="15">
        <f t="shared" si="6"/>
        <v>456337.86024562712</v>
      </c>
      <c r="I166" s="67">
        <f t="shared" si="7"/>
        <v>1004787.9506859914</v>
      </c>
    </row>
    <row r="167" spans="1:9" x14ac:dyDescent="0.25">
      <c r="A167" s="53">
        <f>'A) Base RI'!A158</f>
        <v>5650</v>
      </c>
      <c r="B167" s="35" t="str">
        <f>'A) Base RI'!B158</f>
        <v>Vaux-sur-Morges</v>
      </c>
      <c r="C167" s="15">
        <f>'D) Ecrêtage'!M156</f>
        <v>97886.364459633754</v>
      </c>
      <c r="D167" s="10">
        <f>'A) Base RI'!AN158</f>
        <v>200</v>
      </c>
      <c r="E167" s="15">
        <f t="shared" si="8"/>
        <v>1816695.2388030556</v>
      </c>
      <c r="F167" s="44">
        <f>'F) Population'!K159</f>
        <v>19718.309859154928</v>
      </c>
      <c r="G167" s="10">
        <f>'G) Solidarité'!I156</f>
        <v>0</v>
      </c>
      <c r="H167" s="15">
        <f t="shared" si="6"/>
        <v>19718.309859154928</v>
      </c>
      <c r="I167" s="67">
        <f t="shared" si="7"/>
        <v>1796976.9289439006</v>
      </c>
    </row>
    <row r="168" spans="1:9" x14ac:dyDescent="0.25">
      <c r="A168" s="53">
        <f>'A) Base RI'!A159</f>
        <v>5651</v>
      </c>
      <c r="B168" s="35" t="str">
        <f>'A) Base RI'!B159</f>
        <v>Villars-Sainte-Croix</v>
      </c>
      <c r="C168" s="15">
        <f>'D) Ecrêtage'!M157</f>
        <v>39092.930338983046</v>
      </c>
      <c r="D168" s="10">
        <f>'A) Base RI'!AN159</f>
        <v>841</v>
      </c>
      <c r="E168" s="15">
        <f t="shared" si="8"/>
        <v>725534.56050538202</v>
      </c>
      <c r="F168" s="44">
        <f>'F) Population'!K160</f>
        <v>82915.492957746479</v>
      </c>
      <c r="G168" s="10">
        <f>'G) Solidarité'!I157</f>
        <v>0</v>
      </c>
      <c r="H168" s="15">
        <f t="shared" si="6"/>
        <v>82915.492957746479</v>
      </c>
      <c r="I168" s="67">
        <f t="shared" si="7"/>
        <v>642619.06754763552</v>
      </c>
    </row>
    <row r="169" spans="1:9" x14ac:dyDescent="0.25">
      <c r="A169" s="53">
        <f>'A) Base RI'!A160</f>
        <v>5652</v>
      </c>
      <c r="B169" s="35" t="str">
        <f>'A) Base RI'!B160</f>
        <v>Villars-sous-Yens</v>
      </c>
      <c r="C169" s="15">
        <f>'D) Ecrêtage'!M158</f>
        <v>21921.455131578947</v>
      </c>
      <c r="D169" s="10">
        <f>'A) Base RI'!AN160</f>
        <v>598</v>
      </c>
      <c r="E169" s="15">
        <f t="shared" si="8"/>
        <v>406845.25761090143</v>
      </c>
      <c r="F169" s="44">
        <f>'F) Population'!K161</f>
        <v>58957.746478873232</v>
      </c>
      <c r="G169" s="10">
        <f>'G) Solidarité'!I158</f>
        <v>102663.91899134993</v>
      </c>
      <c r="H169" s="15">
        <f t="shared" si="6"/>
        <v>161621.66547022318</v>
      </c>
      <c r="I169" s="67">
        <f t="shared" si="7"/>
        <v>245223.59214067826</v>
      </c>
    </row>
    <row r="170" spans="1:9" x14ac:dyDescent="0.25">
      <c r="A170" s="53">
        <f>'A) Base RI'!A161</f>
        <v>5653</v>
      </c>
      <c r="B170" s="35" t="str">
        <f>'A) Base RI'!B161</f>
        <v>Vufflens-le-Château</v>
      </c>
      <c r="C170" s="15">
        <f>'D) Ecrêtage'!M159</f>
        <v>55874.435849684494</v>
      </c>
      <c r="D170" s="10">
        <f>'A) Base RI'!AN161</f>
        <v>841</v>
      </c>
      <c r="E170" s="15">
        <f t="shared" si="8"/>
        <v>1036986.3273529565</v>
      </c>
      <c r="F170" s="44">
        <f>'F) Population'!K162</f>
        <v>82915.492957746479</v>
      </c>
      <c r="G170" s="10">
        <f>'G) Solidarité'!I159</f>
        <v>0</v>
      </c>
      <c r="H170" s="15">
        <f t="shared" si="6"/>
        <v>82915.492957746479</v>
      </c>
      <c r="I170" s="67">
        <f t="shared" si="7"/>
        <v>954070.83439521003</v>
      </c>
    </row>
    <row r="171" spans="1:9" x14ac:dyDescent="0.25">
      <c r="A171" s="53">
        <f>'A) Base RI'!A162</f>
        <v>5654</v>
      </c>
      <c r="B171" s="35" t="str">
        <f>'A) Base RI'!B162</f>
        <v>Vullierens</v>
      </c>
      <c r="C171" s="15">
        <f>'D) Ecrêtage'!M160</f>
        <v>17141.735000000001</v>
      </c>
      <c r="D171" s="10">
        <f>'A) Base RI'!AN162</f>
        <v>461</v>
      </c>
      <c r="E171" s="15">
        <f t="shared" si="8"/>
        <v>318137.34764013742</v>
      </c>
      <c r="F171" s="44">
        <f>'F) Population'!K163</f>
        <v>45450.704225352107</v>
      </c>
      <c r="G171" s="10">
        <f>'G) Solidarité'!I160</f>
        <v>73547.90015949677</v>
      </c>
      <c r="H171" s="15">
        <f t="shared" si="6"/>
        <v>118998.60438484888</v>
      </c>
      <c r="I171" s="67">
        <f t="shared" si="7"/>
        <v>199138.74325528854</v>
      </c>
    </row>
    <row r="172" spans="1:9" x14ac:dyDescent="0.25">
      <c r="A172" s="53">
        <f>'A) Base RI'!A163</f>
        <v>5655</v>
      </c>
      <c r="B172" s="35" t="str">
        <f>'A) Base RI'!B163</f>
        <v>Yens</v>
      </c>
      <c r="C172" s="15">
        <f>'D) Ecrêtage'!M161</f>
        <v>81517.852964189922</v>
      </c>
      <c r="D172" s="10">
        <f>'A) Base RI'!AN163</f>
        <v>1388</v>
      </c>
      <c r="E172" s="15">
        <f t="shared" si="8"/>
        <v>1512908.3215524037</v>
      </c>
      <c r="F172" s="44">
        <f>'F) Population'!K164</f>
        <v>232478.87323943659</v>
      </c>
      <c r="G172" s="10">
        <f>'G) Solidarité'!I161</f>
        <v>0</v>
      </c>
      <c r="H172" s="15">
        <f t="shared" si="6"/>
        <v>232478.87323943659</v>
      </c>
      <c r="I172" s="67">
        <f t="shared" si="7"/>
        <v>1280429.4483129671</v>
      </c>
    </row>
    <row r="173" spans="1:9" x14ac:dyDescent="0.25">
      <c r="A173" s="53">
        <f>'A) Base RI'!A164</f>
        <v>5661</v>
      </c>
      <c r="B173" s="35" t="str">
        <f>'A) Base RI'!B164</f>
        <v>Boulens</v>
      </c>
      <c r="C173" s="15">
        <f>'D) Ecrêtage'!M162</f>
        <v>9592.9711392405043</v>
      </c>
      <c r="D173" s="10">
        <f>'A) Base RI'!AN164</f>
        <v>368</v>
      </c>
      <c r="E173" s="15">
        <f t="shared" si="8"/>
        <v>178038.12707560591</v>
      </c>
      <c r="F173" s="44">
        <f>'F) Population'!K165</f>
        <v>36281.690140845065</v>
      </c>
      <c r="G173" s="10">
        <f>'G) Solidarité'!I162</f>
        <v>165468.63232757783</v>
      </c>
      <c r="H173" s="15">
        <f t="shared" si="6"/>
        <v>201750.32246842288</v>
      </c>
      <c r="I173" s="67">
        <f t="shared" si="7"/>
        <v>-23712.195392816968</v>
      </c>
    </row>
    <row r="174" spans="1:9" x14ac:dyDescent="0.25">
      <c r="A174" s="53">
        <f>'A) Base RI'!A165</f>
        <v>5662</v>
      </c>
      <c r="B174" s="35" t="str">
        <f>'A) Base RI'!B165</f>
        <v>Brenles</v>
      </c>
      <c r="C174" s="15">
        <f>'D) Ecrêtage'!M163</f>
        <v>5126.068504273504</v>
      </c>
      <c r="D174" s="10">
        <f>'A) Base RI'!AN165</f>
        <v>138</v>
      </c>
      <c r="E174" s="15">
        <f t="shared" si="8"/>
        <v>95135.8679720121</v>
      </c>
      <c r="F174" s="44">
        <f>'F) Population'!K166</f>
        <v>13605.633802816901</v>
      </c>
      <c r="G174" s="10">
        <f>'G) Solidarité'!I163</f>
        <v>23319.311602863818</v>
      </c>
      <c r="H174" s="15">
        <f t="shared" si="6"/>
        <v>36924.945405680715</v>
      </c>
      <c r="I174" s="67">
        <f t="shared" si="7"/>
        <v>58210.922566331385</v>
      </c>
    </row>
    <row r="175" spans="1:9" x14ac:dyDescent="0.25">
      <c r="A175" s="53">
        <f>'A) Base RI'!A166</f>
        <v>5663</v>
      </c>
      <c r="B175" s="35" t="str">
        <f>'A) Base RI'!B166</f>
        <v>Bussy-sur-Moudon</v>
      </c>
      <c r="C175" s="15">
        <f>'D) Ecrêtage'!M164</f>
        <v>5468.4132499999996</v>
      </c>
      <c r="D175" s="10">
        <f>'A) Base RI'!AN166</f>
        <v>208</v>
      </c>
      <c r="E175" s="15">
        <f t="shared" si="8"/>
        <v>101489.5217523304</v>
      </c>
      <c r="F175" s="44">
        <f>'F) Population'!K167</f>
        <v>20507.042253521126</v>
      </c>
      <c r="G175" s="10">
        <f>'G) Solidarité'!I164</f>
        <v>94724.2394312869</v>
      </c>
      <c r="H175" s="15">
        <f t="shared" si="6"/>
        <v>115231.28168480803</v>
      </c>
      <c r="I175" s="67">
        <f t="shared" si="7"/>
        <v>-13741.759932477624</v>
      </c>
    </row>
    <row r="176" spans="1:9" x14ac:dyDescent="0.25">
      <c r="A176" s="53">
        <f>'A) Base RI'!A167</f>
        <v>5665</v>
      </c>
      <c r="B176" s="35" t="str">
        <f>'A) Base RI'!B167</f>
        <v>Chavannes-sur-Moudon</v>
      </c>
      <c r="C176" s="15">
        <f>'D) Ecrêtage'!M165</f>
        <v>4982.8790410958891</v>
      </c>
      <c r="D176" s="10">
        <f>'A) Base RI'!AN167</f>
        <v>224</v>
      </c>
      <c r="E176" s="15">
        <f t="shared" si="8"/>
        <v>92478.382249280912</v>
      </c>
      <c r="F176" s="44">
        <f>'F) Population'!K168</f>
        <v>22084.507042253521</v>
      </c>
      <c r="G176" s="10">
        <f>'G) Solidarité'!I165</f>
        <v>104239.36620633831</v>
      </c>
      <c r="H176" s="15">
        <f t="shared" si="6"/>
        <v>126323.87324859183</v>
      </c>
      <c r="I176" s="67">
        <f t="shared" si="7"/>
        <v>-33845.490999310918</v>
      </c>
    </row>
    <row r="177" spans="1:9" x14ac:dyDescent="0.25">
      <c r="A177" s="53">
        <f>'A) Base RI'!A168</f>
        <v>5666</v>
      </c>
      <c r="B177" s="35" t="str">
        <f>'A) Base RI'!B168</f>
        <v>Chesalles-sur-Moudon</v>
      </c>
      <c r="C177" s="15">
        <f>'D) Ecrêtage'!M166</f>
        <v>3797.0531999999998</v>
      </c>
      <c r="D177" s="10">
        <f>'A) Base RI'!AN168</f>
        <v>196</v>
      </c>
      <c r="E177" s="15">
        <f t="shared" si="8"/>
        <v>70470.371517031163</v>
      </c>
      <c r="F177" s="44">
        <f>'F) Population'!K169</f>
        <v>19323.943661971829</v>
      </c>
      <c r="G177" s="10">
        <f>'G) Solidarité'!I166</f>
        <v>108931.49568695566</v>
      </c>
      <c r="H177" s="15">
        <f t="shared" si="6"/>
        <v>128255.4393489275</v>
      </c>
      <c r="I177" s="67">
        <f t="shared" si="7"/>
        <v>-57785.067831896333</v>
      </c>
    </row>
    <row r="178" spans="1:9" x14ac:dyDescent="0.25">
      <c r="A178" s="53">
        <f>'A) Base RI'!A169</f>
        <v>5668</v>
      </c>
      <c r="B178" s="35" t="str">
        <f>'A) Base RI'!B169</f>
        <v>Cremin</v>
      </c>
      <c r="C178" s="15">
        <f>'D) Ecrêtage'!M167</f>
        <v>1016.3289610389612</v>
      </c>
      <c r="D178" s="10">
        <f>'A) Base RI'!AN169</f>
        <v>59</v>
      </c>
      <c r="E178" s="15">
        <f t="shared" si="8"/>
        <v>18862.279693087756</v>
      </c>
      <c r="F178" s="44">
        <f>'F) Population'!K170</f>
        <v>5816.9014084507035</v>
      </c>
      <c r="G178" s="10">
        <f>'G) Solidarité'!I167</f>
        <v>37564.067672549412</v>
      </c>
      <c r="H178" s="15">
        <f t="shared" si="6"/>
        <v>43380.969081000119</v>
      </c>
      <c r="I178" s="67">
        <f t="shared" si="7"/>
        <v>-24518.689387912364</v>
      </c>
    </row>
    <row r="179" spans="1:9" x14ac:dyDescent="0.25">
      <c r="A179" s="53">
        <f>'A) Base RI'!A170</f>
        <v>5669</v>
      </c>
      <c r="B179" s="35" t="str">
        <f>'A) Base RI'!B170</f>
        <v>Curtilles</v>
      </c>
      <c r="C179" s="15">
        <f>'D) Ecrêtage'!M168</f>
        <v>8279.174027777779</v>
      </c>
      <c r="D179" s="10">
        <f>'A) Base RI'!AN170</f>
        <v>309</v>
      </c>
      <c r="E179" s="15">
        <f t="shared" si="8"/>
        <v>153655.06851251263</v>
      </c>
      <c r="F179" s="44">
        <f>'F) Population'!K171</f>
        <v>30464.788732394365</v>
      </c>
      <c r="G179" s="10">
        <f>'G) Solidarité'!I168</f>
        <v>110763.1932329915</v>
      </c>
      <c r="H179" s="15">
        <f t="shared" si="6"/>
        <v>141227.98196538587</v>
      </c>
      <c r="I179" s="67">
        <f t="shared" si="7"/>
        <v>12427.086547126761</v>
      </c>
    </row>
    <row r="180" spans="1:9" x14ac:dyDescent="0.25">
      <c r="A180" s="53">
        <f>'A) Base RI'!A171</f>
        <v>5671</v>
      </c>
      <c r="B180" s="35" t="str">
        <f>'A) Base RI'!B171</f>
        <v>Dompierre</v>
      </c>
      <c r="C180" s="15">
        <f>'D) Ecrêtage'!M169</f>
        <v>6672.7971250000001</v>
      </c>
      <c r="D180" s="10">
        <f>'A) Base RI'!AN171</f>
        <v>242</v>
      </c>
      <c r="E180" s="15">
        <f t="shared" si="8"/>
        <v>123841.95524480075</v>
      </c>
      <c r="F180" s="44">
        <f>'F) Population'!K172</f>
        <v>23859.154929577464</v>
      </c>
      <c r="G180" s="10">
        <f>'G) Solidarité'!I169</f>
        <v>102265.84397566023</v>
      </c>
      <c r="H180" s="15">
        <f t="shared" si="6"/>
        <v>126124.99890523769</v>
      </c>
      <c r="I180" s="67">
        <f t="shared" si="7"/>
        <v>-2283.0436604369461</v>
      </c>
    </row>
    <row r="181" spans="1:9" x14ac:dyDescent="0.25">
      <c r="A181" s="53">
        <f>'A) Base RI'!A172</f>
        <v>5672</v>
      </c>
      <c r="B181" s="35" t="str">
        <f>'A) Base RI'!B172</f>
        <v>Forel-sur-Lucens</v>
      </c>
      <c r="C181" s="15">
        <f>'D) Ecrêtage'!M170</f>
        <v>4096.3695000000007</v>
      </c>
      <c r="D181" s="10">
        <f>'A) Base RI'!AN172</f>
        <v>154</v>
      </c>
      <c r="E181" s="15">
        <f t="shared" si="8"/>
        <v>76025.450614185553</v>
      </c>
      <c r="F181" s="44">
        <f>'F) Population'!K173</f>
        <v>15183.098591549295</v>
      </c>
      <c r="G181" s="10">
        <f>'G) Solidarité'!I170</f>
        <v>60568.792087260408</v>
      </c>
      <c r="H181" s="15">
        <f t="shared" ref="H181:H236" si="9">F181+G181</f>
        <v>75751.890678809708</v>
      </c>
      <c r="I181" s="67">
        <f t="shared" ref="I181:I236" si="10">E181-H181</f>
        <v>273.55993537584436</v>
      </c>
    </row>
    <row r="182" spans="1:9" x14ac:dyDescent="0.25">
      <c r="A182" s="53">
        <f>'A) Base RI'!A173</f>
        <v>5673</v>
      </c>
      <c r="B182" s="35" t="str">
        <f>'A) Base RI'!B173</f>
        <v>Hermenches</v>
      </c>
      <c r="C182" s="15">
        <f>'D) Ecrêtage'!M171</f>
        <v>7873.3323555555571</v>
      </c>
      <c r="D182" s="10">
        <f>'A) Base RI'!AN173</f>
        <v>379</v>
      </c>
      <c r="E182" s="15">
        <f t="shared" si="8"/>
        <v>146122.96087214744</v>
      </c>
      <c r="F182" s="44">
        <f>'F) Population'!K174</f>
        <v>37366.197183098586</v>
      </c>
      <c r="G182" s="10">
        <f>'G) Solidarité'!I171</f>
        <v>198699.14395973919</v>
      </c>
      <c r="H182" s="15">
        <f t="shared" si="9"/>
        <v>236065.34114283777</v>
      </c>
      <c r="I182" s="67">
        <f t="shared" si="10"/>
        <v>-89942.380270690337</v>
      </c>
    </row>
    <row r="183" spans="1:9" x14ac:dyDescent="0.25">
      <c r="A183" s="53">
        <f>'A) Base RI'!A174</f>
        <v>5674</v>
      </c>
      <c r="B183" s="35" t="str">
        <f>'A) Base RI'!B174</f>
        <v>Lovatens</v>
      </c>
      <c r="C183" s="15">
        <f>'D) Ecrêtage'!M172</f>
        <v>3776.8391809523814</v>
      </c>
      <c r="D183" s="10">
        <f>'A) Base RI'!AN174</f>
        <v>143</v>
      </c>
      <c r="E183" s="15">
        <f t="shared" si="8"/>
        <v>70095.214952951937</v>
      </c>
      <c r="F183" s="44">
        <f>'F) Population'!K175</f>
        <v>14098.591549295774</v>
      </c>
      <c r="G183" s="10">
        <f>'G) Solidarité'!I172</f>
        <v>56847.908364112503</v>
      </c>
      <c r="H183" s="15">
        <f t="shared" si="9"/>
        <v>70946.499913408275</v>
      </c>
      <c r="I183" s="67">
        <f t="shared" si="10"/>
        <v>-851.28496045633801</v>
      </c>
    </row>
    <row r="184" spans="1:9" x14ac:dyDescent="0.25">
      <c r="A184" s="53">
        <f>'A) Base RI'!A175</f>
        <v>5675</v>
      </c>
      <c r="B184" s="35" t="str">
        <f>'A) Base RI'!B175</f>
        <v>Lucens</v>
      </c>
      <c r="C184" s="15">
        <f>'D) Ecrêtage'!M173</f>
        <v>77479.696914600558</v>
      </c>
      <c r="D184" s="10">
        <f>'A) Base RI'!AN175</f>
        <v>3380</v>
      </c>
      <c r="E184" s="15">
        <f t="shared" si="8"/>
        <v>1437963.2675673005</v>
      </c>
      <c r="F184" s="44">
        <f>'F) Population'!K176</f>
        <v>976056.338028169</v>
      </c>
      <c r="G184" s="10">
        <f>'G) Solidarité'!I173</f>
        <v>1245814.136283919</v>
      </c>
      <c r="H184" s="15">
        <f t="shared" si="9"/>
        <v>2221870.474312088</v>
      </c>
      <c r="I184" s="67">
        <f t="shared" si="10"/>
        <v>-783907.20674478752</v>
      </c>
    </row>
    <row r="185" spans="1:9" x14ac:dyDescent="0.25">
      <c r="A185" s="53">
        <f>'A) Base RI'!A176</f>
        <v>5678</v>
      </c>
      <c r="B185" s="35" t="str">
        <f>'A) Base RI'!B176</f>
        <v>Moudon</v>
      </c>
      <c r="C185" s="15">
        <f>'D) Ecrêtage'!M174</f>
        <v>123116.47720000001</v>
      </c>
      <c r="D185" s="10">
        <f>'A) Base RI'!AN176</f>
        <v>6003</v>
      </c>
      <c r="E185" s="15">
        <f t="shared" si="8"/>
        <v>2284946.6233847071</v>
      </c>
      <c r="F185" s="44">
        <f>'F) Population'!K177</f>
        <v>2367971.8309859154</v>
      </c>
      <c r="G185" s="10">
        <f>'G) Solidarité'!I174</f>
        <v>3182941.5008677687</v>
      </c>
      <c r="H185" s="15">
        <f t="shared" si="9"/>
        <v>5550913.331853684</v>
      </c>
      <c r="I185" s="67">
        <f t="shared" si="10"/>
        <v>-3265966.7084689769</v>
      </c>
    </row>
    <row r="186" spans="1:9" x14ac:dyDescent="0.25">
      <c r="A186" s="53">
        <f>'A) Base RI'!A177</f>
        <v>5680</v>
      </c>
      <c r="B186" s="35" t="str">
        <f>'A) Base RI'!B177</f>
        <v>Ogens</v>
      </c>
      <c r="C186" s="15">
        <f>'D) Ecrêtage'!M175</f>
        <v>8504.3488034188031</v>
      </c>
      <c r="D186" s="10">
        <f>'A) Base RI'!AN177</f>
        <v>296</v>
      </c>
      <c r="E186" s="15">
        <f t="shared" si="8"/>
        <v>157834.13824366286</v>
      </c>
      <c r="F186" s="44">
        <f>'F) Population'!K178</f>
        <v>29183.098591549293</v>
      </c>
      <c r="G186" s="10">
        <f>'G) Solidarité'!I175</f>
        <v>110579.55197578343</v>
      </c>
      <c r="H186" s="15">
        <f t="shared" si="9"/>
        <v>139762.65056733272</v>
      </c>
      <c r="I186" s="67">
        <f t="shared" si="10"/>
        <v>18071.487676330144</v>
      </c>
    </row>
    <row r="187" spans="1:9" x14ac:dyDescent="0.25">
      <c r="A187" s="53">
        <f>'A) Base RI'!A178</f>
        <v>5683</v>
      </c>
      <c r="B187" s="35" t="str">
        <f>'A) Base RI'!B178</f>
        <v>Prévonloup</v>
      </c>
      <c r="C187" s="15">
        <f>'D) Ecrêtage'!M176</f>
        <v>4128.5685135135127</v>
      </c>
      <c r="D187" s="10">
        <f>'A) Base RI'!AN178</f>
        <v>166</v>
      </c>
      <c r="E187" s="15">
        <f t="shared" si="8"/>
        <v>76623.03940877477</v>
      </c>
      <c r="F187" s="44">
        <f>'F) Population'!K179</f>
        <v>16366.197183098591</v>
      </c>
      <c r="G187" s="10">
        <f>'G) Solidarité'!I176</f>
        <v>69840.015876567326</v>
      </c>
      <c r="H187" s="15">
        <f t="shared" si="9"/>
        <v>86206.213059665912</v>
      </c>
      <c r="I187" s="67">
        <f t="shared" si="10"/>
        <v>-9583.1736508911417</v>
      </c>
    </row>
    <row r="188" spans="1:9" x14ac:dyDescent="0.25">
      <c r="A188" s="53">
        <f>'A) Base RI'!A179</f>
        <v>5684</v>
      </c>
      <c r="B188" s="35" t="str">
        <f>'A) Base RI'!B179</f>
        <v>Rossenges</v>
      </c>
      <c r="C188" s="15">
        <f>'D) Ecrêtage'!M177</f>
        <v>2119.9519999999998</v>
      </c>
      <c r="D188" s="10">
        <f>'A) Base RI'!AN179</f>
        <v>60</v>
      </c>
      <c r="E188" s="15">
        <f t="shared" si="8"/>
        <v>39344.669976779158</v>
      </c>
      <c r="F188" s="44">
        <f>'F) Population'!K180</f>
        <v>5915.4929577464782</v>
      </c>
      <c r="G188" s="10">
        <f>'G) Solidarité'!I177</f>
        <v>7564.2949640062943</v>
      </c>
      <c r="H188" s="15">
        <f t="shared" si="9"/>
        <v>13479.787921752773</v>
      </c>
      <c r="I188" s="67">
        <f t="shared" si="10"/>
        <v>25864.882055026384</v>
      </c>
    </row>
    <row r="189" spans="1:9" x14ac:dyDescent="0.25">
      <c r="A189" s="53">
        <f>'A) Base RI'!A180</f>
        <v>5686</v>
      </c>
      <c r="B189" s="35" t="str">
        <f>'A) Base RI'!B180</f>
        <v>Sarzens</v>
      </c>
      <c r="C189" s="15">
        <f>'D) Ecrêtage'!M178</f>
        <v>1678.3095945945947</v>
      </c>
      <c r="D189" s="10">
        <f>'A) Base RI'!AN180</f>
        <v>82</v>
      </c>
      <c r="E189" s="15">
        <f t="shared" si="8"/>
        <v>31148.128409599067</v>
      </c>
      <c r="F189" s="44">
        <f>'F) Population'!K181</f>
        <v>8084.5070422535209</v>
      </c>
      <c r="G189" s="10">
        <f>'G) Solidarité'!I178</f>
        <v>42402.080236474583</v>
      </c>
      <c r="H189" s="15">
        <f t="shared" si="9"/>
        <v>50486.587278728104</v>
      </c>
      <c r="I189" s="67">
        <f t="shared" si="10"/>
        <v>-19338.458869129037</v>
      </c>
    </row>
    <row r="190" spans="1:9" x14ac:dyDescent="0.25">
      <c r="A190" s="53">
        <f>'A) Base RI'!A181</f>
        <v>5688</v>
      </c>
      <c r="B190" s="35" t="str">
        <f>'A) Base RI'!B181</f>
        <v>Syens</v>
      </c>
      <c r="C190" s="15">
        <f>'D) Ecrêtage'!M179</f>
        <v>4845.4007936507942</v>
      </c>
      <c r="D190" s="10">
        <f>'A) Base RI'!AN181</f>
        <v>145</v>
      </c>
      <c r="E190" s="15">
        <f t="shared" si="8"/>
        <v>89926.892274643164</v>
      </c>
      <c r="F190" s="44">
        <f>'F) Population'!K182</f>
        <v>14295.774647887323</v>
      </c>
      <c r="G190" s="10">
        <f>'G) Solidarité'!I179</f>
        <v>35367.738983566516</v>
      </c>
      <c r="H190" s="15">
        <f t="shared" si="9"/>
        <v>49663.513631453839</v>
      </c>
      <c r="I190" s="67">
        <f t="shared" si="10"/>
        <v>40263.378643189324</v>
      </c>
    </row>
    <row r="191" spans="1:9" x14ac:dyDescent="0.25">
      <c r="A191" s="53">
        <f>'A) Base RI'!A182</f>
        <v>5690</v>
      </c>
      <c r="B191" s="35" t="str">
        <f>'A) Base RI'!B182</f>
        <v>Villars-le-Comte</v>
      </c>
      <c r="C191" s="15">
        <f>'D) Ecrêtage'!M180</f>
        <v>3252.2851315789467</v>
      </c>
      <c r="D191" s="10">
        <f>'A) Base RI'!AN182</f>
        <v>143</v>
      </c>
      <c r="E191" s="15">
        <f t="shared" si="8"/>
        <v>60359.897380864968</v>
      </c>
      <c r="F191" s="44">
        <f>'F) Population'!K183</f>
        <v>14098.591549295774</v>
      </c>
      <c r="G191" s="10">
        <f>'G) Solidarité'!I180</f>
        <v>70482.803368282664</v>
      </c>
      <c r="H191" s="15">
        <f t="shared" si="9"/>
        <v>84581.394917578436</v>
      </c>
      <c r="I191" s="67">
        <f t="shared" si="10"/>
        <v>-24221.497536713468</v>
      </c>
    </row>
    <row r="192" spans="1:9" x14ac:dyDescent="0.25">
      <c r="A192" s="53">
        <f>'A) Base RI'!A183</f>
        <v>5692</v>
      </c>
      <c r="B192" s="35" t="str">
        <f>'A) Base RI'!B183</f>
        <v>Vucherens</v>
      </c>
      <c r="C192" s="15">
        <f>'D) Ecrêtage'!M181</f>
        <v>16993.232405063292</v>
      </c>
      <c r="D192" s="10">
        <f>'A) Base RI'!AN183</f>
        <v>557</v>
      </c>
      <c r="E192" s="15">
        <f t="shared" si="8"/>
        <v>315381.25430006173</v>
      </c>
      <c r="F192" s="44">
        <f>'F) Population'!K184</f>
        <v>54915.492957746472</v>
      </c>
      <c r="G192" s="10">
        <f>'G) Solidarité'!I181</f>
        <v>188757.55045311502</v>
      </c>
      <c r="H192" s="15">
        <f t="shared" si="9"/>
        <v>243673.04341086149</v>
      </c>
      <c r="I192" s="67">
        <f t="shared" si="10"/>
        <v>71708.210889200243</v>
      </c>
    </row>
    <row r="193" spans="1:9" x14ac:dyDescent="0.25">
      <c r="A193" s="53">
        <f>'A) Base RI'!A184</f>
        <v>5693</v>
      </c>
      <c r="B193" s="35" t="str">
        <f>'A) Base RI'!B184</f>
        <v>Montanaire</v>
      </c>
      <c r="C193" s="15">
        <f>'D) Ecrêtage'!M182</f>
        <v>63585.08152777778</v>
      </c>
      <c r="D193" s="10">
        <f>'A) Base RI'!AN184</f>
        <v>2500</v>
      </c>
      <c r="E193" s="15">
        <f t="shared" si="8"/>
        <v>1180089.949280462</v>
      </c>
      <c r="F193" s="44">
        <f>'F) Population'!K185</f>
        <v>616197.18309859151</v>
      </c>
      <c r="G193" s="10">
        <f>'G) Solidarité'!I182</f>
        <v>966553.41989579005</v>
      </c>
      <c r="H193" s="15">
        <f>F193+G193</f>
        <v>1582750.6029943815</v>
      </c>
      <c r="I193" s="67">
        <f>E193-H193</f>
        <v>-402660.65371391946</v>
      </c>
    </row>
    <row r="194" spans="1:9" x14ac:dyDescent="0.25">
      <c r="A194" s="53">
        <f>'A) Base RI'!A185</f>
        <v>5701</v>
      </c>
      <c r="B194" s="35" t="str">
        <f>'A) Base RI'!B185</f>
        <v>Arnex-sur-Nyon</v>
      </c>
      <c r="C194" s="15">
        <f>'D) Ecrêtage'!M183</f>
        <v>14067.553176355004</v>
      </c>
      <c r="D194" s="10">
        <f>'A) Base RI'!AN185</f>
        <v>214</v>
      </c>
      <c r="E194" s="15">
        <f t="shared" si="8"/>
        <v>261082.90994535683</v>
      </c>
      <c r="F194" s="44">
        <f>'F) Population'!K186</f>
        <v>21098.591549295772</v>
      </c>
      <c r="G194" s="10">
        <f>'G) Solidarité'!I183</f>
        <v>0</v>
      </c>
      <c r="H194" s="15">
        <f>F194+G194</f>
        <v>21098.591549295772</v>
      </c>
      <c r="I194" s="67">
        <f>E194-H194</f>
        <v>239984.31839606108</v>
      </c>
    </row>
    <row r="195" spans="1:9" x14ac:dyDescent="0.25">
      <c r="A195" s="53">
        <f>'A) Base RI'!A186</f>
        <v>5702</v>
      </c>
      <c r="B195" s="35" t="str">
        <f>'A) Base RI'!B186</f>
        <v>Arzier-Le Muids</v>
      </c>
      <c r="C195" s="15">
        <f>'D) Ecrêtage'!M184</f>
        <v>150270.74238965832</v>
      </c>
      <c r="D195" s="10">
        <f>'A) Base RI'!AN186</f>
        <v>2565</v>
      </c>
      <c r="E195" s="15">
        <f t="shared" si="8"/>
        <v>2788908.7896738728</v>
      </c>
      <c r="F195" s="44">
        <f>'F) Population'!K187</f>
        <v>638626.76056338032</v>
      </c>
      <c r="G195" s="10">
        <f>'G) Solidarité'!I184</f>
        <v>0</v>
      </c>
      <c r="H195" s="15">
        <f t="shared" si="9"/>
        <v>638626.76056338032</v>
      </c>
      <c r="I195" s="67">
        <f t="shared" si="10"/>
        <v>2150282.0291104922</v>
      </c>
    </row>
    <row r="196" spans="1:9" x14ac:dyDescent="0.25">
      <c r="A196" s="53">
        <f>'A) Base RI'!A187</f>
        <v>5703</v>
      </c>
      <c r="B196" s="35" t="str">
        <f>'A) Base RI'!B187</f>
        <v>Bassins</v>
      </c>
      <c r="C196" s="15">
        <f>'D) Ecrêtage'!M185</f>
        <v>52372.205915492945</v>
      </c>
      <c r="D196" s="10">
        <f>'A) Base RI'!AN187</f>
        <v>1311</v>
      </c>
      <c r="E196" s="15">
        <f t="shared" si="8"/>
        <v>971987.64769249083</v>
      </c>
      <c r="F196" s="44">
        <f>'F) Population'!K188</f>
        <v>205908.45070422534</v>
      </c>
      <c r="G196" s="10">
        <f>'G) Solidarité'!I185</f>
        <v>109525.42775487489</v>
      </c>
      <c r="H196" s="15">
        <f t="shared" si="9"/>
        <v>315433.87845910026</v>
      </c>
      <c r="I196" s="67">
        <f t="shared" si="10"/>
        <v>656553.76923339057</v>
      </c>
    </row>
    <row r="197" spans="1:9" x14ac:dyDescent="0.25">
      <c r="A197" s="53">
        <f>'A) Base RI'!A188</f>
        <v>5704</v>
      </c>
      <c r="B197" s="35" t="str">
        <f>'A) Base RI'!B188</f>
        <v>Begnins</v>
      </c>
      <c r="C197" s="15">
        <f>'D) Ecrêtage'!M186</f>
        <v>113192.44418268188</v>
      </c>
      <c r="D197" s="10">
        <f>'A) Base RI'!AN188</f>
        <v>1856</v>
      </c>
      <c r="E197" s="15">
        <f t="shared" si="8"/>
        <v>2100764.2438284522</v>
      </c>
      <c r="F197" s="44">
        <f>'F) Population'!K189</f>
        <v>393971.8309859155</v>
      </c>
      <c r="G197" s="10">
        <f>'G) Solidarité'!I186</f>
        <v>0</v>
      </c>
      <c r="H197" s="15">
        <f t="shared" si="9"/>
        <v>393971.8309859155</v>
      </c>
      <c r="I197" s="67">
        <f t="shared" si="10"/>
        <v>1706792.4128425368</v>
      </c>
    </row>
    <row r="198" spans="1:9" x14ac:dyDescent="0.25">
      <c r="A198" s="53">
        <f>'A) Base RI'!A189</f>
        <v>5705</v>
      </c>
      <c r="B198" s="35" t="str">
        <f>'A) Base RI'!B189</f>
        <v>Bogis-Bossey</v>
      </c>
      <c r="C198" s="15">
        <f>'D) Ecrêtage'!M187</f>
        <v>48449.495236014038</v>
      </c>
      <c r="D198" s="10">
        <f>'A) Base RI'!AN189</f>
        <v>827</v>
      </c>
      <c r="E198" s="15">
        <f t="shared" si="8"/>
        <v>899185.17051447707</v>
      </c>
      <c r="F198" s="44">
        <f>'F) Population'!K190</f>
        <v>81535.211267605628</v>
      </c>
      <c r="G198" s="10">
        <f>'G) Solidarité'!I187</f>
        <v>0</v>
      </c>
      <c r="H198" s="15">
        <f t="shared" si="9"/>
        <v>81535.211267605628</v>
      </c>
      <c r="I198" s="67">
        <f t="shared" si="10"/>
        <v>817649.95924687141</v>
      </c>
    </row>
    <row r="199" spans="1:9" x14ac:dyDescent="0.25">
      <c r="A199" s="53">
        <f>'A) Base RI'!A190</f>
        <v>5706</v>
      </c>
      <c r="B199" s="35" t="str">
        <f>'A) Base RI'!B190</f>
        <v>Borex</v>
      </c>
      <c r="C199" s="15">
        <f>'D) Ecrêtage'!M188</f>
        <v>65845.984440258006</v>
      </c>
      <c r="D199" s="10">
        <f>'A) Base RI'!AN190</f>
        <v>1099</v>
      </c>
      <c r="E199" s="15">
        <f t="shared" si="8"/>
        <v>1222050.5592098723</v>
      </c>
      <c r="F199" s="44">
        <f>'F) Population'!K191</f>
        <v>132753.52112676058</v>
      </c>
      <c r="G199" s="10">
        <f>'G) Solidarité'!I188</f>
        <v>0</v>
      </c>
      <c r="H199" s="15">
        <f t="shared" si="9"/>
        <v>132753.52112676058</v>
      </c>
      <c r="I199" s="67">
        <f t="shared" si="10"/>
        <v>1089297.0380831116</v>
      </c>
    </row>
    <row r="200" spans="1:9" x14ac:dyDescent="0.25">
      <c r="A200" s="53">
        <f>'A) Base RI'!A191</f>
        <v>5707</v>
      </c>
      <c r="B200" s="35" t="str">
        <f>'A) Base RI'!B191</f>
        <v>Chavannes-de-Bogis</v>
      </c>
      <c r="C200" s="15">
        <f>'D) Ecrêtage'!M189</f>
        <v>86046.443921995582</v>
      </c>
      <c r="D200" s="10">
        <f>'A) Base RI'!AN191</f>
        <v>1153</v>
      </c>
      <c r="E200" s="15">
        <f t="shared" si="8"/>
        <v>1596955.4682305786</v>
      </c>
      <c r="F200" s="44">
        <f>'F) Population'!K192</f>
        <v>151387.32394366196</v>
      </c>
      <c r="G200" s="10">
        <f>'G) Solidarité'!I189</f>
        <v>0</v>
      </c>
      <c r="H200" s="15">
        <f t="shared" si="9"/>
        <v>151387.32394366196</v>
      </c>
      <c r="I200" s="67">
        <f t="shared" si="10"/>
        <v>1445568.1442869166</v>
      </c>
    </row>
    <row r="201" spans="1:9" x14ac:dyDescent="0.25">
      <c r="A201" s="53">
        <f>'A) Base RI'!A192</f>
        <v>5708</v>
      </c>
      <c r="B201" s="35" t="str">
        <f>'A) Base RI'!B192</f>
        <v>Chavannes-des-Bois</v>
      </c>
      <c r="C201" s="15">
        <f>'D) Ecrêtage'!M190</f>
        <v>58804.562503992747</v>
      </c>
      <c r="D201" s="10">
        <f>'A) Base RI'!AN192</f>
        <v>850</v>
      </c>
      <c r="E201" s="15">
        <f t="shared" si="8"/>
        <v>1091367.212488055</v>
      </c>
      <c r="F201" s="44">
        <f>'F) Population'!K193</f>
        <v>83802.816901408441</v>
      </c>
      <c r="G201" s="10">
        <f>'G) Solidarité'!I190</f>
        <v>0</v>
      </c>
      <c r="H201" s="15">
        <f t="shared" si="9"/>
        <v>83802.816901408441</v>
      </c>
      <c r="I201" s="67">
        <f t="shared" si="10"/>
        <v>1007564.3955866465</v>
      </c>
    </row>
    <row r="202" spans="1:9" x14ac:dyDescent="0.25">
      <c r="A202" s="53">
        <f>'A) Base RI'!A193</f>
        <v>5709</v>
      </c>
      <c r="B202" s="35" t="str">
        <f>'A) Base RI'!B193</f>
        <v>Chéserex</v>
      </c>
      <c r="C202" s="15">
        <f>'D) Ecrêtage'!M191</f>
        <v>107004.97322705205</v>
      </c>
      <c r="D202" s="10">
        <f>'A) Base RI'!AN193</f>
        <v>1222</v>
      </c>
      <c r="E202" s="15">
        <f t="shared" si="8"/>
        <v>1985929.5670338068</v>
      </c>
      <c r="F202" s="44">
        <f>'F) Population'!K194</f>
        <v>175197.18309859154</v>
      </c>
      <c r="G202" s="10">
        <f>'G) Solidarité'!I191</f>
        <v>0</v>
      </c>
      <c r="H202" s="15">
        <f t="shared" si="9"/>
        <v>175197.18309859154</v>
      </c>
      <c r="I202" s="67">
        <f t="shared" si="10"/>
        <v>1810732.3839352152</v>
      </c>
    </row>
    <row r="203" spans="1:9" x14ac:dyDescent="0.25">
      <c r="A203" s="53">
        <f>'A) Base RI'!A194</f>
        <v>5710</v>
      </c>
      <c r="B203" s="35" t="str">
        <f>'A) Base RI'!B194</f>
        <v>Coinsins</v>
      </c>
      <c r="C203" s="15">
        <f>'D) Ecrêtage'!M192</f>
        <v>51138.47250560869</v>
      </c>
      <c r="D203" s="10">
        <f>'A) Base RI'!AN194</f>
        <v>490</v>
      </c>
      <c r="E203" s="15">
        <f t="shared" si="8"/>
        <v>949090.50952557835</v>
      </c>
      <c r="F203" s="44">
        <f>'F) Population'!K195</f>
        <v>48309.859154929574</v>
      </c>
      <c r="G203" s="10">
        <f>'G) Solidarité'!I192</f>
        <v>0</v>
      </c>
      <c r="H203" s="15">
        <f t="shared" si="9"/>
        <v>48309.859154929574</v>
      </c>
      <c r="I203" s="67">
        <f t="shared" si="10"/>
        <v>900780.65037064883</v>
      </c>
    </row>
    <row r="204" spans="1:9" x14ac:dyDescent="0.25">
      <c r="A204" s="53">
        <f>'A) Base RI'!A195</f>
        <v>5711</v>
      </c>
      <c r="B204" s="35" t="str">
        <f>'A) Base RI'!B195</f>
        <v>Commugny</v>
      </c>
      <c r="C204" s="15">
        <f>'D) Ecrêtage'!M193</f>
        <v>203440.68653397332</v>
      </c>
      <c r="D204" s="10">
        <f>'A) Base RI'!AN195</f>
        <v>2561</v>
      </c>
      <c r="E204" s="15">
        <f t="shared" si="8"/>
        <v>3775701.8420834816</v>
      </c>
      <c r="F204" s="44">
        <f>'F) Population'!K196</f>
        <v>637246.47887323948</v>
      </c>
      <c r="G204" s="10">
        <f>'G) Solidarité'!I193</f>
        <v>0</v>
      </c>
      <c r="H204" s="15">
        <f t="shared" si="9"/>
        <v>637246.47887323948</v>
      </c>
      <c r="I204" s="67">
        <f t="shared" si="10"/>
        <v>3138455.3632102422</v>
      </c>
    </row>
    <row r="205" spans="1:9" x14ac:dyDescent="0.25">
      <c r="A205" s="53">
        <f>'A) Base RI'!A196</f>
        <v>5712</v>
      </c>
      <c r="B205" s="35" t="str">
        <f>'A) Base RI'!B196</f>
        <v>Coppet</v>
      </c>
      <c r="C205" s="15">
        <f>'D) Ecrêtage'!M194</f>
        <v>246954.44437409952</v>
      </c>
      <c r="D205" s="10">
        <f>'A) Base RI'!AN196</f>
        <v>2942</v>
      </c>
      <c r="E205" s="15">
        <f t="shared" si="8"/>
        <v>4583283.542833901</v>
      </c>
      <c r="F205" s="44">
        <f>'F) Population'!K197</f>
        <v>768718.30985915498</v>
      </c>
      <c r="G205" s="10">
        <f>'G) Solidarité'!I194</f>
        <v>0</v>
      </c>
      <c r="H205" s="15">
        <f t="shared" si="9"/>
        <v>768718.30985915498</v>
      </c>
      <c r="I205" s="67">
        <f t="shared" si="10"/>
        <v>3814565.2329747463</v>
      </c>
    </row>
    <row r="206" spans="1:9" x14ac:dyDescent="0.25">
      <c r="A206" s="53">
        <f>'A) Base RI'!A197</f>
        <v>5713</v>
      </c>
      <c r="B206" s="35" t="str">
        <f>'A) Base RI'!B197</f>
        <v>Crans-près-Céligny</v>
      </c>
      <c r="C206" s="15">
        <f>'D) Ecrêtage'!M195</f>
        <v>176144.21496097266</v>
      </c>
      <c r="D206" s="10">
        <f>'A) Base RI'!AN197</f>
        <v>2059</v>
      </c>
      <c r="E206" s="15">
        <f t="shared" si="8"/>
        <v>3269100.4352732119</v>
      </c>
      <c r="F206" s="44">
        <f>'F) Population'!K198</f>
        <v>464021.12676056341</v>
      </c>
      <c r="G206" s="10">
        <f>'G) Solidarité'!I195</f>
        <v>0</v>
      </c>
      <c r="H206" s="15">
        <f t="shared" si="9"/>
        <v>464021.12676056341</v>
      </c>
      <c r="I206" s="67">
        <f t="shared" si="10"/>
        <v>2805079.3085126486</v>
      </c>
    </row>
    <row r="207" spans="1:9" x14ac:dyDescent="0.25">
      <c r="A207" s="53">
        <f>'A) Base RI'!A198</f>
        <v>5714</v>
      </c>
      <c r="B207" s="35" t="str">
        <f>'A) Base RI'!B198</f>
        <v>Crassier</v>
      </c>
      <c r="C207" s="15">
        <f>'D) Ecrêtage'!M196</f>
        <v>76392.794864572061</v>
      </c>
      <c r="D207" s="10">
        <f>'A) Base RI'!AN198</f>
        <v>1172</v>
      </c>
      <c r="E207" s="15">
        <f t="shared" si="8"/>
        <v>1417791.2059095574</v>
      </c>
      <c r="F207" s="44">
        <f>'F) Population'!K199</f>
        <v>157943.661971831</v>
      </c>
      <c r="G207" s="10">
        <f>'G) Solidarité'!I196</f>
        <v>0</v>
      </c>
      <c r="H207" s="15">
        <f t="shared" si="9"/>
        <v>157943.661971831</v>
      </c>
      <c r="I207" s="67">
        <f t="shared" si="10"/>
        <v>1259847.5439377264</v>
      </c>
    </row>
    <row r="208" spans="1:9" x14ac:dyDescent="0.25">
      <c r="A208" s="53">
        <f>'A) Base RI'!A199</f>
        <v>5715</v>
      </c>
      <c r="B208" s="35" t="str">
        <f>'A) Base RI'!B199</f>
        <v>Duillier</v>
      </c>
      <c r="C208" s="15">
        <f>'D) Ecrêtage'!M197</f>
        <v>62011.241183976788</v>
      </c>
      <c r="D208" s="10">
        <f>'A) Base RI'!AN199</f>
        <v>1039</v>
      </c>
      <c r="E208" s="15">
        <f t="shared" si="8"/>
        <v>1150880.689390148</v>
      </c>
      <c r="F208" s="44">
        <f>'F) Population'!K200</f>
        <v>112049.29577464788</v>
      </c>
      <c r="G208" s="10">
        <f>'G) Solidarité'!I197</f>
        <v>0</v>
      </c>
      <c r="H208" s="15">
        <f t="shared" si="9"/>
        <v>112049.29577464788</v>
      </c>
      <c r="I208" s="67">
        <f t="shared" si="10"/>
        <v>1038831.3936155002</v>
      </c>
    </row>
    <row r="209" spans="1:9" x14ac:dyDescent="0.25">
      <c r="A209" s="53">
        <f>'A) Base RI'!A200</f>
        <v>5716</v>
      </c>
      <c r="B209" s="35" t="str">
        <f>'A) Base RI'!B200</f>
        <v>Eysins</v>
      </c>
      <c r="C209" s="15">
        <f>'D) Ecrêtage'!M198</f>
        <v>89610.115700910072</v>
      </c>
      <c r="D209" s="10">
        <f>'A) Base RI'!AN200</f>
        <v>1482</v>
      </c>
      <c r="E209" s="15">
        <f t="shared" ref="E209:E272" si="11">C209*E$15</f>
        <v>1663094.461022374</v>
      </c>
      <c r="F209" s="44">
        <f>'F) Population'!K201</f>
        <v>264915.49295774649</v>
      </c>
      <c r="G209" s="10">
        <f>'G) Solidarité'!I198</f>
        <v>0</v>
      </c>
      <c r="H209" s="15">
        <f t="shared" si="9"/>
        <v>264915.49295774649</v>
      </c>
      <c r="I209" s="67">
        <f t="shared" si="10"/>
        <v>1398178.9680646276</v>
      </c>
    </row>
    <row r="210" spans="1:9" x14ac:dyDescent="0.25">
      <c r="A210" s="53">
        <f>'A) Base RI'!A201</f>
        <v>5717</v>
      </c>
      <c r="B210" s="35" t="str">
        <f>'A) Base RI'!B201</f>
        <v>Founex</v>
      </c>
      <c r="C210" s="15">
        <f>'D) Ecrêtage'!M199</f>
        <v>282900.94693533023</v>
      </c>
      <c r="D210" s="10">
        <f>'A) Base RI'!AN201</f>
        <v>3410</v>
      </c>
      <c r="E210" s="15">
        <f t="shared" si="11"/>
        <v>5250422.8365967162</v>
      </c>
      <c r="F210" s="44">
        <f>'F) Population'!K202</f>
        <v>990845.07042253518</v>
      </c>
      <c r="G210" s="10">
        <f>'G) Solidarité'!I199</f>
        <v>0</v>
      </c>
      <c r="H210" s="15">
        <f t="shared" si="9"/>
        <v>990845.07042253518</v>
      </c>
      <c r="I210" s="67">
        <f t="shared" si="10"/>
        <v>4259577.7661741814</v>
      </c>
    </row>
    <row r="211" spans="1:9" x14ac:dyDescent="0.25">
      <c r="A211" s="53">
        <f>'A) Base RI'!A202</f>
        <v>5718</v>
      </c>
      <c r="B211" s="35" t="str">
        <f>'A) Base RI'!B202</f>
        <v>Genolier</v>
      </c>
      <c r="C211" s="15">
        <f>'D) Ecrêtage'!M200</f>
        <v>154866.84060804904</v>
      </c>
      <c r="D211" s="10">
        <f>'A) Base RI'!AN202</f>
        <v>1895</v>
      </c>
      <c r="E211" s="15">
        <f t="shared" si="11"/>
        <v>2874208.8189120088</v>
      </c>
      <c r="F211" s="44">
        <f>'F) Population'!K203</f>
        <v>407429.57746478874</v>
      </c>
      <c r="G211" s="10">
        <f>'G) Solidarité'!I200</f>
        <v>0</v>
      </c>
      <c r="H211" s="15">
        <f t="shared" si="9"/>
        <v>407429.57746478874</v>
      </c>
      <c r="I211" s="67">
        <f t="shared" si="10"/>
        <v>2466779.2414472201</v>
      </c>
    </row>
    <row r="212" spans="1:9" x14ac:dyDescent="0.25">
      <c r="A212" s="53">
        <f>'A) Base RI'!A203</f>
        <v>5719</v>
      </c>
      <c r="B212" s="35" t="str">
        <f>'A) Base RI'!B203</f>
        <v>Gingins</v>
      </c>
      <c r="C212" s="15">
        <f>'D) Ecrêtage'!M201</f>
        <v>81113.805335882309</v>
      </c>
      <c r="D212" s="10">
        <f>'A) Base RI'!AN203</f>
        <v>1195</v>
      </c>
      <c r="E212" s="15">
        <f t="shared" si="11"/>
        <v>1505409.5099799421</v>
      </c>
      <c r="F212" s="44">
        <f>'F) Population'!K204</f>
        <v>165880.28169014084</v>
      </c>
      <c r="G212" s="10">
        <f>'G) Solidarité'!I201</f>
        <v>0</v>
      </c>
      <c r="H212" s="15">
        <f t="shared" si="9"/>
        <v>165880.28169014084</v>
      </c>
      <c r="I212" s="67">
        <f t="shared" si="10"/>
        <v>1339529.2282898012</v>
      </c>
    </row>
    <row r="213" spans="1:9" x14ac:dyDescent="0.25">
      <c r="A213" s="53">
        <f>'A) Base RI'!A204</f>
        <v>5720</v>
      </c>
      <c r="B213" s="35" t="str">
        <f>'A) Base RI'!B204</f>
        <v>Givrins</v>
      </c>
      <c r="C213" s="15">
        <f>'D) Ecrêtage'!M202</f>
        <v>66963.805253491941</v>
      </c>
      <c r="D213" s="10">
        <f>'A) Base RI'!AN204</f>
        <v>1000</v>
      </c>
      <c r="E213" s="15">
        <f t="shared" si="11"/>
        <v>1242796.4492063741</v>
      </c>
      <c r="F213" s="44">
        <f>'F) Population'!K205</f>
        <v>98591.549295774646</v>
      </c>
      <c r="G213" s="10">
        <f>'G) Solidarité'!I202</f>
        <v>0</v>
      </c>
      <c r="H213" s="15">
        <f t="shared" si="9"/>
        <v>98591.549295774646</v>
      </c>
      <c r="I213" s="67">
        <f t="shared" si="10"/>
        <v>1144204.8999105995</v>
      </c>
    </row>
    <row r="214" spans="1:9" x14ac:dyDescent="0.25">
      <c r="A214" s="53">
        <f>'A) Base RI'!A205</f>
        <v>5721</v>
      </c>
      <c r="B214" s="35" t="str">
        <f>'A) Base RI'!B205</f>
        <v>Gland</v>
      </c>
      <c r="C214" s="15">
        <f>'D) Ecrêtage'!M203</f>
        <v>541149.08192000003</v>
      </c>
      <c r="D214" s="10">
        <f>'A) Base RI'!AN205</f>
        <v>12829</v>
      </c>
      <c r="E214" s="15">
        <f t="shared" si="11"/>
        <v>10043308.544900749</v>
      </c>
      <c r="F214" s="44">
        <f>'F) Population'!K206</f>
        <v>7472253.5211267602</v>
      </c>
      <c r="G214" s="10">
        <f>'G) Solidarité'!I203</f>
        <v>383207.7048811189</v>
      </c>
      <c r="H214" s="15">
        <f t="shared" si="9"/>
        <v>7855461.2260078788</v>
      </c>
      <c r="I214" s="67">
        <f t="shared" si="10"/>
        <v>2187847.3188928701</v>
      </c>
    </row>
    <row r="215" spans="1:9" x14ac:dyDescent="0.25">
      <c r="A215" s="53">
        <f>'A) Base RI'!A206</f>
        <v>5722</v>
      </c>
      <c r="B215" s="35" t="str">
        <f>'A) Base RI'!B206</f>
        <v>Grens</v>
      </c>
      <c r="C215" s="15">
        <f>'D) Ecrêtage'!M204</f>
        <v>20499.342258064513</v>
      </c>
      <c r="D215" s="10">
        <f>'A) Base RI'!AN206</f>
        <v>377</v>
      </c>
      <c r="E215" s="15">
        <f t="shared" si="11"/>
        <v>380451.94225368841</v>
      </c>
      <c r="F215" s="44">
        <f>'F) Population'!K207</f>
        <v>37169.014084507042</v>
      </c>
      <c r="G215" s="10">
        <f>'G) Solidarité'!I204</f>
        <v>0</v>
      </c>
      <c r="H215" s="15">
        <f t="shared" si="9"/>
        <v>37169.014084507042</v>
      </c>
      <c r="I215" s="67">
        <f t="shared" si="10"/>
        <v>343282.92816918134</v>
      </c>
    </row>
    <row r="216" spans="1:9" x14ac:dyDescent="0.25">
      <c r="A216" s="53">
        <f>'A) Base RI'!A207</f>
        <v>5723</v>
      </c>
      <c r="B216" s="35" t="str">
        <f>'A) Base RI'!B207</f>
        <v>Mies</v>
      </c>
      <c r="C216" s="15">
        <f>'D) Ecrêtage'!M205</f>
        <v>301906.44719252124</v>
      </c>
      <c r="D216" s="10">
        <f>'A) Base RI'!AN207</f>
        <v>1791</v>
      </c>
      <c r="E216" s="15">
        <f t="shared" si="11"/>
        <v>5603150.2263502451</v>
      </c>
      <c r="F216" s="44">
        <f>'F) Population'!K208</f>
        <v>371542.25352112675</v>
      </c>
      <c r="G216" s="10">
        <f>'G) Solidarité'!I205</f>
        <v>0</v>
      </c>
      <c r="H216" s="15">
        <f t="shared" si="9"/>
        <v>371542.25352112675</v>
      </c>
      <c r="I216" s="67">
        <f>E216-H216</f>
        <v>5231607.9728291184</v>
      </c>
    </row>
    <row r="217" spans="1:9" x14ac:dyDescent="0.25">
      <c r="A217" s="53">
        <f>'A) Base RI'!A208</f>
        <v>5724</v>
      </c>
      <c r="B217" s="35" t="str">
        <f>'A) Base RI'!B208</f>
        <v>Nyon</v>
      </c>
      <c r="C217" s="15">
        <f>'D) Ecrêtage'!M206</f>
        <v>1311421.5032813493</v>
      </c>
      <c r="D217" s="10">
        <f>'A) Base RI'!AN208</f>
        <v>20047</v>
      </c>
      <c r="E217" s="15">
        <f t="shared" si="11"/>
        <v>24338969.112063058</v>
      </c>
      <c r="F217" s="44">
        <f>'F) Population'!K209</f>
        <v>14837387.32394366</v>
      </c>
      <c r="G217" s="10">
        <f>'G) Solidarité'!I206</f>
        <v>0</v>
      </c>
      <c r="H217" s="15">
        <f t="shared" si="9"/>
        <v>14837387.32394366</v>
      </c>
      <c r="I217" s="67">
        <f t="shared" si="10"/>
        <v>9501581.7881193981</v>
      </c>
    </row>
    <row r="218" spans="1:9" x14ac:dyDescent="0.25">
      <c r="A218" s="53">
        <f>'A) Base RI'!A209</f>
        <v>5725</v>
      </c>
      <c r="B218" s="35" t="str">
        <f>'A) Base RI'!B209</f>
        <v>Prangins</v>
      </c>
      <c r="C218" s="15">
        <f>'D) Ecrêtage'!M207</f>
        <v>281824.78533760592</v>
      </c>
      <c r="D218" s="10">
        <f>'A) Base RI'!AN209</f>
        <v>4011</v>
      </c>
      <c r="E218" s="15">
        <f t="shared" si="11"/>
        <v>5230450.1094292402</v>
      </c>
      <c r="F218" s="44">
        <f>'F) Population'!K210</f>
        <v>1287112.676056338</v>
      </c>
      <c r="G218" s="10">
        <f>'G) Solidarité'!I207</f>
        <v>0</v>
      </c>
      <c r="H218" s="15">
        <f t="shared" si="9"/>
        <v>1287112.676056338</v>
      </c>
      <c r="I218" s="67">
        <f t="shared" si="10"/>
        <v>3943337.4333729022</v>
      </c>
    </row>
    <row r="219" spans="1:9" x14ac:dyDescent="0.25">
      <c r="A219" s="53">
        <f>'A) Base RI'!A210</f>
        <v>5726</v>
      </c>
      <c r="B219" s="35" t="str">
        <f>'A) Base RI'!B210</f>
        <v>La Rippe</v>
      </c>
      <c r="C219" s="15">
        <f>'D) Ecrêtage'!M208</f>
        <v>62420.845692307696</v>
      </c>
      <c r="D219" s="10">
        <f>'A) Base RI'!AN210</f>
        <v>1120</v>
      </c>
      <c r="E219" s="15">
        <f t="shared" si="11"/>
        <v>1158482.6323592721</v>
      </c>
      <c r="F219" s="44">
        <f>'F) Population'!K211</f>
        <v>140000</v>
      </c>
      <c r="G219" s="10">
        <f>'G) Solidarité'!I208</f>
        <v>0</v>
      </c>
      <c r="H219" s="15">
        <f t="shared" si="9"/>
        <v>140000</v>
      </c>
      <c r="I219" s="67">
        <f t="shared" si="10"/>
        <v>1018482.6323592721</v>
      </c>
    </row>
    <row r="220" spans="1:9" x14ac:dyDescent="0.25">
      <c r="A220" s="53">
        <f>'A) Base RI'!A211</f>
        <v>5727</v>
      </c>
      <c r="B220" s="35" t="str">
        <f>'A) Base RI'!B211</f>
        <v>Saint-Cergue</v>
      </c>
      <c r="C220" s="15">
        <f>'D) Ecrêtage'!M209</f>
        <v>94126.01979797981</v>
      </c>
      <c r="D220" s="10">
        <f>'A) Base RI'!AN211</f>
        <v>2481</v>
      </c>
      <c r="E220" s="15">
        <f t="shared" si="11"/>
        <v>1746906.1493747488</v>
      </c>
      <c r="F220" s="44">
        <f>'F) Population'!K212</f>
        <v>609640.84507042251</v>
      </c>
      <c r="G220" s="10">
        <f>'G) Solidarité'!I209</f>
        <v>265901.65458483028</v>
      </c>
      <c r="H220" s="15">
        <f t="shared" si="9"/>
        <v>875542.49965525279</v>
      </c>
      <c r="I220" s="67">
        <f t="shared" si="10"/>
        <v>871363.64971949602</v>
      </c>
    </row>
    <row r="221" spans="1:9" x14ac:dyDescent="0.25">
      <c r="A221" s="53">
        <f>'A) Base RI'!A212</f>
        <v>5728</v>
      </c>
      <c r="B221" s="35" t="str">
        <f>'A) Base RI'!B212</f>
        <v>Signy-Avenex</v>
      </c>
      <c r="C221" s="15">
        <f>'D) Ecrêtage'!M210</f>
        <v>31889.468936866939</v>
      </c>
      <c r="D221" s="10">
        <f>'A) Base RI'!AN212</f>
        <v>516</v>
      </c>
      <c r="E221" s="15">
        <f t="shared" si="11"/>
        <v>591843.88658600778</v>
      </c>
      <c r="F221" s="44">
        <f>'F) Population'!K213</f>
        <v>50873.239436619711</v>
      </c>
      <c r="G221" s="10">
        <f>'G) Solidarité'!I210</f>
        <v>0</v>
      </c>
      <c r="H221" s="15">
        <f t="shared" si="9"/>
        <v>50873.239436619711</v>
      </c>
      <c r="I221" s="67">
        <f t="shared" si="10"/>
        <v>540970.6471493881</v>
      </c>
    </row>
    <row r="222" spans="1:9" x14ac:dyDescent="0.25">
      <c r="A222" s="53">
        <f>'A) Base RI'!A213</f>
        <v>5729</v>
      </c>
      <c r="B222" s="35" t="str">
        <f>'A) Base RI'!B213</f>
        <v>Tannay</v>
      </c>
      <c r="C222" s="15">
        <f>'D) Ecrêtage'!M211</f>
        <v>114587.61782706507</v>
      </c>
      <c r="D222" s="10">
        <f>'A) Base RI'!AN213</f>
        <v>1430</v>
      </c>
      <c r="E222" s="15">
        <f t="shared" si="11"/>
        <v>2126657.5879223547</v>
      </c>
      <c r="F222" s="44">
        <f>'F) Population'!K214</f>
        <v>246971.8309859155</v>
      </c>
      <c r="G222" s="10">
        <f>'G) Solidarité'!I211</f>
        <v>0</v>
      </c>
      <c r="H222" s="15">
        <f t="shared" si="9"/>
        <v>246971.8309859155</v>
      </c>
      <c r="I222" s="67">
        <f t="shared" si="10"/>
        <v>1879685.7569364393</v>
      </c>
    </row>
    <row r="223" spans="1:9" x14ac:dyDescent="0.25">
      <c r="A223" s="53">
        <f>'A) Base RI'!A214</f>
        <v>5730</v>
      </c>
      <c r="B223" s="35" t="str">
        <f>'A) Base RI'!B214</f>
        <v>Trélex</v>
      </c>
      <c r="C223" s="15">
        <f>'D) Ecrêtage'!M212</f>
        <v>106055.30707067228</v>
      </c>
      <c r="D223" s="10">
        <f>'A) Base RI'!AN214</f>
        <v>1414</v>
      </c>
      <c r="E223" s="15">
        <f t="shared" si="11"/>
        <v>1968304.4974516283</v>
      </c>
      <c r="F223" s="44">
        <f>'F) Population'!K215</f>
        <v>241450.70422535209</v>
      </c>
      <c r="G223" s="10">
        <f>'G) Solidarité'!I212</f>
        <v>0</v>
      </c>
      <c r="H223" s="15">
        <f t="shared" si="9"/>
        <v>241450.70422535209</v>
      </c>
      <c r="I223" s="67">
        <f t="shared" si="10"/>
        <v>1726853.7932262763</v>
      </c>
    </row>
    <row r="224" spans="1:9" x14ac:dyDescent="0.25">
      <c r="A224" s="53">
        <f>'A) Base RI'!A215</f>
        <v>5731</v>
      </c>
      <c r="B224" s="35" t="str">
        <f>'A) Base RI'!B215</f>
        <v>Le Vaud</v>
      </c>
      <c r="C224" s="15">
        <f>'D) Ecrêtage'!M213</f>
        <v>47266.974133333322</v>
      </c>
      <c r="D224" s="10">
        <f>'A) Base RI'!AN215</f>
        <v>1260</v>
      </c>
      <c r="E224" s="15">
        <f t="shared" si="11"/>
        <v>877238.49317199492</v>
      </c>
      <c r="F224" s="44">
        <f>'F) Population'!K216</f>
        <v>188309.85915492958</v>
      </c>
      <c r="G224" s="10">
        <f>'G) Solidarité'!I213</f>
        <v>186427.15535616051</v>
      </c>
      <c r="H224" s="15">
        <f t="shared" si="9"/>
        <v>374737.01451109012</v>
      </c>
      <c r="I224" s="67">
        <f t="shared" si="10"/>
        <v>502501.4786609048</v>
      </c>
    </row>
    <row r="225" spans="1:9" x14ac:dyDescent="0.25">
      <c r="A225" s="53">
        <f>'A) Base RI'!A216</f>
        <v>5732</v>
      </c>
      <c r="B225" s="35" t="str">
        <f>'A) Base RI'!B216</f>
        <v>Vich</v>
      </c>
      <c r="C225" s="15">
        <f>'D) Ecrêtage'!M214</f>
        <v>67286.05253974018</v>
      </c>
      <c r="D225" s="10">
        <f>'A) Base RI'!AN216</f>
        <v>958</v>
      </c>
      <c r="E225" s="15">
        <f t="shared" si="11"/>
        <v>1248777.1096780968</v>
      </c>
      <c r="F225" s="44">
        <f>'F) Population'!K217</f>
        <v>94450.704225352107</v>
      </c>
      <c r="G225" s="10">
        <f>'G) Solidarité'!I214</f>
        <v>0</v>
      </c>
      <c r="H225" s="15">
        <f t="shared" si="9"/>
        <v>94450.704225352107</v>
      </c>
      <c r="I225" s="67">
        <f t="shared" si="10"/>
        <v>1154326.4054527448</v>
      </c>
    </row>
    <row r="226" spans="1:9" x14ac:dyDescent="0.25">
      <c r="A226" s="53">
        <f>'A) Base RI'!A217</f>
        <v>5741</v>
      </c>
      <c r="B226" s="35" t="str">
        <f>'A) Base RI'!B217</f>
        <v>L'Abergement</v>
      </c>
      <c r="C226" s="15">
        <f>'D) Ecrêtage'!M215</f>
        <v>6474.3855761316872</v>
      </c>
      <c r="D226" s="10">
        <f>'A) Base RI'!AN217</f>
        <v>240</v>
      </c>
      <c r="E226" s="15">
        <f t="shared" si="11"/>
        <v>120159.59030927137</v>
      </c>
      <c r="F226" s="44">
        <f>'F) Population'!K218</f>
        <v>23661.971830985913</v>
      </c>
      <c r="G226" s="10">
        <f>'G) Solidarité'!I215</f>
        <v>107728.62544625021</v>
      </c>
      <c r="H226" s="15">
        <f t="shared" si="9"/>
        <v>131390.59727723611</v>
      </c>
      <c r="I226" s="67">
        <f t="shared" si="10"/>
        <v>-11231.006967964742</v>
      </c>
    </row>
    <row r="227" spans="1:9" x14ac:dyDescent="0.25">
      <c r="A227" s="53">
        <f>'A) Base RI'!A218</f>
        <v>5742</v>
      </c>
      <c r="B227" s="35" t="str">
        <f>'A) Base RI'!B218</f>
        <v>Agiez</v>
      </c>
      <c r="C227" s="15">
        <f>'D) Ecrêtage'!M216</f>
        <v>8406.0221052631568</v>
      </c>
      <c r="D227" s="10">
        <f>'A) Base RI'!AN218</f>
        <v>293</v>
      </c>
      <c r="E227" s="15">
        <f t="shared" si="11"/>
        <v>156009.27075192708</v>
      </c>
      <c r="F227" s="44">
        <f>'F) Population'!K219</f>
        <v>28887.32394366197</v>
      </c>
      <c r="G227" s="10">
        <f>'G) Solidarité'!I216</f>
        <v>104197.60737839658</v>
      </c>
      <c r="H227" s="15">
        <f t="shared" si="9"/>
        <v>133084.93132205855</v>
      </c>
      <c r="I227" s="67">
        <f t="shared" si="10"/>
        <v>22924.339429868531</v>
      </c>
    </row>
    <row r="228" spans="1:9" x14ac:dyDescent="0.25">
      <c r="A228" s="53">
        <f>'A) Base RI'!A219</f>
        <v>5743</v>
      </c>
      <c r="B228" s="35" t="str">
        <f>'A) Base RI'!B219</f>
        <v>Arnex-sur-Orbe</v>
      </c>
      <c r="C228" s="15">
        <f>'D) Ecrêtage'!M217</f>
        <v>16157.310890410963</v>
      </c>
      <c r="D228" s="10">
        <f>'A) Base RI'!AN219</f>
        <v>632</v>
      </c>
      <c r="E228" s="15">
        <f t="shared" si="11"/>
        <v>299867.19732118427</v>
      </c>
      <c r="F228" s="44">
        <f>'F) Population'!K220</f>
        <v>62309.859154929574</v>
      </c>
      <c r="G228" s="10">
        <f>'G) Solidarité'!I217</f>
        <v>249411.44115459276</v>
      </c>
      <c r="H228" s="15">
        <f t="shared" si="9"/>
        <v>311721.30030952231</v>
      </c>
      <c r="I228" s="67">
        <f t="shared" si="10"/>
        <v>-11854.10298833804</v>
      </c>
    </row>
    <row r="229" spans="1:9" x14ac:dyDescent="0.25">
      <c r="A229" s="53">
        <f>'A) Base RI'!A220</f>
        <v>5744</v>
      </c>
      <c r="B229" s="35" t="str">
        <f>'A) Base RI'!B220</f>
        <v>Ballaigues</v>
      </c>
      <c r="C229" s="15">
        <f>'D) Ecrêtage'!M218</f>
        <v>65672.382226214861</v>
      </c>
      <c r="D229" s="10">
        <f>'A) Base RI'!AN220</f>
        <v>1101</v>
      </c>
      <c r="E229" s="15">
        <f t="shared" si="11"/>
        <v>1218828.6363461632</v>
      </c>
      <c r="F229" s="44">
        <f>'F) Population'!K221</f>
        <v>133443.661971831</v>
      </c>
      <c r="G229" s="10">
        <f>'G) Solidarité'!I218</f>
        <v>0</v>
      </c>
      <c r="H229" s="15">
        <f t="shared" si="9"/>
        <v>133443.661971831</v>
      </c>
      <c r="I229" s="67">
        <f t="shared" si="10"/>
        <v>1085384.9743743322</v>
      </c>
    </row>
    <row r="230" spans="1:9" x14ac:dyDescent="0.25">
      <c r="A230" s="53">
        <f>'A) Base RI'!A221</f>
        <v>5745</v>
      </c>
      <c r="B230" s="35" t="str">
        <f>'A) Base RI'!B221</f>
        <v>Baulmes</v>
      </c>
      <c r="C230" s="15">
        <f>'D) Ecrêtage'!M219</f>
        <v>26708.244230769233</v>
      </c>
      <c r="D230" s="10">
        <f>'A) Base RI'!AN221</f>
        <v>1055</v>
      </c>
      <c r="E230" s="15">
        <f t="shared" si="11"/>
        <v>495684.36215481837</v>
      </c>
      <c r="F230" s="44">
        <f>'F) Population'!K222</f>
        <v>117570.42253521127</v>
      </c>
      <c r="G230" s="10">
        <f>'G) Solidarité'!I219</f>
        <v>481730.1191136046</v>
      </c>
      <c r="H230" s="15">
        <f t="shared" si="9"/>
        <v>599300.54164881585</v>
      </c>
      <c r="I230" s="67">
        <f t="shared" si="10"/>
        <v>-103616.17949399748</v>
      </c>
    </row>
    <row r="231" spans="1:9" x14ac:dyDescent="0.25">
      <c r="A231" s="53">
        <f>'A) Base RI'!A222</f>
        <v>5746</v>
      </c>
      <c r="B231" s="35" t="str">
        <f>'A) Base RI'!B222</f>
        <v>Bavois</v>
      </c>
      <c r="C231" s="15">
        <f>'D) Ecrêtage'!M220</f>
        <v>26575.73502283105</v>
      </c>
      <c r="D231" s="10">
        <f>'A) Base RI'!AN222</f>
        <v>939</v>
      </c>
      <c r="E231" s="15">
        <f t="shared" si="11"/>
        <v>493225.09371137613</v>
      </c>
      <c r="F231" s="44">
        <f>'F) Population'!K223</f>
        <v>92577.464788732381</v>
      </c>
      <c r="G231" s="10">
        <f>'G) Solidarité'!I220</f>
        <v>315833.58937484538</v>
      </c>
      <c r="H231" s="15">
        <f t="shared" si="9"/>
        <v>408411.05416357773</v>
      </c>
      <c r="I231" s="67">
        <f t="shared" si="10"/>
        <v>84814.039547798398</v>
      </c>
    </row>
    <row r="232" spans="1:9" x14ac:dyDescent="0.25">
      <c r="A232" s="53">
        <f>'A) Base RI'!A223</f>
        <v>5747</v>
      </c>
      <c r="B232" s="35" t="str">
        <f>'A) Base RI'!B223</f>
        <v>Bofflens</v>
      </c>
      <c r="C232" s="15">
        <f>'D) Ecrêtage'!M221</f>
        <v>5307.8250724637683</v>
      </c>
      <c r="D232" s="10">
        <f>'A) Base RI'!AN223</f>
        <v>188</v>
      </c>
      <c r="E232" s="15">
        <f t="shared" si="11"/>
        <v>98509.129343759152</v>
      </c>
      <c r="F232" s="44">
        <f>'F) Population'!K224</f>
        <v>18535.211267605631</v>
      </c>
      <c r="G232" s="10">
        <f>'G) Solidarité'!I221</f>
        <v>56741.115120634677</v>
      </c>
      <c r="H232" s="15">
        <f t="shared" si="9"/>
        <v>75276.326388240312</v>
      </c>
      <c r="I232" s="67">
        <f t="shared" si="10"/>
        <v>23232.80295551884</v>
      </c>
    </row>
    <row r="233" spans="1:9" x14ac:dyDescent="0.25">
      <c r="A233" s="53">
        <f>'A) Base RI'!A224</f>
        <v>5748</v>
      </c>
      <c r="B233" s="35" t="str">
        <f>'A) Base RI'!B224</f>
        <v>Bretonnières</v>
      </c>
      <c r="C233" s="15">
        <f>'D) Ecrêtage'!M222</f>
        <v>7260.9913888888877</v>
      </c>
      <c r="D233" s="10">
        <f>'A) Base RI'!AN224</f>
        <v>258</v>
      </c>
      <c r="E233" s="15">
        <f t="shared" si="11"/>
        <v>134758.38599179068</v>
      </c>
      <c r="F233" s="44">
        <f>'F) Population'!K225</f>
        <v>25436.619718309856</v>
      </c>
      <c r="G233" s="10">
        <f>'G) Solidarité'!I222</f>
        <v>85266.122277375864</v>
      </c>
      <c r="H233" s="15">
        <f t="shared" si="9"/>
        <v>110702.74199568572</v>
      </c>
      <c r="I233" s="67">
        <f t="shared" si="10"/>
        <v>24055.643996104962</v>
      </c>
    </row>
    <row r="234" spans="1:9" x14ac:dyDescent="0.25">
      <c r="A234" s="53">
        <f>'A) Base RI'!A225</f>
        <v>5749</v>
      </c>
      <c r="B234" s="35" t="str">
        <f>'A) Base RI'!B225</f>
        <v>Chavornay</v>
      </c>
      <c r="C234" s="15">
        <f>'D) Ecrêtage'!M223</f>
        <v>119889.98763888891</v>
      </c>
      <c r="D234" s="10">
        <f>'A) Base RI'!AN225</f>
        <v>4293</v>
      </c>
      <c r="E234" s="15">
        <f t="shared" si="11"/>
        <v>2225065.471846635</v>
      </c>
      <c r="F234" s="44">
        <f>'F) Population'!K226</f>
        <v>1426126.7605633801</v>
      </c>
      <c r="G234" s="10">
        <f>'G) Solidarité'!I223</f>
        <v>1438046.7653259223</v>
      </c>
      <c r="H234" s="15">
        <f t="shared" si="9"/>
        <v>2864173.5258893026</v>
      </c>
      <c r="I234" s="67">
        <f t="shared" si="10"/>
        <v>-639108.05404266762</v>
      </c>
    </row>
    <row r="235" spans="1:9" x14ac:dyDescent="0.25">
      <c r="A235" s="53">
        <f>'A) Base RI'!A226</f>
        <v>5750</v>
      </c>
      <c r="B235" s="35" t="str">
        <f>'A) Base RI'!B226</f>
        <v>Les Clées</v>
      </c>
      <c r="C235" s="15">
        <f>'D) Ecrêtage'!M224</f>
        <v>4790.0727916666665</v>
      </c>
      <c r="D235" s="10">
        <f>'A) Base RI'!AN226</f>
        <v>176</v>
      </c>
      <c r="E235" s="15">
        <f t="shared" si="11"/>
        <v>88900.047337333221</v>
      </c>
      <c r="F235" s="44">
        <f>'F) Population'!K227</f>
        <v>17352.112676056338</v>
      </c>
      <c r="G235" s="10">
        <f>'G) Solidarité'!I224</f>
        <v>75983.257797962156</v>
      </c>
      <c r="H235" s="15">
        <f t="shared" si="9"/>
        <v>93335.370474018491</v>
      </c>
      <c r="I235" s="67">
        <f t="shared" si="10"/>
        <v>-4435.3231366852706</v>
      </c>
    </row>
    <row r="236" spans="1:9" x14ac:dyDescent="0.25">
      <c r="A236" s="53">
        <f>'A) Base RI'!A227</f>
        <v>5751</v>
      </c>
      <c r="B236" s="35" t="str">
        <f>'A) Base RI'!B227</f>
        <v>Corcelles-sur-Chavornay</v>
      </c>
      <c r="C236" s="15">
        <f>'D) Ecrêtage'!M225</f>
        <v>8772.6488157894728</v>
      </c>
      <c r="D236" s="10">
        <f>'A) Base RI'!AN227</f>
        <v>354</v>
      </c>
      <c r="E236" s="15">
        <f t="shared" si="11"/>
        <v>162813.57902415685</v>
      </c>
      <c r="F236" s="44">
        <f>'F) Population'!K228</f>
        <v>34901.408450704221</v>
      </c>
      <c r="G236" s="10">
        <f>'G) Solidarité'!I225</f>
        <v>157825.88278048809</v>
      </c>
      <c r="H236" s="15">
        <f t="shared" si="9"/>
        <v>192727.2912311923</v>
      </c>
      <c r="I236" s="67">
        <f t="shared" si="10"/>
        <v>-29913.712207035453</v>
      </c>
    </row>
    <row r="237" spans="1:9" x14ac:dyDescent="0.25">
      <c r="A237" s="53">
        <f>'A) Base RI'!A228</f>
        <v>5752</v>
      </c>
      <c r="B237" s="35" t="str">
        <f>'A) Base RI'!B228</f>
        <v>Croy</v>
      </c>
      <c r="C237" s="15">
        <f>'D) Ecrêtage'!M226</f>
        <v>9213.5061196911174</v>
      </c>
      <c r="D237" s="10">
        <f>'A) Base RI'!AN228</f>
        <v>344</v>
      </c>
      <c r="E237" s="15">
        <f t="shared" si="11"/>
        <v>170995.54971446627</v>
      </c>
      <c r="F237" s="44">
        <f>'F) Population'!K229</f>
        <v>33915.492957746479</v>
      </c>
      <c r="G237" s="10">
        <f>'G) Solidarité'!I226</f>
        <v>130330.09269776555</v>
      </c>
      <c r="H237" s="15">
        <f t="shared" ref="H237:H283" si="12">F237+G237</f>
        <v>164245.58565551203</v>
      </c>
      <c r="I237" s="67">
        <f t="shared" ref="I237:I283" si="13">E237-H237</f>
        <v>6749.9640589542396</v>
      </c>
    </row>
    <row r="238" spans="1:9" x14ac:dyDescent="0.25">
      <c r="A238" s="53">
        <f>'A) Base RI'!A229</f>
        <v>5754</v>
      </c>
      <c r="B238" s="35" t="str">
        <f>'A) Base RI'!B229</f>
        <v>Juriens</v>
      </c>
      <c r="C238" s="15">
        <f>'D) Ecrêtage'!M227</f>
        <v>7202.565316455697</v>
      </c>
      <c r="D238" s="10">
        <f>'A) Base RI'!AN229</f>
        <v>302</v>
      </c>
      <c r="E238" s="15">
        <f t="shared" si="11"/>
        <v>133674.04326236885</v>
      </c>
      <c r="F238" s="44">
        <f>'F) Population'!K230</f>
        <v>29774.647887323943</v>
      </c>
      <c r="G238" s="10">
        <f>'G) Solidarité'!I227</f>
        <v>152501.83438583236</v>
      </c>
      <c r="H238" s="15">
        <f t="shared" si="12"/>
        <v>182276.48227315632</v>
      </c>
      <c r="I238" s="67">
        <f t="shared" si="13"/>
        <v>-48602.439010787464</v>
      </c>
    </row>
    <row r="239" spans="1:9" x14ac:dyDescent="0.25">
      <c r="A239" s="53">
        <f>'A) Base RI'!A230</f>
        <v>5755</v>
      </c>
      <c r="B239" s="35" t="str">
        <f>'A) Base RI'!B230</f>
        <v>Lignerolle</v>
      </c>
      <c r="C239" s="15">
        <f>'D) Ecrêtage'!M228</f>
        <v>9116.1979107142852</v>
      </c>
      <c r="D239" s="10">
        <f>'A) Base RI'!AN230</f>
        <v>405</v>
      </c>
      <c r="E239" s="15">
        <f t="shared" si="11"/>
        <v>169189.58459439519</v>
      </c>
      <c r="F239" s="44">
        <f>'F) Population'!K231</f>
        <v>39929.57746478873</v>
      </c>
      <c r="G239" s="10">
        <f>'G) Solidarité'!I228</f>
        <v>223609.91349250387</v>
      </c>
      <c r="H239" s="15">
        <f t="shared" si="12"/>
        <v>263539.49095729261</v>
      </c>
      <c r="I239" s="67">
        <f t="shared" si="13"/>
        <v>-94349.906362897425</v>
      </c>
    </row>
    <row r="240" spans="1:9" x14ac:dyDescent="0.25">
      <c r="A240" s="53">
        <f>'A) Base RI'!A231</f>
        <v>5756</v>
      </c>
      <c r="B240" s="35" t="str">
        <f>'A) Base RI'!B231</f>
        <v>Montcherand</v>
      </c>
      <c r="C240" s="15">
        <f>'D) Ecrêtage'!M229</f>
        <v>14643.939999999999</v>
      </c>
      <c r="D240" s="10">
        <f>'A) Base RI'!AN231</f>
        <v>469</v>
      </c>
      <c r="E240" s="15">
        <f t="shared" si="11"/>
        <v>271780.20373091247</v>
      </c>
      <c r="F240" s="44">
        <f>'F) Population'!K232</f>
        <v>46239.436619718304</v>
      </c>
      <c r="G240" s="10">
        <f>'G) Solidarité'!I229</f>
        <v>125067.8898479607</v>
      </c>
      <c r="H240" s="15">
        <f t="shared" si="12"/>
        <v>171307.326467679</v>
      </c>
      <c r="I240" s="67">
        <f t="shared" si="13"/>
        <v>100472.87726323347</v>
      </c>
    </row>
    <row r="241" spans="1:9" x14ac:dyDescent="0.25">
      <c r="A241" s="53">
        <f>'A) Base RI'!A232</f>
        <v>5757</v>
      </c>
      <c r="B241" s="35" t="str">
        <f>'A) Base RI'!B232</f>
        <v>Orbe</v>
      </c>
      <c r="C241" s="15">
        <f>'D) Ecrêtage'!M230</f>
        <v>219459.11337837842</v>
      </c>
      <c r="D241" s="10">
        <f>'A) Base RI'!AN232</f>
        <v>6805</v>
      </c>
      <c r="E241" s="15">
        <f t="shared" si="11"/>
        <v>4072991.4588957014</v>
      </c>
      <c r="F241" s="44">
        <f>'F) Population'!K233</f>
        <v>2842394.3661971828</v>
      </c>
      <c r="G241" s="10">
        <f>'G) Solidarité'!I230</f>
        <v>1764110.0613160487</v>
      </c>
      <c r="H241" s="15">
        <f t="shared" si="12"/>
        <v>4606504.4275132315</v>
      </c>
      <c r="I241" s="67">
        <f t="shared" si="13"/>
        <v>-533512.96861753007</v>
      </c>
    </row>
    <row r="242" spans="1:9" x14ac:dyDescent="0.25">
      <c r="A242" s="53">
        <f>'A) Base RI'!A233</f>
        <v>5758</v>
      </c>
      <c r="B242" s="35" t="str">
        <f>'A) Base RI'!B233</f>
        <v>La Praz</v>
      </c>
      <c r="C242" s="15">
        <f>'D) Ecrêtage'!M231</f>
        <v>3792.6817536813919</v>
      </c>
      <c r="D242" s="10">
        <f>'A) Base RI'!AN233</f>
        <v>159</v>
      </c>
      <c r="E242" s="15">
        <f t="shared" si="11"/>
        <v>70389.24085335253</v>
      </c>
      <c r="F242" s="44">
        <f>'F) Population'!K234</f>
        <v>15676.056338028167</v>
      </c>
      <c r="G242" s="10">
        <f>'G) Solidarité'!I231</f>
        <v>88610.652711827614</v>
      </c>
      <c r="H242" s="15">
        <f t="shared" si="12"/>
        <v>104286.70904985578</v>
      </c>
      <c r="I242" s="67">
        <f t="shared" si="13"/>
        <v>-33897.468196503251</v>
      </c>
    </row>
    <row r="243" spans="1:9" x14ac:dyDescent="0.25">
      <c r="A243" s="53">
        <f>'A) Base RI'!A234</f>
        <v>5759</v>
      </c>
      <c r="B243" s="35" t="str">
        <f>'A) Base RI'!B234</f>
        <v>Premier</v>
      </c>
      <c r="C243" s="15">
        <f>'D) Ecrêtage'!M232</f>
        <v>4689.5245679012341</v>
      </c>
      <c r="D243" s="10">
        <f>'A) Base RI'!AN234</f>
        <v>196</v>
      </c>
      <c r="E243" s="15">
        <f t="shared" si="11"/>
        <v>87033.950047959559</v>
      </c>
      <c r="F243" s="44">
        <f>'F) Population'!K235</f>
        <v>19323.943661971829</v>
      </c>
      <c r="G243" s="10">
        <f>'G) Solidarité'!I232</f>
        <v>103655.8782769972</v>
      </c>
      <c r="H243" s="15">
        <f t="shared" si="12"/>
        <v>122979.82193896903</v>
      </c>
      <c r="I243" s="67">
        <f t="shared" si="13"/>
        <v>-35945.871891009476</v>
      </c>
    </row>
    <row r="244" spans="1:9" x14ac:dyDescent="0.25">
      <c r="A244" s="53">
        <f>'A) Base RI'!A235</f>
        <v>5760</v>
      </c>
      <c r="B244" s="35" t="str">
        <f>'A) Base RI'!B235</f>
        <v>Rances</v>
      </c>
      <c r="C244" s="15">
        <f>'D) Ecrêtage'!M233</f>
        <v>13227.609572649571</v>
      </c>
      <c r="D244" s="10">
        <f>'A) Base RI'!AN235</f>
        <v>473</v>
      </c>
      <c r="E244" s="15">
        <f t="shared" si="11"/>
        <v>245494.20610352606</v>
      </c>
      <c r="F244" s="44">
        <f>'F) Population'!K236</f>
        <v>46633.802816901407</v>
      </c>
      <c r="G244" s="10">
        <f>'G) Solidarité'!I233</f>
        <v>185507.84343798491</v>
      </c>
      <c r="H244" s="15">
        <f t="shared" si="12"/>
        <v>232141.64625488632</v>
      </c>
      <c r="I244" s="67">
        <f t="shared" si="13"/>
        <v>13352.559848639736</v>
      </c>
    </row>
    <row r="245" spans="1:9" x14ac:dyDescent="0.25">
      <c r="A245" s="53">
        <f>'A) Base RI'!A236</f>
        <v>5761</v>
      </c>
      <c r="B245" s="35" t="str">
        <f>'A) Base RI'!B236</f>
        <v>Romainmôtier-Envy</v>
      </c>
      <c r="C245" s="15">
        <f>'D) Ecrêtage'!M234</f>
        <v>12165.915592105261</v>
      </c>
      <c r="D245" s="10">
        <f>'A) Base RI'!AN236</f>
        <v>546</v>
      </c>
      <c r="E245" s="15">
        <f t="shared" si="11"/>
        <v>225789.98672457365</v>
      </c>
      <c r="F245" s="44">
        <f>'F) Population'!K237</f>
        <v>53830.985915492951</v>
      </c>
      <c r="G245" s="10">
        <f>'G) Solidarité'!I234</f>
        <v>274931.04497459496</v>
      </c>
      <c r="H245" s="15">
        <f t="shared" si="12"/>
        <v>328762.03089008789</v>
      </c>
      <c r="I245" s="67">
        <f t="shared" si="13"/>
        <v>-102972.04416551423</v>
      </c>
    </row>
    <row r="246" spans="1:9" x14ac:dyDescent="0.25">
      <c r="A246" s="53">
        <f>'A) Base RI'!A237</f>
        <v>5762</v>
      </c>
      <c r="B246" s="35" t="str">
        <f>'A) Base RI'!B237</f>
        <v>Sergey</v>
      </c>
      <c r="C246" s="15">
        <f>'D) Ecrêtage'!M235</f>
        <v>3586.5485897435897</v>
      </c>
      <c r="D246" s="10">
        <f>'A) Base RI'!AN237</f>
        <v>140</v>
      </c>
      <c r="E246" s="15">
        <f t="shared" si="11"/>
        <v>66563.568712472857</v>
      </c>
      <c r="F246" s="44">
        <f>'F) Population'!K238</f>
        <v>13802.816901408451</v>
      </c>
      <c r="G246" s="10">
        <f>'G) Solidarité'!I235</f>
        <v>62897.099808653024</v>
      </c>
      <c r="H246" s="15">
        <f t="shared" si="12"/>
        <v>76699.916710061472</v>
      </c>
      <c r="I246" s="67">
        <f t="shared" si="13"/>
        <v>-10136.347997588615</v>
      </c>
    </row>
    <row r="247" spans="1:9" x14ac:dyDescent="0.25">
      <c r="A247" s="53">
        <f>'A) Base RI'!A238</f>
        <v>5763</v>
      </c>
      <c r="B247" s="35" t="str">
        <f>'A) Base RI'!B238</f>
        <v>Valeyres-sous-Rances</v>
      </c>
      <c r="C247" s="15">
        <f>'D) Ecrêtage'!M236</f>
        <v>16085.850769230768</v>
      </c>
      <c r="D247" s="10">
        <f>'A) Base RI'!AN238</f>
        <v>623</v>
      </c>
      <c r="E247" s="15">
        <f t="shared" si="11"/>
        <v>298540.95272492198</v>
      </c>
      <c r="F247" s="44">
        <f>'F) Population'!K239</f>
        <v>61422.535211267605</v>
      </c>
      <c r="G247" s="10">
        <f>'G) Solidarité'!I236</f>
        <v>192246.85078155447</v>
      </c>
      <c r="H247" s="15">
        <f t="shared" si="12"/>
        <v>253669.38599282206</v>
      </c>
      <c r="I247" s="67">
        <f t="shared" si="13"/>
        <v>44871.56673209992</v>
      </c>
    </row>
    <row r="248" spans="1:9" x14ac:dyDescent="0.25">
      <c r="A248" s="53">
        <f>'A) Base RI'!A239</f>
        <v>5764</v>
      </c>
      <c r="B248" s="35" t="str">
        <f>'A) Base RI'!B239</f>
        <v>Vallorbe</v>
      </c>
      <c r="C248" s="15">
        <f>'D) Ecrêtage'!M237</f>
        <v>84513.608378378369</v>
      </c>
      <c r="D248" s="10">
        <f>'A) Base RI'!AN239</f>
        <v>3747</v>
      </c>
      <c r="E248" s="15">
        <f t="shared" si="11"/>
        <v>1568507.225726835</v>
      </c>
      <c r="F248" s="44">
        <f>'F) Population'!K240</f>
        <v>1156971.8309859154</v>
      </c>
      <c r="G248" s="10">
        <f>'G) Solidarité'!I237</f>
        <v>1766359.9964448756</v>
      </c>
      <c r="H248" s="15">
        <f t="shared" si="12"/>
        <v>2923331.8274307912</v>
      </c>
      <c r="I248" s="67">
        <f t="shared" si="13"/>
        <v>-1354824.6017039563</v>
      </c>
    </row>
    <row r="249" spans="1:9" x14ac:dyDescent="0.25">
      <c r="A249" s="53">
        <f>'A) Base RI'!A240</f>
        <v>5765</v>
      </c>
      <c r="B249" s="35" t="str">
        <f>'A) Base RI'!B240</f>
        <v>Vaulion</v>
      </c>
      <c r="C249" s="15">
        <f>'D) Ecrêtage'!M238</f>
        <v>10199.027160493826</v>
      </c>
      <c r="D249" s="10">
        <f>'A) Base RI'!AN240</f>
        <v>494</v>
      </c>
      <c r="E249" s="15">
        <f t="shared" si="11"/>
        <v>189286.05822859984</v>
      </c>
      <c r="F249" s="44">
        <f>'F) Population'!K241</f>
        <v>48704.225352112669</v>
      </c>
      <c r="G249" s="10">
        <f>'G) Solidarité'!I238</f>
        <v>303746.5526486577</v>
      </c>
      <c r="H249" s="15">
        <f t="shared" si="12"/>
        <v>352450.77800077037</v>
      </c>
      <c r="I249" s="67">
        <f t="shared" si="13"/>
        <v>-163164.71977217053</v>
      </c>
    </row>
    <row r="250" spans="1:9" x14ac:dyDescent="0.25">
      <c r="A250" s="53">
        <f>'A) Base RI'!A241</f>
        <v>5766</v>
      </c>
      <c r="B250" s="35" t="str">
        <f>'A) Base RI'!B241</f>
        <v>Vuiteboeuf</v>
      </c>
      <c r="C250" s="15">
        <f>'D) Ecrêtage'!M239</f>
        <v>13023.960575139146</v>
      </c>
      <c r="D250" s="10">
        <f>'A) Base RI'!AN241</f>
        <v>556</v>
      </c>
      <c r="E250" s="15">
        <f t="shared" si="11"/>
        <v>241714.6381707853</v>
      </c>
      <c r="F250" s="44">
        <f>'F) Population'!K242</f>
        <v>54816.9014084507</v>
      </c>
      <c r="G250" s="10">
        <f>'G) Solidarité'!I239</f>
        <v>272330.39250492043</v>
      </c>
      <c r="H250" s="15">
        <f t="shared" si="12"/>
        <v>327147.2939133711</v>
      </c>
      <c r="I250" s="67">
        <f t="shared" si="13"/>
        <v>-85432.655742585805</v>
      </c>
    </row>
    <row r="251" spans="1:9" x14ac:dyDescent="0.25">
      <c r="A251" s="53">
        <f>'A) Base RI'!A242</f>
        <v>5782</v>
      </c>
      <c r="B251" s="35" t="str">
        <f>'A) Base RI'!B242</f>
        <v>Carrouge</v>
      </c>
      <c r="C251" s="15">
        <f>'D) Ecrêtage'!M240</f>
        <v>32585.638421052627</v>
      </c>
      <c r="D251" s="10">
        <f>'A) Base RI'!AN242</f>
        <v>1247</v>
      </c>
      <c r="E251" s="15">
        <f t="shared" si="11"/>
        <v>604764.25393545267</v>
      </c>
      <c r="F251" s="44">
        <f>'F) Population'!K243</f>
        <v>183823.94366197183</v>
      </c>
      <c r="G251" s="10">
        <f>'G) Solidarité'!I240</f>
        <v>517104.11095816368</v>
      </c>
      <c r="H251" s="15">
        <f t="shared" si="12"/>
        <v>700928.05462013558</v>
      </c>
      <c r="I251" s="67">
        <f t="shared" si="13"/>
        <v>-96163.800684682908</v>
      </c>
    </row>
    <row r="252" spans="1:9" x14ac:dyDescent="0.25">
      <c r="A252" s="53">
        <f>'A) Base RI'!A243</f>
        <v>5785</v>
      </c>
      <c r="B252" s="35" t="str">
        <f>'A) Base RI'!B243</f>
        <v>Corcelles-le-Jorat</v>
      </c>
      <c r="C252" s="15">
        <f>'D) Ecrêtage'!M241</f>
        <v>12275.22831168831</v>
      </c>
      <c r="D252" s="10">
        <f>'A) Base RI'!AN243</f>
        <v>425</v>
      </c>
      <c r="E252" s="15">
        <f t="shared" si="11"/>
        <v>227818.74627962927</v>
      </c>
      <c r="F252" s="44">
        <f>'F) Population'!K244</f>
        <v>41901.408450704221</v>
      </c>
      <c r="G252" s="10">
        <f>'G) Solidarité'!I241</f>
        <v>153195.80205841377</v>
      </c>
      <c r="H252" s="15">
        <f t="shared" si="12"/>
        <v>195097.21050911798</v>
      </c>
      <c r="I252" s="67">
        <f t="shared" si="13"/>
        <v>32721.535770511284</v>
      </c>
    </row>
    <row r="253" spans="1:9" x14ac:dyDescent="0.25">
      <c r="A253" s="53">
        <f>'A) Base RI'!A244</f>
        <v>5788</v>
      </c>
      <c r="B253" s="35" t="str">
        <f>'A) Base RI'!B244</f>
        <v>Essertes</v>
      </c>
      <c r="C253" s="15">
        <f>'D) Ecrêtage'!M242</f>
        <v>9663.2152777777756</v>
      </c>
      <c r="D253" s="10">
        <f>'A) Base RI'!AN244</f>
        <v>335</v>
      </c>
      <c r="E253" s="15">
        <f t="shared" si="11"/>
        <v>179341.80397421119</v>
      </c>
      <c r="F253" s="44">
        <f>'F) Population'!K245</f>
        <v>33028.169014084502</v>
      </c>
      <c r="G253" s="10">
        <f>'G) Solidarité'!I242</f>
        <v>105841.1976289681</v>
      </c>
      <c r="H253" s="15">
        <f t="shared" si="12"/>
        <v>138869.36664305261</v>
      </c>
      <c r="I253" s="67">
        <f t="shared" si="13"/>
        <v>40472.43733115858</v>
      </c>
    </row>
    <row r="254" spans="1:9" x14ac:dyDescent="0.25">
      <c r="A254" s="53">
        <f>'A) Base RI'!A245</f>
        <v>5789</v>
      </c>
      <c r="B254" s="35" t="str">
        <f>'A) Base RI'!B245</f>
        <v>Ferlens</v>
      </c>
      <c r="C254" s="15">
        <f>'D) Ecrêtage'!M243</f>
        <v>9239.8459210526344</v>
      </c>
      <c r="D254" s="10">
        <f>'A) Base RI'!AN245</f>
        <v>350</v>
      </c>
      <c r="E254" s="15">
        <f t="shared" si="11"/>
        <v>171484.39606184716</v>
      </c>
      <c r="F254" s="44">
        <f>'F) Population'!K246</f>
        <v>34507.042253521126</v>
      </c>
      <c r="G254" s="10">
        <f>'G) Solidarité'!I243</f>
        <v>142969.49557909337</v>
      </c>
      <c r="H254" s="15">
        <f t="shared" si="12"/>
        <v>177476.5378326145</v>
      </c>
      <c r="I254" s="67">
        <f t="shared" si="13"/>
        <v>-5992.141770767339</v>
      </c>
    </row>
    <row r="255" spans="1:9" x14ac:dyDescent="0.25">
      <c r="A255" s="53">
        <f>'A) Base RI'!A246</f>
        <v>5790</v>
      </c>
      <c r="B255" s="35" t="str">
        <f>'A) Base RI'!B246</f>
        <v>Maracon</v>
      </c>
      <c r="C255" s="15">
        <f>'D) Ecrêtage'!M244</f>
        <v>12077.747368421051</v>
      </c>
      <c r="D255" s="10">
        <f>'A) Base RI'!AN246</f>
        <v>449</v>
      </c>
      <c r="E255" s="15">
        <f t="shared" si="11"/>
        <v>224153.6526645128</v>
      </c>
      <c r="F255" s="44">
        <f>'F) Population'!K247</f>
        <v>44267.605633802814</v>
      </c>
      <c r="G255" s="10">
        <f>'G) Solidarité'!I244</f>
        <v>178230.64134996277</v>
      </c>
      <c r="H255" s="15">
        <f t="shared" si="12"/>
        <v>222498.24698376557</v>
      </c>
      <c r="I255" s="67">
        <f t="shared" si="13"/>
        <v>1655.4056807472371</v>
      </c>
    </row>
    <row r="256" spans="1:9" x14ac:dyDescent="0.25">
      <c r="A256" s="53">
        <f>'A) Base RI'!A247</f>
        <v>5791</v>
      </c>
      <c r="B256" s="35" t="str">
        <f>'A) Base RI'!B247</f>
        <v>Mézières</v>
      </c>
      <c r="C256" s="15">
        <f>'D) Ecrêtage'!M245</f>
        <v>47801.173157894729</v>
      </c>
      <c r="D256" s="10">
        <f>'A) Base RI'!AN247</f>
        <v>1217</v>
      </c>
      <c r="E256" s="15">
        <f t="shared" si="11"/>
        <v>887152.81402609241</v>
      </c>
      <c r="F256" s="44">
        <f>'F) Population'!K248</f>
        <v>173471.8309859155</v>
      </c>
      <c r="G256" s="10">
        <f>'G) Solidarité'!I245</f>
        <v>135330.77140501604</v>
      </c>
      <c r="H256" s="15">
        <f t="shared" si="12"/>
        <v>308802.60239093157</v>
      </c>
      <c r="I256" s="67">
        <f t="shared" si="13"/>
        <v>578350.21163516084</v>
      </c>
    </row>
    <row r="257" spans="1:9" x14ac:dyDescent="0.25">
      <c r="A257" s="53">
        <f>'A) Base RI'!A248</f>
        <v>5792</v>
      </c>
      <c r="B257" s="35" t="str">
        <f>'A) Base RI'!B248</f>
        <v>Montpreveyres</v>
      </c>
      <c r="C257" s="15">
        <f>'D) Ecrêtage'!M246</f>
        <v>15670.869999999999</v>
      </c>
      <c r="D257" s="10">
        <f>'A) Base RI'!AN248</f>
        <v>621</v>
      </c>
      <c r="E257" s="15">
        <f t="shared" si="11"/>
        <v>290839.23051041213</v>
      </c>
      <c r="F257" s="44">
        <f>'F) Population'!K249</f>
        <v>61225.352112676053</v>
      </c>
      <c r="G257" s="10">
        <f>'G) Solidarité'!I246</f>
        <v>277526.10492033436</v>
      </c>
      <c r="H257" s="15">
        <f t="shared" si="12"/>
        <v>338751.45703301043</v>
      </c>
      <c r="I257" s="67">
        <f t="shared" si="13"/>
        <v>-47912.226522598299</v>
      </c>
    </row>
    <row r="258" spans="1:9" x14ac:dyDescent="0.25">
      <c r="A258" s="53">
        <f>'A) Base RI'!A249</f>
        <v>5798</v>
      </c>
      <c r="B258" s="35" t="str">
        <f>'A) Base RI'!B249</f>
        <v>Ropraz</v>
      </c>
      <c r="C258" s="15">
        <f>'D) Ecrêtage'!M247</f>
        <v>10971.989935483871</v>
      </c>
      <c r="D258" s="10">
        <f>'A) Base RI'!AN249</f>
        <v>438</v>
      </c>
      <c r="E258" s="15">
        <f t="shared" si="11"/>
        <v>203631.64967893396</v>
      </c>
      <c r="F258" s="44">
        <f>'F) Population'!K250</f>
        <v>43183.098591549293</v>
      </c>
      <c r="G258" s="10">
        <f>'G) Solidarité'!I247</f>
        <v>200235.22846532537</v>
      </c>
      <c r="H258" s="15">
        <f t="shared" si="12"/>
        <v>243418.32705687467</v>
      </c>
      <c r="I258" s="67">
        <f t="shared" si="13"/>
        <v>-39786.677377940709</v>
      </c>
    </row>
    <row r="259" spans="1:9" x14ac:dyDescent="0.25">
      <c r="A259" s="53">
        <f>'A) Base RI'!A250</f>
        <v>5799</v>
      </c>
      <c r="B259" s="35" t="str">
        <f>'A) Base RI'!B250</f>
        <v>Servion</v>
      </c>
      <c r="C259" s="15">
        <f>'D) Ecrêtage'!M248</f>
        <v>60598.657971014502</v>
      </c>
      <c r="D259" s="10">
        <f>'A) Base RI'!AN250</f>
        <v>1918</v>
      </c>
      <c r="E259" s="15">
        <f t="shared" si="11"/>
        <v>1124664.2371644657</v>
      </c>
      <c r="F259" s="44">
        <f>'F) Population'!K251</f>
        <v>415366.19718309859</v>
      </c>
      <c r="G259" s="10">
        <f>'G) Solidarité'!I248</f>
        <v>456198.87467916339</v>
      </c>
      <c r="H259" s="15">
        <f t="shared" si="12"/>
        <v>871565.07186226198</v>
      </c>
      <c r="I259" s="67">
        <f t="shared" si="13"/>
        <v>253099.16530220374</v>
      </c>
    </row>
    <row r="260" spans="1:9" x14ac:dyDescent="0.25">
      <c r="A260" s="53">
        <f>'A) Base RI'!A251</f>
        <v>5803</v>
      </c>
      <c r="B260" s="35" t="str">
        <f>'A) Base RI'!B251</f>
        <v>Vulliens</v>
      </c>
      <c r="C260" s="15">
        <f>'D) Ecrêtage'!M249</f>
        <v>14215.08564102564</v>
      </c>
      <c r="D260" s="10">
        <f>'A) Base RI'!AN251</f>
        <v>466</v>
      </c>
      <c r="E260" s="15">
        <f t="shared" si="11"/>
        <v>263820.99841779727</v>
      </c>
      <c r="F260" s="44">
        <f>'F) Population'!K252</f>
        <v>45943.661971830981</v>
      </c>
      <c r="G260" s="10">
        <f>'G) Solidarité'!I249</f>
        <v>153992.14803584846</v>
      </c>
      <c r="H260" s="15">
        <f t="shared" si="12"/>
        <v>199935.81000767945</v>
      </c>
      <c r="I260" s="67">
        <f t="shared" si="13"/>
        <v>63885.188410117815</v>
      </c>
    </row>
    <row r="261" spans="1:9" x14ac:dyDescent="0.25">
      <c r="A261" s="53">
        <f>'A) Base RI'!A252</f>
        <v>5804</v>
      </c>
      <c r="B261" s="35" t="str">
        <f>'A) Base RI'!B252</f>
        <v>Jorat-Menthue</v>
      </c>
      <c r="C261" s="15">
        <f>'D) Ecrêtage'!M250</f>
        <v>48554.511111111118</v>
      </c>
      <c r="D261" s="10">
        <f>'A) Base RI'!AN252</f>
        <v>1545</v>
      </c>
      <c r="E261" s="15">
        <f t="shared" si="11"/>
        <v>901134.18395818584</v>
      </c>
      <c r="F261" s="44">
        <f>'F) Population'!K253</f>
        <v>286654.92957746476</v>
      </c>
      <c r="G261" s="10">
        <f>'G) Solidarité'!I250</f>
        <v>405502.41019584832</v>
      </c>
      <c r="H261" s="15">
        <f>F261+G261</f>
        <v>692157.33977331314</v>
      </c>
      <c r="I261" s="67">
        <f>E261-H261</f>
        <v>208976.84418487269</v>
      </c>
    </row>
    <row r="262" spans="1:9" x14ac:dyDescent="0.25">
      <c r="A262" s="53">
        <f>'A) Base RI'!A253</f>
        <v>5805</v>
      </c>
      <c r="B262" s="35" t="str">
        <f>'A) Base RI'!B253</f>
        <v>Oron</v>
      </c>
      <c r="C262" s="15">
        <f>'D) Ecrêtage'!M251</f>
        <v>147104.2625559947</v>
      </c>
      <c r="D262" s="10">
        <f>'A) Base RI'!AN253</f>
        <v>5397</v>
      </c>
      <c r="E262" s="15">
        <f t="shared" si="11"/>
        <v>2730141.3722778084</v>
      </c>
      <c r="F262" s="44">
        <f>'F) Population'!K254</f>
        <v>2009492.9577464787</v>
      </c>
      <c r="G262" s="10">
        <f>'G) Solidarité'!I251</f>
        <v>1729164.8871324204</v>
      </c>
      <c r="H262" s="15">
        <f>F262+G262</f>
        <v>3738657.8448788989</v>
      </c>
      <c r="I262" s="67">
        <f>E262-H262</f>
        <v>-1008516.4726010906</v>
      </c>
    </row>
    <row r="263" spans="1:9" x14ac:dyDescent="0.25">
      <c r="A263" s="53">
        <f>'A) Base RI'!A254</f>
        <v>5812</v>
      </c>
      <c r="B263" s="35" t="str">
        <f>'A) Base RI'!B254</f>
        <v>Champtauroz</v>
      </c>
      <c r="C263" s="15">
        <f>'D) Ecrêtage'!M252</f>
        <v>2326.5760389610391</v>
      </c>
      <c r="D263" s="10">
        <f>'A) Base RI'!AN254</f>
        <v>130</v>
      </c>
      <c r="E263" s="15">
        <f t="shared" si="11"/>
        <v>43179.452378546397</v>
      </c>
      <c r="F263" s="44">
        <f>'F) Population'!K255</f>
        <v>12816.901408450703</v>
      </c>
      <c r="G263" s="10">
        <f>'G) Solidarité'!I252</f>
        <v>80701.863848450768</v>
      </c>
      <c r="H263" s="15">
        <f>F263+G263</f>
        <v>93518.765256901475</v>
      </c>
      <c r="I263" s="67">
        <f>E263-H263</f>
        <v>-50339.312878355078</v>
      </c>
    </row>
    <row r="264" spans="1:9" x14ac:dyDescent="0.25">
      <c r="A264" s="53">
        <f>'A) Base RI'!A255</f>
        <v>5813</v>
      </c>
      <c r="B264" s="35" t="str">
        <f>'A) Base RI'!B255</f>
        <v>Chevroux</v>
      </c>
      <c r="C264" s="15">
        <f>'D) Ecrêtage'!M253</f>
        <v>11503.329976190478</v>
      </c>
      <c r="D264" s="10">
        <f>'A) Base RI'!AN255</f>
        <v>446</v>
      </c>
      <c r="E264" s="15">
        <f t="shared" si="11"/>
        <v>213492.91000324785</v>
      </c>
      <c r="F264" s="44">
        <f>'F) Population'!K256</f>
        <v>43971.830985915491</v>
      </c>
      <c r="G264" s="10">
        <f>'G) Solidarité'!I253</f>
        <v>159858.13440165189</v>
      </c>
      <c r="H264" s="15">
        <f t="shared" si="12"/>
        <v>203829.96538756738</v>
      </c>
      <c r="I264" s="67">
        <f t="shared" si="13"/>
        <v>9662.9446156804624</v>
      </c>
    </row>
    <row r="265" spans="1:9" x14ac:dyDescent="0.25">
      <c r="A265" s="53">
        <f>'A) Base RI'!A256</f>
        <v>5816</v>
      </c>
      <c r="B265" s="35" t="str">
        <f>'A) Base RI'!B256</f>
        <v>Corcelles-près-Payerne</v>
      </c>
      <c r="C265" s="15">
        <f>'D) Ecrêtage'!M254</f>
        <v>56641.066845238092</v>
      </c>
      <c r="D265" s="10">
        <f>'A) Base RI'!AN256</f>
        <v>2393</v>
      </c>
      <c r="E265" s="15">
        <f t="shared" si="11"/>
        <v>1051214.4058726712</v>
      </c>
      <c r="F265" s="44">
        <f>'F) Population'!K257</f>
        <v>579274.64788732387</v>
      </c>
      <c r="G265" s="10">
        <f>'G) Solidarité'!I254</f>
        <v>1012668.6958816776</v>
      </c>
      <c r="H265" s="15">
        <f t="shared" si="12"/>
        <v>1591943.3437690013</v>
      </c>
      <c r="I265" s="67">
        <f t="shared" si="13"/>
        <v>-540728.93789633014</v>
      </c>
    </row>
    <row r="266" spans="1:9" x14ac:dyDescent="0.25">
      <c r="A266" s="53">
        <f>'A) Base RI'!A257</f>
        <v>5817</v>
      </c>
      <c r="B266" s="35" t="str">
        <f>'A) Base RI'!B257</f>
        <v>Grandcour</v>
      </c>
      <c r="C266" s="15">
        <f>'D) Ecrêtage'!M255</f>
        <v>20990.550314465407</v>
      </c>
      <c r="D266" s="10">
        <f>'A) Base RI'!AN257</f>
        <v>885</v>
      </c>
      <c r="E266" s="15">
        <f t="shared" si="11"/>
        <v>389568.38397926913</v>
      </c>
      <c r="F266" s="44">
        <f>'F) Population'!K258</f>
        <v>87253.521126760563</v>
      </c>
      <c r="G266" s="10">
        <f>'G) Solidarité'!I255</f>
        <v>455513.719217951</v>
      </c>
      <c r="H266" s="15">
        <f t="shared" si="12"/>
        <v>542767.24034471158</v>
      </c>
      <c r="I266" s="67">
        <f t="shared" si="13"/>
        <v>-153198.85636544245</v>
      </c>
    </row>
    <row r="267" spans="1:9" x14ac:dyDescent="0.25">
      <c r="A267" s="53">
        <f>'A) Base RI'!A258</f>
        <v>5819</v>
      </c>
      <c r="B267" s="35" t="str">
        <f>'A) Base RI'!B258</f>
        <v>Henniez</v>
      </c>
      <c r="C267" s="15">
        <f>'D) Ecrêtage'!M256</f>
        <v>14949.743880597016</v>
      </c>
      <c r="D267" s="10">
        <f>'A) Base RI'!AN258</f>
        <v>338</v>
      </c>
      <c r="E267" s="15">
        <f t="shared" si="11"/>
        <v>277455.6873077614</v>
      </c>
      <c r="F267" s="44">
        <f>'F) Population'!K259</f>
        <v>33323.943661971825</v>
      </c>
      <c r="G267" s="10">
        <f>'G) Solidarité'!I256</f>
        <v>0</v>
      </c>
      <c r="H267" s="15">
        <f t="shared" si="12"/>
        <v>33323.943661971825</v>
      </c>
      <c r="I267" s="67">
        <f t="shared" si="13"/>
        <v>244131.74364578957</v>
      </c>
    </row>
    <row r="268" spans="1:9" x14ac:dyDescent="0.25">
      <c r="A268" s="53">
        <f>'A) Base RI'!A259</f>
        <v>5821</v>
      </c>
      <c r="B268" s="35" t="str">
        <f>'A) Base RI'!B259</f>
        <v>Missy</v>
      </c>
      <c r="C268" s="15">
        <f>'D) Ecrêtage'!M257</f>
        <v>7776.2584722222218</v>
      </c>
      <c r="D268" s="10">
        <f>'A) Base RI'!AN259</f>
        <v>361</v>
      </c>
      <c r="E268" s="15">
        <f t="shared" si="11"/>
        <v>144321.34465483949</v>
      </c>
      <c r="F268" s="44">
        <f>'F) Population'!K260</f>
        <v>35591.549295774646</v>
      </c>
      <c r="G268" s="10">
        <f>'G) Solidarité'!I257</f>
        <v>168688.12004583093</v>
      </c>
      <c r="H268" s="15">
        <f t="shared" si="12"/>
        <v>204279.66934160556</v>
      </c>
      <c r="I268" s="67">
        <f t="shared" si="13"/>
        <v>-59958.324686766078</v>
      </c>
    </row>
    <row r="269" spans="1:9" x14ac:dyDescent="0.25">
      <c r="A269" s="53">
        <f>'A) Base RI'!A260</f>
        <v>5822</v>
      </c>
      <c r="B269" s="35" t="str">
        <f>'A) Base RI'!B260</f>
        <v>Payerne</v>
      </c>
      <c r="C269" s="15">
        <f>'D) Ecrêtage'!M258</f>
        <v>231493.6713333333</v>
      </c>
      <c r="D269" s="10">
        <f>'A) Base RI'!AN260</f>
        <v>9301</v>
      </c>
      <c r="E269" s="15">
        <f t="shared" si="11"/>
        <v>4296343.5494402619</v>
      </c>
      <c r="F269" s="44">
        <f>'F) Population'!K261</f>
        <v>4393091.5492957747</v>
      </c>
      <c r="G269" s="10">
        <f>'G) Solidarité'!I258</f>
        <v>4015809.7518175868</v>
      </c>
      <c r="H269" s="15">
        <f t="shared" si="12"/>
        <v>8408901.3011133615</v>
      </c>
      <c r="I269" s="67">
        <f t="shared" si="13"/>
        <v>-4112557.7516730996</v>
      </c>
    </row>
    <row r="270" spans="1:9" x14ac:dyDescent="0.25">
      <c r="A270" s="53">
        <f>'A) Base RI'!A261</f>
        <v>5827</v>
      </c>
      <c r="B270" s="35" t="str">
        <f>'A) Base RI'!B261</f>
        <v>Trey</v>
      </c>
      <c r="C270" s="15">
        <f>'D) Ecrêtage'!M259</f>
        <v>6204.9173749999991</v>
      </c>
      <c r="D270" s="10">
        <f>'A) Base RI'!AN261</f>
        <v>260</v>
      </c>
      <c r="E270" s="15">
        <f t="shared" si="11"/>
        <v>115158.46884861442</v>
      </c>
      <c r="F270" s="44">
        <f>'F) Population'!K262</f>
        <v>25633.802816901407</v>
      </c>
      <c r="G270" s="10">
        <f>'G) Solidarité'!I259</f>
        <v>134534.71568895457</v>
      </c>
      <c r="H270" s="15">
        <f t="shared" si="12"/>
        <v>160168.51850585599</v>
      </c>
      <c r="I270" s="67">
        <f t="shared" si="13"/>
        <v>-45010.049657241572</v>
      </c>
    </row>
    <row r="271" spans="1:9" x14ac:dyDescent="0.25">
      <c r="A271" s="53">
        <f>'A) Base RI'!A262</f>
        <v>5828</v>
      </c>
      <c r="B271" s="35" t="str">
        <f>'A) Base RI'!B262</f>
        <v>Treytorrens (Payerne)</v>
      </c>
      <c r="C271" s="15">
        <f>'D) Ecrêtage'!M260</f>
        <v>2352.5354761904764</v>
      </c>
      <c r="D271" s="10">
        <f>'A) Base RI'!AN262</f>
        <v>131</v>
      </c>
      <c r="E271" s="15">
        <f t="shared" si="11"/>
        <v>43661.239461732766</v>
      </c>
      <c r="F271" s="44">
        <f>'F) Population'!K263</f>
        <v>12915.492957746477</v>
      </c>
      <c r="G271" s="10">
        <f>'G) Solidarité'!I260</f>
        <v>96553.305964221829</v>
      </c>
      <c r="H271" s="15">
        <f t="shared" si="12"/>
        <v>109468.79892196831</v>
      </c>
      <c r="I271" s="67">
        <f t="shared" si="13"/>
        <v>-65807.559460235541</v>
      </c>
    </row>
    <row r="272" spans="1:9" x14ac:dyDescent="0.25">
      <c r="A272" s="53">
        <f>'A) Base RI'!A263</f>
        <v>5830</v>
      </c>
      <c r="B272" s="35" t="str">
        <f>'A) Base RI'!B263</f>
        <v>Villarzel</v>
      </c>
      <c r="C272" s="15">
        <f>'D) Ecrêtage'!M261</f>
        <v>9737.3892405063307</v>
      </c>
      <c r="D272" s="10">
        <f>'A) Base RI'!AN263</f>
        <v>424</v>
      </c>
      <c r="E272" s="15">
        <f t="shared" si="11"/>
        <v>180718.41537127344</v>
      </c>
      <c r="F272" s="44">
        <f>'F) Population'!K264</f>
        <v>41802.816901408449</v>
      </c>
      <c r="G272" s="10">
        <f>'G) Solidarité'!I261</f>
        <v>223457.51382516493</v>
      </c>
      <c r="H272" s="15">
        <f t="shared" si="12"/>
        <v>265260.33072657336</v>
      </c>
      <c r="I272" s="67">
        <f t="shared" si="13"/>
        <v>-84541.91535529992</v>
      </c>
    </row>
    <row r="273" spans="1:9" x14ac:dyDescent="0.25">
      <c r="A273" s="53">
        <f>'A) Base RI'!A264</f>
        <v>5831</v>
      </c>
      <c r="B273" s="35" t="str">
        <f>'A) Base RI'!B264</f>
        <v>Valbroye</v>
      </c>
      <c r="C273" s="15">
        <f>'D) Ecrêtage'!M262</f>
        <v>75142.69210045661</v>
      </c>
      <c r="D273" s="10">
        <f>'A) Base RI'!AN264</f>
        <v>2974</v>
      </c>
      <c r="E273" s="15">
        <f t="shared" ref="E273:E333" si="14">C273*E$15</f>
        <v>1394590.2651848702</v>
      </c>
      <c r="F273" s="44">
        <f>'F) Population'!K265</f>
        <v>779760.56338028167</v>
      </c>
      <c r="G273" s="10">
        <f>'G) Solidarité'!I262</f>
        <v>1192581.7565915931</v>
      </c>
      <c r="H273" s="15">
        <f>F273+G273</f>
        <v>1972342.3199718748</v>
      </c>
      <c r="I273" s="67">
        <f>E273-H273</f>
        <v>-577752.0547870046</v>
      </c>
    </row>
    <row r="274" spans="1:9" x14ac:dyDescent="0.25">
      <c r="A274" s="53">
        <f>'A) Base RI'!A265</f>
        <v>5841</v>
      </c>
      <c r="B274" s="35" t="str">
        <f>'A) Base RI'!B265</f>
        <v>Château-d'Oex</v>
      </c>
      <c r="C274" s="15">
        <f>'D) Ecrêtage'!M263</f>
        <v>106457.35927710844</v>
      </c>
      <c r="D274" s="10">
        <f>'A) Base RI'!AN265</f>
        <v>3477</v>
      </c>
      <c r="E274" s="15">
        <f t="shared" si="14"/>
        <v>1975766.2755370126</v>
      </c>
      <c r="F274" s="44">
        <f>'F) Population'!K266</f>
        <v>1023873.2394366197</v>
      </c>
      <c r="G274" s="10">
        <f>'G) Solidarité'!I263</f>
        <v>1290192.7112691372</v>
      </c>
      <c r="H274" s="15">
        <f>F274+G274</f>
        <v>2314065.9507057569</v>
      </c>
      <c r="I274" s="67">
        <f>E274-H274</f>
        <v>-338299.67516874429</v>
      </c>
    </row>
    <row r="275" spans="1:9" x14ac:dyDescent="0.25">
      <c r="A275" s="53">
        <f>'A) Base RI'!A266</f>
        <v>5842</v>
      </c>
      <c r="B275" s="35" t="str">
        <f>'A) Base RI'!B266</f>
        <v>Rossinière</v>
      </c>
      <c r="C275" s="15">
        <f>'D) Ecrêtage'!M264</f>
        <v>13519.399629629628</v>
      </c>
      <c r="D275" s="10">
        <f>'A) Base RI'!AN266</f>
        <v>546</v>
      </c>
      <c r="E275" s="15">
        <f t="shared" si="14"/>
        <v>250909.60394950837</v>
      </c>
      <c r="F275" s="44">
        <f>'F) Population'!K267</f>
        <v>53830.985915492951</v>
      </c>
      <c r="G275" s="10">
        <f>'G) Solidarité'!I264</f>
        <v>276805.9539128241</v>
      </c>
      <c r="H275" s="15">
        <f t="shared" si="12"/>
        <v>330636.93982831703</v>
      </c>
      <c r="I275" s="67">
        <f t="shared" si="13"/>
        <v>-79727.335878808663</v>
      </c>
    </row>
    <row r="276" spans="1:9" x14ac:dyDescent="0.25">
      <c r="A276" s="53">
        <f>'A) Base RI'!A267</f>
        <v>5843</v>
      </c>
      <c r="B276" s="35" t="str">
        <f>'A) Base RI'!B267</f>
        <v>Rougemont</v>
      </c>
      <c r="C276" s="15">
        <f>'D) Ecrêtage'!M265</f>
        <v>71417.395342027579</v>
      </c>
      <c r="D276" s="10">
        <f>'A) Base RI'!AN267</f>
        <v>892</v>
      </c>
      <c r="E276" s="15">
        <f t="shared" si="14"/>
        <v>1325451.6377414397</v>
      </c>
      <c r="F276" s="44">
        <f>'F) Population'!K268</f>
        <v>87943.661971830981</v>
      </c>
      <c r="G276" s="10">
        <f>'G) Solidarité'!I265</f>
        <v>0</v>
      </c>
      <c r="H276" s="15">
        <f t="shared" si="12"/>
        <v>87943.661971830981</v>
      </c>
      <c r="I276" s="67">
        <f t="shared" si="13"/>
        <v>1237507.9757696087</v>
      </c>
    </row>
    <row r="277" spans="1:9" x14ac:dyDescent="0.25">
      <c r="A277" s="53">
        <f>'A) Base RI'!A268</f>
        <v>5851</v>
      </c>
      <c r="B277" s="35" t="str">
        <f>'A) Base RI'!B268</f>
        <v>Allaman</v>
      </c>
      <c r="C277" s="15">
        <f>'D) Ecrêtage'!M266</f>
        <v>25939.28319870276</v>
      </c>
      <c r="D277" s="10">
        <f>'A) Base RI'!AN268</f>
        <v>432</v>
      </c>
      <c r="E277" s="15">
        <f t="shared" si="14"/>
        <v>481413.03995900502</v>
      </c>
      <c r="F277" s="44">
        <f>'F) Population'!K269</f>
        <v>42591.549295774646</v>
      </c>
      <c r="G277" s="10">
        <f>'G) Solidarité'!I266</f>
        <v>0</v>
      </c>
      <c r="H277" s="15">
        <f t="shared" si="12"/>
        <v>42591.549295774646</v>
      </c>
      <c r="I277" s="67">
        <f t="shared" si="13"/>
        <v>438821.49066323036</v>
      </c>
    </row>
    <row r="278" spans="1:9" x14ac:dyDescent="0.25">
      <c r="A278" s="53">
        <f>'A) Base RI'!A269</f>
        <v>5852</v>
      </c>
      <c r="B278" s="35" t="str">
        <f>'A) Base RI'!B269</f>
        <v>Bursinel</v>
      </c>
      <c r="C278" s="15">
        <f>'D) Ecrêtage'!M267</f>
        <v>28943.315125070134</v>
      </c>
      <c r="D278" s="10">
        <f>'A) Base RI'!AN269</f>
        <v>485</v>
      </c>
      <c r="E278" s="15">
        <f t="shared" si="14"/>
        <v>537165.54980009224</v>
      </c>
      <c r="F278" s="44">
        <f>'F) Population'!K270</f>
        <v>47816.9014084507</v>
      </c>
      <c r="G278" s="10">
        <f>'G) Solidarité'!I267</f>
        <v>0</v>
      </c>
      <c r="H278" s="15">
        <f t="shared" si="12"/>
        <v>47816.9014084507</v>
      </c>
      <c r="I278" s="67">
        <f t="shared" si="13"/>
        <v>489348.64839164156</v>
      </c>
    </row>
    <row r="279" spans="1:9" x14ac:dyDescent="0.25">
      <c r="A279" s="53">
        <f>'A) Base RI'!A270</f>
        <v>5853</v>
      </c>
      <c r="B279" s="35" t="str">
        <f>'A) Base RI'!B270</f>
        <v>Bursins</v>
      </c>
      <c r="C279" s="15">
        <f>'D) Ecrêtage'!M268</f>
        <v>40543.223380281692</v>
      </c>
      <c r="D279" s="10">
        <f>'A) Base RI'!AN270</f>
        <v>766</v>
      </c>
      <c r="E279" s="15">
        <f t="shared" si="14"/>
        <v>752450.87798781297</v>
      </c>
      <c r="F279" s="44">
        <f>'F) Population'!K271</f>
        <v>75521.126760563377</v>
      </c>
      <c r="G279" s="10">
        <f>'G) Solidarité'!I268</f>
        <v>0</v>
      </c>
      <c r="H279" s="15">
        <f t="shared" si="12"/>
        <v>75521.126760563377</v>
      </c>
      <c r="I279" s="67">
        <f t="shared" si="13"/>
        <v>676929.75122724962</v>
      </c>
    </row>
    <row r="280" spans="1:9" x14ac:dyDescent="0.25">
      <c r="A280" s="53">
        <f>'A) Base RI'!A271</f>
        <v>5854</v>
      </c>
      <c r="B280" s="35" t="str">
        <f>'A) Base RI'!B271</f>
        <v>Burtigny</v>
      </c>
      <c r="C280" s="15">
        <f>'D) Ecrêtage'!M269</f>
        <v>10577.787833333332</v>
      </c>
      <c r="D280" s="10">
        <f>'A) Base RI'!AN271</f>
        <v>359</v>
      </c>
      <c r="E280" s="15">
        <f t="shared" si="14"/>
        <v>196315.56345940373</v>
      </c>
      <c r="F280" s="44">
        <f>'F) Population'!K272</f>
        <v>35394.366197183095</v>
      </c>
      <c r="G280" s="10">
        <f>'G) Solidarité'!I269</f>
        <v>134343.9207336767</v>
      </c>
      <c r="H280" s="15">
        <f t="shared" si="12"/>
        <v>169738.28693085979</v>
      </c>
      <c r="I280" s="67">
        <f t="shared" si="13"/>
        <v>26577.276528543938</v>
      </c>
    </row>
    <row r="281" spans="1:9" x14ac:dyDescent="0.25">
      <c r="A281" s="53">
        <f>'A) Base RI'!A272</f>
        <v>5855</v>
      </c>
      <c r="B281" s="35" t="str">
        <f>'A) Base RI'!B272</f>
        <v>Dully</v>
      </c>
      <c r="C281" s="15">
        <f>'D) Ecrêtage'!M270</f>
        <v>58067.398614193939</v>
      </c>
      <c r="D281" s="10">
        <f>'A) Base RI'!AN272</f>
        <v>633</v>
      </c>
      <c r="E281" s="15">
        <f t="shared" si="14"/>
        <v>1077686.0206672342</v>
      </c>
      <c r="F281" s="44">
        <f>'F) Population'!K273</f>
        <v>62408.450704225346</v>
      </c>
      <c r="G281" s="10">
        <f>'G) Solidarité'!I270</f>
        <v>0</v>
      </c>
      <c r="H281" s="15">
        <f t="shared" si="12"/>
        <v>62408.450704225346</v>
      </c>
      <c r="I281" s="67">
        <f t="shared" si="13"/>
        <v>1015277.5699630089</v>
      </c>
    </row>
    <row r="282" spans="1:9" x14ac:dyDescent="0.25">
      <c r="A282" s="53">
        <f>'A) Base RI'!A273</f>
        <v>5856</v>
      </c>
      <c r="B282" s="35" t="str">
        <f>'A) Base RI'!B273</f>
        <v>Essertines-sur-Rolle</v>
      </c>
      <c r="C282" s="15">
        <f>'D) Ecrêtage'!M271</f>
        <v>31862.802285067875</v>
      </c>
      <c r="D282" s="10">
        <f>'A) Base RI'!AN273</f>
        <v>695</v>
      </c>
      <c r="E282" s="15">
        <f t="shared" si="14"/>
        <v>591348.9741472262</v>
      </c>
      <c r="F282" s="44">
        <f>'F) Population'!K274</f>
        <v>68521.126760563377</v>
      </c>
      <c r="G282" s="10">
        <f>'G) Solidarité'!I271</f>
        <v>0</v>
      </c>
      <c r="H282" s="15">
        <f t="shared" si="12"/>
        <v>68521.126760563377</v>
      </c>
      <c r="I282" s="67">
        <f t="shared" si="13"/>
        <v>522827.84738666285</v>
      </c>
    </row>
    <row r="283" spans="1:9" x14ac:dyDescent="0.25">
      <c r="A283" s="53">
        <f>'A) Base RI'!A274</f>
        <v>5857</v>
      </c>
      <c r="B283" s="35" t="str">
        <f>'A) Base RI'!B274</f>
        <v>Gilly</v>
      </c>
      <c r="C283" s="15">
        <f>'D) Ecrêtage'!M272</f>
        <v>62540.44560606061</v>
      </c>
      <c r="D283" s="10">
        <f>'A) Base RI'!AN274</f>
        <v>1230</v>
      </c>
      <c r="E283" s="15">
        <f t="shared" si="14"/>
        <v>1160702.3142840797</v>
      </c>
      <c r="F283" s="44">
        <f>'F) Population'!K275</f>
        <v>177957.74647887325</v>
      </c>
      <c r="G283" s="10">
        <f>'G) Solidarité'!I272</f>
        <v>0</v>
      </c>
      <c r="H283" s="15">
        <f t="shared" si="12"/>
        <v>177957.74647887325</v>
      </c>
      <c r="I283" s="67">
        <f t="shared" si="13"/>
        <v>982744.5678052064</v>
      </c>
    </row>
    <row r="284" spans="1:9" x14ac:dyDescent="0.25">
      <c r="A284" s="53">
        <f>'A) Base RI'!A275</f>
        <v>5858</v>
      </c>
      <c r="B284" s="35" t="str">
        <f>'A) Base RI'!B275</f>
        <v>Luins</v>
      </c>
      <c r="C284" s="15">
        <f>'D) Ecrêtage'!M273</f>
        <v>35045.301944444444</v>
      </c>
      <c r="D284" s="10">
        <f>'A) Base RI'!AN275</f>
        <v>625</v>
      </c>
      <c r="E284" s="15">
        <f t="shared" si="14"/>
        <v>650413.70712202147</v>
      </c>
      <c r="F284" s="44">
        <f>'F) Population'!K276</f>
        <v>61619.718309859149</v>
      </c>
      <c r="G284" s="10">
        <f>'G) Solidarité'!I273</f>
        <v>0</v>
      </c>
      <c r="H284" s="15">
        <f t="shared" ref="H284:H333" si="15">F284+G284</f>
        <v>61619.718309859149</v>
      </c>
      <c r="I284" s="67">
        <f t="shared" ref="I284:I333" si="16">E284-H284</f>
        <v>588793.98881216231</v>
      </c>
    </row>
    <row r="285" spans="1:9" x14ac:dyDescent="0.25">
      <c r="A285" s="53">
        <f>'A) Base RI'!A276</f>
        <v>5859</v>
      </c>
      <c r="B285" s="35" t="str">
        <f>'A) Base RI'!B276</f>
        <v>Mont-sur-Rolle</v>
      </c>
      <c r="C285" s="15">
        <f>'D) Ecrêtage'!M274</f>
        <v>130430.38093750003</v>
      </c>
      <c r="D285" s="10">
        <f>'A) Base RI'!AN276</f>
        <v>2660</v>
      </c>
      <c r="E285" s="15">
        <f t="shared" si="14"/>
        <v>2420687.021654984</v>
      </c>
      <c r="F285" s="44">
        <f>'F) Population'!K277</f>
        <v>671408.45070422534</v>
      </c>
      <c r="G285" s="10">
        <f>'G) Solidarité'!I274</f>
        <v>0</v>
      </c>
      <c r="H285" s="15">
        <f t="shared" si="15"/>
        <v>671408.45070422534</v>
      </c>
      <c r="I285" s="67">
        <f t="shared" si="16"/>
        <v>1749278.5709507586</v>
      </c>
    </row>
    <row r="286" spans="1:9" x14ac:dyDescent="0.25">
      <c r="A286" s="53">
        <f>'A) Base RI'!A277</f>
        <v>5860</v>
      </c>
      <c r="B286" s="35" t="str">
        <f>'A) Base RI'!B277</f>
        <v>Perroy</v>
      </c>
      <c r="C286" s="15">
        <f>'D) Ecrêtage'!M275</f>
        <v>88698.620322265895</v>
      </c>
      <c r="D286" s="10">
        <f>'A) Base RI'!AN277</f>
        <v>1453</v>
      </c>
      <c r="E286" s="15">
        <f t="shared" si="14"/>
        <v>1646177.8115613887</v>
      </c>
      <c r="F286" s="44">
        <f>'F) Population'!K278</f>
        <v>254908.45070422534</v>
      </c>
      <c r="G286" s="10">
        <f>'G) Solidarité'!I275</f>
        <v>0</v>
      </c>
      <c r="H286" s="15">
        <f t="shared" si="15"/>
        <v>254908.45070422534</v>
      </c>
      <c r="I286" s="67">
        <f t="shared" si="16"/>
        <v>1391269.3608571633</v>
      </c>
    </row>
    <row r="287" spans="1:9" x14ac:dyDescent="0.25">
      <c r="A287" s="53">
        <f>'A) Base RI'!A278</f>
        <v>5861</v>
      </c>
      <c r="B287" s="35" t="str">
        <f>'A) Base RI'!B278</f>
        <v>Rolle</v>
      </c>
      <c r="C287" s="15">
        <f>'D) Ecrêtage'!M276</f>
        <v>591803.10012437461</v>
      </c>
      <c r="D287" s="10">
        <f>'A) Base RI'!AN278</f>
        <v>6142</v>
      </c>
      <c r="E287" s="15">
        <f t="shared" si="14"/>
        <v>10983407.957174651</v>
      </c>
      <c r="F287" s="44">
        <f>'F) Population'!K279</f>
        <v>2450197.1830985914</v>
      </c>
      <c r="G287" s="10">
        <f>'G) Solidarité'!I276</f>
        <v>0</v>
      </c>
      <c r="H287" s="15">
        <f t="shared" si="15"/>
        <v>2450197.1830985914</v>
      </c>
      <c r="I287" s="67">
        <f t="shared" si="16"/>
        <v>8533210.7740760595</v>
      </c>
    </row>
    <row r="288" spans="1:9" x14ac:dyDescent="0.25">
      <c r="A288" s="53">
        <f>'A) Base RI'!A279</f>
        <v>5862</v>
      </c>
      <c r="B288" s="35" t="str">
        <f>'A) Base RI'!B279</f>
        <v>Tartegnin</v>
      </c>
      <c r="C288" s="15">
        <f>'D) Ecrêtage'!M277</f>
        <v>8301.4215873015874</v>
      </c>
      <c r="D288" s="10">
        <f>'A) Base RI'!AN279</f>
        <v>236</v>
      </c>
      <c r="E288" s="15">
        <f t="shared" si="14"/>
        <v>154067.96601549996</v>
      </c>
      <c r="F288" s="44">
        <f>'F) Population'!K280</f>
        <v>23267.605633802814</v>
      </c>
      <c r="G288" s="10">
        <f>'G) Solidarité'!I277</f>
        <v>59360.645723326357</v>
      </c>
      <c r="H288" s="15">
        <f t="shared" si="15"/>
        <v>82628.251357129164</v>
      </c>
      <c r="I288" s="67">
        <f t="shared" si="16"/>
        <v>71439.714658370794</v>
      </c>
    </row>
    <row r="289" spans="1:9" x14ac:dyDescent="0.25">
      <c r="A289" s="53">
        <f>'A) Base RI'!A280</f>
        <v>5863</v>
      </c>
      <c r="B289" s="35" t="str">
        <f>'A) Base RI'!B280</f>
        <v>Vinzel</v>
      </c>
      <c r="C289" s="15">
        <f>'D) Ecrêtage'!M278</f>
        <v>22805.689688405353</v>
      </c>
      <c r="D289" s="10">
        <f>'A) Base RI'!AN280</f>
        <v>352</v>
      </c>
      <c r="E289" s="15">
        <f t="shared" si="14"/>
        <v>423255.96729696909</v>
      </c>
      <c r="F289" s="44">
        <f>'F) Population'!K281</f>
        <v>34704.225352112677</v>
      </c>
      <c r="G289" s="10">
        <f>'G) Solidarité'!I278</f>
        <v>0</v>
      </c>
      <c r="H289" s="15">
        <f t="shared" si="15"/>
        <v>34704.225352112677</v>
      </c>
      <c r="I289" s="67">
        <f t="shared" si="16"/>
        <v>388551.74194485642</v>
      </c>
    </row>
    <row r="290" spans="1:9" x14ac:dyDescent="0.25">
      <c r="A290" s="53">
        <f>'A) Base RI'!A281</f>
        <v>5871</v>
      </c>
      <c r="B290" s="35" t="str">
        <f>'A) Base RI'!B281</f>
        <v>L'Abbaye</v>
      </c>
      <c r="C290" s="15">
        <f>'D) Ecrêtage'!M279</f>
        <v>41169.431926700228</v>
      </c>
      <c r="D290" s="10">
        <f>'A) Base RI'!AN281</f>
        <v>1439</v>
      </c>
      <c r="E290" s="15">
        <f t="shared" si="14"/>
        <v>764072.82442597568</v>
      </c>
      <c r="F290" s="44">
        <f>'F) Population'!K282</f>
        <v>250077.46478873241</v>
      </c>
      <c r="G290" s="10">
        <f>'G) Solidarité'!I279</f>
        <v>534758.01742392976</v>
      </c>
      <c r="H290" s="15">
        <f t="shared" si="15"/>
        <v>784835.48221266223</v>
      </c>
      <c r="I290" s="67">
        <f t="shared" si="16"/>
        <v>-20762.657786686555</v>
      </c>
    </row>
    <row r="291" spans="1:9" x14ac:dyDescent="0.25">
      <c r="A291" s="53">
        <f>'A) Base RI'!A282</f>
        <v>5872</v>
      </c>
      <c r="B291" s="35" t="str">
        <f>'A) Base RI'!B282</f>
        <v>Le Chenit</v>
      </c>
      <c r="C291" s="15">
        <f>'D) Ecrêtage'!M280</f>
        <v>294979.41250367323</v>
      </c>
      <c r="D291" s="10">
        <f>'A) Base RI'!AN282</f>
        <v>4608</v>
      </c>
      <c r="E291" s="15">
        <f t="shared" si="14"/>
        <v>5474589.8184964694</v>
      </c>
      <c r="F291" s="44">
        <f>'F) Population'!K283</f>
        <v>1581408.4507042253</v>
      </c>
      <c r="G291" s="10">
        <f>'G) Solidarité'!I280</f>
        <v>0</v>
      </c>
      <c r="H291" s="15">
        <f t="shared" si="15"/>
        <v>1581408.4507042253</v>
      </c>
      <c r="I291" s="67">
        <f t="shared" si="16"/>
        <v>3893181.3677922441</v>
      </c>
    </row>
    <row r="292" spans="1:9" x14ac:dyDescent="0.25">
      <c r="A292" s="53">
        <f>'A) Base RI'!A283</f>
        <v>5873</v>
      </c>
      <c r="B292" s="35" t="str">
        <f>'A) Base RI'!B283</f>
        <v>Le Lieu</v>
      </c>
      <c r="C292" s="15">
        <f>'D) Ecrêtage'!M281</f>
        <v>30587.067025641027</v>
      </c>
      <c r="D292" s="10">
        <f>'A) Base RI'!AN283</f>
        <v>873</v>
      </c>
      <c r="E292" s="15">
        <f t="shared" si="14"/>
        <v>567672.31412856071</v>
      </c>
      <c r="F292" s="44">
        <f>'F) Population'!K284</f>
        <v>86070.422535211255</v>
      </c>
      <c r="G292" s="10">
        <f>'G) Solidarité'!I281</f>
        <v>133528.61642363589</v>
      </c>
      <c r="H292" s="15">
        <f t="shared" si="15"/>
        <v>219599.03895884714</v>
      </c>
      <c r="I292" s="67">
        <f t="shared" si="16"/>
        <v>348073.27516971354</v>
      </c>
    </row>
    <row r="293" spans="1:9" x14ac:dyDescent="0.25">
      <c r="A293" s="53">
        <f>'A) Base RI'!A284</f>
        <v>5881</v>
      </c>
      <c r="B293" s="35" t="str">
        <f>'A) Base RI'!B284</f>
        <v>Blonay</v>
      </c>
      <c r="C293" s="15">
        <f>'D) Ecrêtage'!M282</f>
        <v>332407.86157142854</v>
      </c>
      <c r="D293" s="10">
        <f>'A) Base RI'!AN284</f>
        <v>6116</v>
      </c>
      <c r="E293" s="15">
        <f t="shared" si="14"/>
        <v>6169232.8935819063</v>
      </c>
      <c r="F293" s="44">
        <f>'F) Population'!K285</f>
        <v>2434816.9014084507</v>
      </c>
      <c r="G293" s="10">
        <f>'G) Solidarité'!I282</f>
        <v>0</v>
      </c>
      <c r="H293" s="15">
        <f t="shared" si="15"/>
        <v>2434816.9014084507</v>
      </c>
      <c r="I293" s="67">
        <f t="shared" si="16"/>
        <v>3734415.9921734557</v>
      </c>
    </row>
    <row r="294" spans="1:9" x14ac:dyDescent="0.25">
      <c r="A294" s="53">
        <f>'A) Base RI'!A285</f>
        <v>5882</v>
      </c>
      <c r="B294" s="35" t="str">
        <f>'A) Base RI'!B285</f>
        <v>Chardonne</v>
      </c>
      <c r="C294" s="15">
        <f>'D) Ecrêtage'!M283</f>
        <v>151089.46617647054</v>
      </c>
      <c r="D294" s="10">
        <f>'A) Base RI'!AN285</f>
        <v>2916</v>
      </c>
      <c r="E294" s="15">
        <f t="shared" si="14"/>
        <v>2804103.6701212912</v>
      </c>
      <c r="F294" s="44">
        <f>'F) Population'!K286</f>
        <v>759746.47887323948</v>
      </c>
      <c r="G294" s="10">
        <f>'G) Solidarité'!I283</f>
        <v>0</v>
      </c>
      <c r="H294" s="15">
        <f t="shared" si="15"/>
        <v>759746.47887323948</v>
      </c>
      <c r="I294" s="67">
        <f t="shared" si="16"/>
        <v>2044357.1912480518</v>
      </c>
    </row>
    <row r="295" spans="1:9" x14ac:dyDescent="0.25">
      <c r="A295" s="53">
        <f>'A) Base RI'!A286</f>
        <v>5883</v>
      </c>
      <c r="B295" s="35" t="str">
        <f>'A) Base RI'!B286</f>
        <v>Corseaux</v>
      </c>
      <c r="C295" s="15">
        <f>'D) Ecrêtage'!M284</f>
        <v>141379.66208827455</v>
      </c>
      <c r="D295" s="10">
        <f>'A) Base RI'!AN286</f>
        <v>2212</v>
      </c>
      <c r="E295" s="15">
        <f t="shared" si="14"/>
        <v>2623897.2138481056</v>
      </c>
      <c r="F295" s="44">
        <f>'F) Population'!K287</f>
        <v>516816.90140845074</v>
      </c>
      <c r="G295" s="10">
        <f>'G) Solidarité'!I284</f>
        <v>0</v>
      </c>
      <c r="H295" s="15">
        <f t="shared" si="15"/>
        <v>516816.90140845074</v>
      </c>
      <c r="I295" s="67">
        <f t="shared" si="16"/>
        <v>2107080.312439655</v>
      </c>
    </row>
    <row r="296" spans="1:9" x14ac:dyDescent="0.25">
      <c r="A296" s="53">
        <f>'A) Base RI'!A287</f>
        <v>5884</v>
      </c>
      <c r="B296" s="35" t="str">
        <f>'A) Base RI'!B287</f>
        <v>Corsier-sur-Vevey</v>
      </c>
      <c r="C296" s="15">
        <f>'D) Ecrêtage'!M285</f>
        <v>116440.6211111111</v>
      </c>
      <c r="D296" s="10">
        <f>'A) Base RI'!AN287</f>
        <v>3403</v>
      </c>
      <c r="E296" s="15">
        <f t="shared" si="14"/>
        <v>2161047.8961353139</v>
      </c>
      <c r="F296" s="44">
        <f>'F) Population'!K288</f>
        <v>987394.36619718303</v>
      </c>
      <c r="G296" s="10">
        <f>'G) Solidarité'!I285</f>
        <v>585200.41437907203</v>
      </c>
      <c r="H296" s="15">
        <f t="shared" si="15"/>
        <v>1572594.7805762552</v>
      </c>
      <c r="I296" s="67">
        <f t="shared" si="16"/>
        <v>588453.11555905873</v>
      </c>
    </row>
    <row r="297" spans="1:9" x14ac:dyDescent="0.25">
      <c r="A297" s="53">
        <f>'A) Base RI'!A288</f>
        <v>5885</v>
      </c>
      <c r="B297" s="35" t="str">
        <f>'A) Base RI'!B288</f>
        <v>Jongny</v>
      </c>
      <c r="C297" s="15">
        <f>'D) Ecrêtage'!M286</f>
        <v>81843.123028169022</v>
      </c>
      <c r="D297" s="10">
        <f>'A) Base RI'!AN288</f>
        <v>1488</v>
      </c>
      <c r="E297" s="15">
        <f t="shared" si="14"/>
        <v>1518945.0824416049</v>
      </c>
      <c r="F297" s="44">
        <f>'F) Population'!K289</f>
        <v>266985.91549295775</v>
      </c>
      <c r="G297" s="10">
        <f>'G) Solidarité'!I286</f>
        <v>0</v>
      </c>
      <c r="H297" s="15">
        <f t="shared" si="15"/>
        <v>266985.91549295775</v>
      </c>
      <c r="I297" s="67">
        <f t="shared" si="16"/>
        <v>1251959.1669486472</v>
      </c>
    </row>
    <row r="298" spans="1:9" x14ac:dyDescent="0.25">
      <c r="A298" s="53">
        <f>'A) Base RI'!A289</f>
        <v>5886</v>
      </c>
      <c r="B298" s="35" t="str">
        <f>'A) Base RI'!B289</f>
        <v>Montreux</v>
      </c>
      <c r="C298" s="15">
        <f>'D) Ecrêtage'!M287</f>
        <v>1175239.0178974359</v>
      </c>
      <c r="D298" s="10">
        <f>'A) Base RI'!AN289</f>
        <v>26402</v>
      </c>
      <c r="E298" s="15">
        <f t="shared" si="14"/>
        <v>21811527.479399852</v>
      </c>
      <c r="F298" s="44">
        <f>'F) Population'!K290</f>
        <v>21416154.929577462</v>
      </c>
      <c r="G298" s="10">
        <f>'G) Solidarité'!I287</f>
        <v>0</v>
      </c>
      <c r="H298" s="15">
        <f t="shared" si="15"/>
        <v>21416154.929577462</v>
      </c>
      <c r="I298" s="67">
        <f t="shared" si="16"/>
        <v>395372.54982239008</v>
      </c>
    </row>
    <row r="299" spans="1:9" x14ac:dyDescent="0.25">
      <c r="A299" s="53">
        <f>'A) Base RI'!A290</f>
        <v>5888</v>
      </c>
      <c r="B299" s="35" t="str">
        <f>'A) Base RI'!B290</f>
        <v>Saint-Légier-La Chiésaz</v>
      </c>
      <c r="C299" s="15">
        <f>'D) Ecrêtage'!M288</f>
        <v>300151.00262707792</v>
      </c>
      <c r="D299" s="10">
        <f>'A) Base RI'!AN290</f>
        <v>5130</v>
      </c>
      <c r="E299" s="15">
        <f t="shared" si="14"/>
        <v>5570570.5325223198</v>
      </c>
      <c r="F299" s="44">
        <f>'F) Population'!K291</f>
        <v>1851549.295774648</v>
      </c>
      <c r="G299" s="10">
        <f>'G) Solidarité'!I288</f>
        <v>0</v>
      </c>
      <c r="H299" s="15">
        <f t="shared" si="15"/>
        <v>1851549.295774648</v>
      </c>
      <c r="I299" s="67">
        <f t="shared" si="16"/>
        <v>3719021.2367476719</v>
      </c>
    </row>
    <row r="300" spans="1:9" x14ac:dyDescent="0.25">
      <c r="A300" s="53">
        <f>'A) Base RI'!A291</f>
        <v>5889</v>
      </c>
      <c r="B300" s="35" t="str">
        <f>'A) Base RI'!B291</f>
        <v>La Tour-de-Peilz</v>
      </c>
      <c r="C300" s="15">
        <f>'D) Ecrêtage'!M289</f>
        <v>618611.02559895837</v>
      </c>
      <c r="D300" s="10">
        <f>'A) Base RI'!AN291</f>
        <v>11637</v>
      </c>
      <c r="E300" s="15">
        <f t="shared" si="14"/>
        <v>11480942.326141302</v>
      </c>
      <c r="F300" s="44">
        <f>'F) Population'!K292</f>
        <v>6350725.3521126751</v>
      </c>
      <c r="G300" s="10">
        <f>'G) Solidarité'!I289</f>
        <v>0</v>
      </c>
      <c r="H300" s="15">
        <f t="shared" si="15"/>
        <v>6350725.3521126751</v>
      </c>
      <c r="I300" s="67">
        <f t="shared" si="16"/>
        <v>5130216.9740286265</v>
      </c>
    </row>
    <row r="301" spans="1:9" x14ac:dyDescent="0.25">
      <c r="A301" s="53">
        <f>'A) Base RI'!A292</f>
        <v>5890</v>
      </c>
      <c r="B301" s="35" t="str">
        <f>'A) Base RI'!B292</f>
        <v>Vevey</v>
      </c>
      <c r="C301" s="15">
        <f>'D) Ecrêtage'!M290</f>
        <v>909212.90865296812</v>
      </c>
      <c r="D301" s="10">
        <f>'A) Base RI'!AN292</f>
        <v>19605</v>
      </c>
      <c r="E301" s="15">
        <f t="shared" si="14"/>
        <v>16874288.58275022</v>
      </c>
      <c r="F301" s="44">
        <f>'F) Population'!K293</f>
        <v>14379823.943661971</v>
      </c>
      <c r="G301" s="10">
        <f>'G) Solidarité'!I290</f>
        <v>0</v>
      </c>
      <c r="H301" s="15">
        <f t="shared" si="15"/>
        <v>14379823.943661971</v>
      </c>
      <c r="I301" s="67">
        <f t="shared" si="16"/>
        <v>2494464.6390882488</v>
      </c>
    </row>
    <row r="302" spans="1:9" x14ac:dyDescent="0.25">
      <c r="A302" s="53">
        <f>'A) Base RI'!A293</f>
        <v>5891</v>
      </c>
      <c r="B302" s="35" t="str">
        <f>'A) Base RI'!B293</f>
        <v>Veytaux</v>
      </c>
      <c r="C302" s="15">
        <f>'D) Ecrêtage'!M291</f>
        <v>39510.481835748789</v>
      </c>
      <c r="D302" s="10">
        <f>'A) Base RI'!AN293</f>
        <v>850</v>
      </c>
      <c r="E302" s="15">
        <f t="shared" si="14"/>
        <v>733283.99343525886</v>
      </c>
      <c r="F302" s="44">
        <f>'F) Population'!K294</f>
        <v>83802.816901408441</v>
      </c>
      <c r="G302" s="10">
        <f>'G) Solidarité'!I291</f>
        <v>0</v>
      </c>
      <c r="H302" s="15">
        <f t="shared" si="15"/>
        <v>83802.816901408441</v>
      </c>
      <c r="I302" s="67">
        <f t="shared" si="16"/>
        <v>649481.17653385038</v>
      </c>
    </row>
    <row r="303" spans="1:9" x14ac:dyDescent="0.25">
      <c r="A303" s="53">
        <f>'A) Base RI'!A294</f>
        <v>5902</v>
      </c>
      <c r="B303" s="35" t="str">
        <f>'A) Base RI'!B294</f>
        <v>Belmont-sur-Yverdon</v>
      </c>
      <c r="C303" s="15">
        <f>'D) Ecrêtage'!M292</f>
        <v>9227.1448684210518</v>
      </c>
      <c r="D303" s="10">
        <f>'A) Base RI'!AN294</f>
        <v>368</v>
      </c>
      <c r="E303" s="15">
        <f t="shared" si="14"/>
        <v>171248.67434543691</v>
      </c>
      <c r="F303" s="44">
        <f>'F) Population'!K295</f>
        <v>36281.690140845065</v>
      </c>
      <c r="G303" s="10">
        <f>'G) Solidarité'!I292</f>
        <v>161584.77357264425</v>
      </c>
      <c r="H303" s="15">
        <f t="shared" si="15"/>
        <v>197866.4637134893</v>
      </c>
      <c r="I303" s="67">
        <f t="shared" si="16"/>
        <v>-26617.789368052385</v>
      </c>
    </row>
    <row r="304" spans="1:9" x14ac:dyDescent="0.25">
      <c r="A304" s="53">
        <f>'A) Base RI'!A295</f>
        <v>5903</v>
      </c>
      <c r="B304" s="35" t="str">
        <f>'A) Base RI'!B295</f>
        <v>Bioley-Magnoux</v>
      </c>
      <c r="C304" s="15">
        <f>'D) Ecrêtage'!M293</f>
        <v>5953.911158301159</v>
      </c>
      <c r="D304" s="10">
        <f>'A) Base RI'!AN295</f>
        <v>230</v>
      </c>
      <c r="E304" s="15">
        <f t="shared" si="14"/>
        <v>110499.9875442567</v>
      </c>
      <c r="F304" s="44">
        <f>'F) Population'!K296</f>
        <v>22676.056338028167</v>
      </c>
      <c r="G304" s="10">
        <f>'G) Solidarité'!I293</f>
        <v>91653.807727194246</v>
      </c>
      <c r="H304" s="15">
        <f t="shared" si="15"/>
        <v>114329.86406522241</v>
      </c>
      <c r="I304" s="67">
        <f t="shared" si="16"/>
        <v>-3829.876520965714</v>
      </c>
    </row>
    <row r="305" spans="1:9" x14ac:dyDescent="0.25">
      <c r="A305" s="53">
        <f>'A) Base RI'!A296</f>
        <v>5904</v>
      </c>
      <c r="B305" s="35" t="str">
        <f>'A) Base RI'!B296</f>
        <v>Chamblon</v>
      </c>
      <c r="C305" s="15">
        <f>'D) Ecrêtage'!M294</f>
        <v>22914.009848484849</v>
      </c>
      <c r="D305" s="10">
        <f>'A) Base RI'!AN296</f>
        <v>548</v>
      </c>
      <c r="E305" s="15">
        <f t="shared" si="14"/>
        <v>425266.30571508408</v>
      </c>
      <c r="F305" s="44">
        <f>'F) Population'!K297</f>
        <v>54028.169014084502</v>
      </c>
      <c r="G305" s="10">
        <f>'G) Solidarité'!I294</f>
        <v>21762.67649977289</v>
      </c>
      <c r="H305" s="15">
        <f t="shared" si="15"/>
        <v>75790.845513857392</v>
      </c>
      <c r="I305" s="67">
        <f t="shared" si="16"/>
        <v>349475.4602012267</v>
      </c>
    </row>
    <row r="306" spans="1:9" x14ac:dyDescent="0.25">
      <c r="A306" s="53">
        <f>'A) Base RI'!A297</f>
        <v>5905</v>
      </c>
      <c r="B306" s="35" t="str">
        <f>'A) Base RI'!B297</f>
        <v>Champvent</v>
      </c>
      <c r="C306" s="15">
        <f>'D) Ecrêtage'!M295</f>
        <v>21038.740140845071</v>
      </c>
      <c r="D306" s="10">
        <f>'A) Base RI'!AN297</f>
        <v>652</v>
      </c>
      <c r="E306" s="15">
        <f t="shared" si="14"/>
        <v>390462.74989658524</v>
      </c>
      <c r="F306" s="44">
        <f>'F) Population'!K298</f>
        <v>64281.690140845065</v>
      </c>
      <c r="G306" s="10">
        <f>'G) Solidarité'!I295</f>
        <v>155355.34198345267</v>
      </c>
      <c r="H306" s="15">
        <f t="shared" si="15"/>
        <v>219637.03212429775</v>
      </c>
      <c r="I306" s="67">
        <f t="shared" si="16"/>
        <v>170825.71777228749</v>
      </c>
    </row>
    <row r="307" spans="1:9" x14ac:dyDescent="0.25">
      <c r="A307" s="53">
        <f>'A) Base RI'!A298</f>
        <v>5907</v>
      </c>
      <c r="B307" s="35" t="str">
        <f>'A) Base RI'!B298</f>
        <v>Chavannes-le-Chêne</v>
      </c>
      <c r="C307" s="15">
        <f>'D) Ecrêtage'!M296</f>
        <v>8819.3566666666684</v>
      </c>
      <c r="D307" s="10">
        <f>'A) Base RI'!AN298</f>
        <v>300</v>
      </c>
      <c r="E307" s="15">
        <f t="shared" si="14"/>
        <v>163680.44062200806</v>
      </c>
      <c r="F307" s="44">
        <f>'F) Population'!K299</f>
        <v>29577.464788732392</v>
      </c>
      <c r="G307" s="10">
        <f>'G) Solidarité'!I296</f>
        <v>107208.81988339221</v>
      </c>
      <c r="H307" s="15">
        <f t="shared" si="15"/>
        <v>136786.2846721246</v>
      </c>
      <c r="I307" s="67">
        <f t="shared" si="16"/>
        <v>26894.155949883454</v>
      </c>
    </row>
    <row r="308" spans="1:9" x14ac:dyDescent="0.25">
      <c r="A308" s="53">
        <f>'A) Base RI'!A299</f>
        <v>5908</v>
      </c>
      <c r="B308" s="35" t="str">
        <f>'A) Base RI'!B299</f>
        <v>Chêne-Pâquier</v>
      </c>
      <c r="C308" s="15">
        <f>'D) Ecrêtage'!M297</f>
        <v>2915.1287341772154</v>
      </c>
      <c r="D308" s="10">
        <f>'A) Base RI'!AN299</f>
        <v>140</v>
      </c>
      <c r="E308" s="15">
        <f t="shared" si="14"/>
        <v>54102.53533383234</v>
      </c>
      <c r="F308" s="44">
        <f>'F) Population'!K300</f>
        <v>13802.816901408451</v>
      </c>
      <c r="G308" s="10">
        <f>'G) Solidarité'!I297</f>
        <v>81267.053566917792</v>
      </c>
      <c r="H308" s="15">
        <f t="shared" si="15"/>
        <v>95069.870468326248</v>
      </c>
      <c r="I308" s="67">
        <f t="shared" si="16"/>
        <v>-40967.335134493907</v>
      </c>
    </row>
    <row r="309" spans="1:9" x14ac:dyDescent="0.25">
      <c r="A309" s="53">
        <f>'A) Base RI'!A300</f>
        <v>5909</v>
      </c>
      <c r="B309" s="35" t="str">
        <f>'A) Base RI'!B300</f>
        <v>Cheseaux-Noréaz</v>
      </c>
      <c r="C309" s="15">
        <f>'D) Ecrêtage'!M298</f>
        <v>24771.110857142852</v>
      </c>
      <c r="D309" s="10">
        <f>'A) Base RI'!AN300</f>
        <v>670</v>
      </c>
      <c r="E309" s="15">
        <f t="shared" si="14"/>
        <v>459732.66452848777</v>
      </c>
      <c r="F309" s="44">
        <f>'F) Population'!K301</f>
        <v>66056.338028169004</v>
      </c>
      <c r="G309" s="10">
        <f>'G) Solidarité'!I298</f>
        <v>93461.900292861144</v>
      </c>
      <c r="H309" s="15">
        <f t="shared" si="15"/>
        <v>159518.23832103016</v>
      </c>
      <c r="I309" s="67">
        <f t="shared" si="16"/>
        <v>300214.42620745761</v>
      </c>
    </row>
    <row r="310" spans="1:9" x14ac:dyDescent="0.25">
      <c r="A310" s="53">
        <f>'A) Base RI'!A301</f>
        <v>5910</v>
      </c>
      <c r="B310" s="35" t="str">
        <f>'A) Base RI'!B301</f>
        <v>Cronay</v>
      </c>
      <c r="C310" s="15">
        <f>'D) Ecrêtage'!M299</f>
        <v>10097.267848101266</v>
      </c>
      <c r="D310" s="10">
        <f>'A) Base RI'!AN301</f>
        <v>380</v>
      </c>
      <c r="E310" s="15">
        <f t="shared" si="14"/>
        <v>187397.48407071832</v>
      </c>
      <c r="F310" s="44">
        <f>'F) Population'!K302</f>
        <v>37464.788732394365</v>
      </c>
      <c r="G310" s="10">
        <f>'G) Solidarité'!I299</f>
        <v>166088.30380085413</v>
      </c>
      <c r="H310" s="15">
        <f t="shared" si="15"/>
        <v>203553.09253324851</v>
      </c>
      <c r="I310" s="67">
        <f t="shared" si="16"/>
        <v>-16155.608462530188</v>
      </c>
    </row>
    <row r="311" spans="1:9" x14ac:dyDescent="0.25">
      <c r="A311" s="53">
        <f>'A) Base RI'!A302</f>
        <v>5911</v>
      </c>
      <c r="B311" s="35" t="str">
        <f>'A) Base RI'!B302</f>
        <v>Cuarny</v>
      </c>
      <c r="C311" s="15">
        <f>'D) Ecrêtage'!M300</f>
        <v>7741.5774683544305</v>
      </c>
      <c r="D311" s="10">
        <f>'A) Base RI'!AN302</f>
        <v>237</v>
      </c>
      <c r="E311" s="15">
        <f t="shared" si="14"/>
        <v>143677.6920383455</v>
      </c>
      <c r="F311" s="44">
        <f>'F) Population'!K303</f>
        <v>23366.197183098589</v>
      </c>
      <c r="G311" s="10">
        <f>'G) Solidarité'!I300</f>
        <v>67567.956724654985</v>
      </c>
      <c r="H311" s="15">
        <f t="shared" si="15"/>
        <v>90934.153907753571</v>
      </c>
      <c r="I311" s="67">
        <f t="shared" si="16"/>
        <v>52743.538130591929</v>
      </c>
    </row>
    <row r="312" spans="1:9" x14ac:dyDescent="0.25">
      <c r="A312" s="53">
        <f>'A) Base RI'!A303</f>
        <v>5912</v>
      </c>
      <c r="B312" s="35" t="str">
        <f>'A) Base RI'!B303</f>
        <v>Démoret</v>
      </c>
      <c r="C312" s="15">
        <f>'D) Ecrêtage'!M301</f>
        <v>2761.8208641975311</v>
      </c>
      <c r="D312" s="10">
        <f>'A) Base RI'!AN303</f>
        <v>126</v>
      </c>
      <c r="E312" s="15">
        <f t="shared" si="14"/>
        <v>51257.259804389389</v>
      </c>
      <c r="F312" s="44">
        <f>'F) Population'!K304</f>
        <v>12422.535211267605</v>
      </c>
      <c r="G312" s="10">
        <f>'G) Solidarité'!I301</f>
        <v>73266.610342323984</v>
      </c>
      <c r="H312" s="15">
        <f t="shared" si="15"/>
        <v>85689.145553591588</v>
      </c>
      <c r="I312" s="67">
        <f t="shared" si="16"/>
        <v>-34431.8857492022</v>
      </c>
    </row>
    <row r="313" spans="1:9" x14ac:dyDescent="0.25">
      <c r="A313" s="53">
        <f>'A) Base RI'!A304</f>
        <v>5913</v>
      </c>
      <c r="B313" s="35" t="str">
        <f>'A) Base RI'!B304</f>
        <v>Donneloye</v>
      </c>
      <c r="C313" s="15">
        <f>'D) Ecrêtage'!M302</f>
        <v>21023.999589041094</v>
      </c>
      <c r="D313" s="10">
        <f>'A) Base RI'!AN304</f>
        <v>779</v>
      </c>
      <c r="E313" s="15">
        <f t="shared" si="14"/>
        <v>390189.17665247258</v>
      </c>
      <c r="F313" s="44">
        <f>'F) Population'!K305</f>
        <v>76802.816901408441</v>
      </c>
      <c r="G313" s="10">
        <f>'G) Solidarité'!I302</f>
        <v>283813.16844142904</v>
      </c>
      <c r="H313" s="15">
        <f t="shared" si="15"/>
        <v>360615.98534283746</v>
      </c>
      <c r="I313" s="67">
        <f t="shared" si="16"/>
        <v>29573.19130963512</v>
      </c>
    </row>
    <row r="314" spans="1:9" x14ac:dyDescent="0.25">
      <c r="A314" s="53">
        <f>'A) Base RI'!A305</f>
        <v>5914</v>
      </c>
      <c r="B314" s="35" t="str">
        <f>'A) Base RI'!B305</f>
        <v>Ependes</v>
      </c>
      <c r="C314" s="15">
        <f>'D) Ecrêtage'!M303</f>
        <v>8838.0616000000009</v>
      </c>
      <c r="D314" s="10">
        <f>'A) Base RI'!AN305</f>
        <v>350</v>
      </c>
      <c r="E314" s="15">
        <f t="shared" si="14"/>
        <v>164027.58972205259</v>
      </c>
      <c r="F314" s="44">
        <f>'F) Population'!K306</f>
        <v>34507.042253521126</v>
      </c>
      <c r="G314" s="10">
        <f>'G) Solidarité'!I303</f>
        <v>148264.24333021222</v>
      </c>
      <c r="H314" s="15">
        <f t="shared" si="15"/>
        <v>182771.28558373335</v>
      </c>
      <c r="I314" s="67">
        <f t="shared" si="16"/>
        <v>-18743.695861680753</v>
      </c>
    </row>
    <row r="315" spans="1:9" x14ac:dyDescent="0.25">
      <c r="A315" s="53">
        <f>'A) Base RI'!A306</f>
        <v>5915</v>
      </c>
      <c r="B315" s="35" t="str">
        <f>'A) Base RI'!B306</f>
        <v>Essert-Pittet</v>
      </c>
      <c r="C315" s="15">
        <f>'D) Ecrêtage'!M304</f>
        <v>3860.3839529411766</v>
      </c>
      <c r="D315" s="10">
        <f>'A) Base RI'!AN306</f>
        <v>170</v>
      </c>
      <c r="E315" s="15">
        <f t="shared" si="14"/>
        <v>71645.741324390736</v>
      </c>
      <c r="F315" s="44">
        <f>'F) Population'!K307</f>
        <v>16760.563380281688</v>
      </c>
      <c r="G315" s="10">
        <f>'G) Solidarité'!I304</f>
        <v>81734.419045162256</v>
      </c>
      <c r="H315" s="15">
        <f t="shared" si="15"/>
        <v>98494.982425443945</v>
      </c>
      <c r="I315" s="67">
        <f t="shared" si="16"/>
        <v>-26849.241101053209</v>
      </c>
    </row>
    <row r="316" spans="1:9" x14ac:dyDescent="0.25">
      <c r="A316" s="53">
        <f>'A) Base RI'!A307</f>
        <v>5919</v>
      </c>
      <c r="B316" s="35" t="str">
        <f>'A) Base RI'!B307</f>
        <v>Mathod</v>
      </c>
      <c r="C316" s="15">
        <f>'D) Ecrêtage'!M305</f>
        <v>16883.878828828827</v>
      </c>
      <c r="D316" s="10">
        <f>'A) Base RI'!AN307</f>
        <v>614</v>
      </c>
      <c r="E316" s="15">
        <f t="shared" si="14"/>
        <v>313351.73647714616</v>
      </c>
      <c r="F316" s="44">
        <f>'F) Population'!K308</f>
        <v>60535.211267605628</v>
      </c>
      <c r="G316" s="10">
        <f>'G) Solidarité'!I305</f>
        <v>223019.9614545037</v>
      </c>
      <c r="H316" s="15">
        <f t="shared" si="15"/>
        <v>283555.17272210936</v>
      </c>
      <c r="I316" s="67">
        <f t="shared" si="16"/>
        <v>29796.563755036797</v>
      </c>
    </row>
    <row r="317" spans="1:9" x14ac:dyDescent="0.25">
      <c r="A317" s="53">
        <f>'A) Base RI'!A308</f>
        <v>5921</v>
      </c>
      <c r="B317" s="35" t="str">
        <f>'A) Base RI'!B308</f>
        <v>Molondin</v>
      </c>
      <c r="C317" s="15">
        <f>'D) Ecrêtage'!M306</f>
        <v>5518.0840740740732</v>
      </c>
      <c r="D317" s="10">
        <f>'A) Base RI'!AN308</f>
        <v>218</v>
      </c>
      <c r="E317" s="15">
        <f t="shared" si="14"/>
        <v>102411.37384174993</v>
      </c>
      <c r="F317" s="44">
        <f>'F) Population'!K309</f>
        <v>21492.957746478871</v>
      </c>
      <c r="G317" s="10">
        <f>'G) Solidarité'!I306</f>
        <v>107367.03666901599</v>
      </c>
      <c r="H317" s="15">
        <f t="shared" si="15"/>
        <v>128859.99441549486</v>
      </c>
      <c r="I317" s="67">
        <f t="shared" si="16"/>
        <v>-26448.620573744935</v>
      </c>
    </row>
    <row r="318" spans="1:9" x14ac:dyDescent="0.25">
      <c r="A318" s="53">
        <f>'A) Base RI'!A309</f>
        <v>5922</v>
      </c>
      <c r="B318" s="35" t="str">
        <f>'A) Base RI'!B309</f>
        <v>Montagny-près-Yverdon</v>
      </c>
      <c r="C318" s="15">
        <f>'D) Ecrêtage'!M307</f>
        <v>43618.831931545668</v>
      </c>
      <c r="D318" s="10">
        <f>'A) Base RI'!AN309</f>
        <v>733</v>
      </c>
      <c r="E318" s="15">
        <f t="shared" si="14"/>
        <v>809531.79464405857</v>
      </c>
      <c r="F318" s="44">
        <f>'F) Population'!K310</f>
        <v>72267.605633802814</v>
      </c>
      <c r="G318" s="10">
        <f>'G) Solidarité'!I307</f>
        <v>0</v>
      </c>
      <c r="H318" s="15">
        <f t="shared" si="15"/>
        <v>72267.605633802814</v>
      </c>
      <c r="I318" s="67">
        <f t="shared" si="16"/>
        <v>737264.18901025574</v>
      </c>
    </row>
    <row r="319" spans="1:9" x14ac:dyDescent="0.25">
      <c r="A319" s="53">
        <f>'A) Base RI'!A310</f>
        <v>5923</v>
      </c>
      <c r="B319" s="35" t="str">
        <f>'A) Base RI'!B310</f>
        <v>Oppens</v>
      </c>
      <c r="C319" s="15">
        <f>'D) Ecrêtage'!M308</f>
        <v>4881.0219753086412</v>
      </c>
      <c r="D319" s="10">
        <f>'A) Base RI'!AN310</f>
        <v>182</v>
      </c>
      <c r="E319" s="15">
        <f t="shared" si="14"/>
        <v>90587.99386397675</v>
      </c>
      <c r="F319" s="44">
        <f>'F) Population'!K311</f>
        <v>17943.661971830985</v>
      </c>
      <c r="G319" s="10">
        <f>'G) Solidarité'!I308</f>
        <v>82447.296269692568</v>
      </c>
      <c r="H319" s="15">
        <f t="shared" si="15"/>
        <v>100390.95824152355</v>
      </c>
      <c r="I319" s="67">
        <f t="shared" si="16"/>
        <v>-9802.9643775467994</v>
      </c>
    </row>
    <row r="320" spans="1:9" x14ac:dyDescent="0.25">
      <c r="A320" s="53">
        <f>'A) Base RI'!A311</f>
        <v>5924</v>
      </c>
      <c r="B320" s="35" t="str">
        <f>'A) Base RI'!B311</f>
        <v>Orges</v>
      </c>
      <c r="C320" s="15">
        <f>'D) Ecrêtage'!M309</f>
        <v>9476.448378378378</v>
      </c>
      <c r="D320" s="10">
        <f>'A) Base RI'!AN311</f>
        <v>292</v>
      </c>
      <c r="E320" s="15">
        <f t="shared" si="14"/>
        <v>175875.55472920206</v>
      </c>
      <c r="F320" s="44">
        <f>'F) Population'!K312</f>
        <v>28788.732394366194</v>
      </c>
      <c r="G320" s="10">
        <f>'G) Solidarité'!I309</f>
        <v>74394.260977052851</v>
      </c>
      <c r="H320" s="15">
        <f t="shared" si="15"/>
        <v>103182.99337141904</v>
      </c>
      <c r="I320" s="67">
        <f t="shared" si="16"/>
        <v>72692.561357783023</v>
      </c>
    </row>
    <row r="321" spans="1:9" x14ac:dyDescent="0.25">
      <c r="A321" s="53">
        <f>'A) Base RI'!A312</f>
        <v>5925</v>
      </c>
      <c r="B321" s="35" t="str">
        <f>'A) Base RI'!B312</f>
        <v>Orzens</v>
      </c>
      <c r="C321" s="15">
        <f>'D) Ecrêtage'!M310</f>
        <v>4875.4426582278484</v>
      </c>
      <c r="D321" s="10">
        <f>'A) Base RI'!AN312</f>
        <v>200</v>
      </c>
      <c r="E321" s="15">
        <f t="shared" si="14"/>
        <v>90484.446052875544</v>
      </c>
      <c r="F321" s="44">
        <f>'F) Population'!K313</f>
        <v>19718.309859154928</v>
      </c>
      <c r="G321" s="10">
        <f>'G) Solidarité'!I310</f>
        <v>98362.367257864214</v>
      </c>
      <c r="H321" s="15">
        <f t="shared" si="15"/>
        <v>118080.67711701914</v>
      </c>
      <c r="I321" s="67">
        <f t="shared" si="16"/>
        <v>-27596.231064143591</v>
      </c>
    </row>
    <row r="322" spans="1:9" x14ac:dyDescent="0.25">
      <c r="A322" s="53">
        <f>'A) Base RI'!A313</f>
        <v>5926</v>
      </c>
      <c r="B322" s="35" t="str">
        <f>'A) Base RI'!B313</f>
        <v>Pomy</v>
      </c>
      <c r="C322" s="15">
        <f>'D) Ecrêtage'!M311</f>
        <v>22774.42661971831</v>
      </c>
      <c r="D322" s="10">
        <f>'A) Base RI'!AN313</f>
        <v>760</v>
      </c>
      <c r="E322" s="15">
        <f t="shared" si="14"/>
        <v>422675.74891468824</v>
      </c>
      <c r="F322" s="44">
        <f>'F) Population'!K314</f>
        <v>74929.57746478873</v>
      </c>
      <c r="G322" s="10">
        <f>'G) Solidarité'!I311</f>
        <v>216330.67110103325</v>
      </c>
      <c r="H322" s="15">
        <f t="shared" si="15"/>
        <v>291260.24856582197</v>
      </c>
      <c r="I322" s="67">
        <f t="shared" si="16"/>
        <v>131415.50034886628</v>
      </c>
    </row>
    <row r="323" spans="1:9" x14ac:dyDescent="0.25">
      <c r="A323" s="53">
        <f>'A) Base RI'!A314</f>
        <v>5928</v>
      </c>
      <c r="B323" s="35" t="str">
        <f>'A) Base RI'!B314</f>
        <v>Rovray</v>
      </c>
      <c r="C323" s="15">
        <f>'D) Ecrêtage'!M312</f>
        <v>4451.7282191780823</v>
      </c>
      <c r="D323" s="10">
        <f>'A) Base RI'!AN314</f>
        <v>172</v>
      </c>
      <c r="E323" s="15">
        <f t="shared" si="14"/>
        <v>82620.633679383522</v>
      </c>
      <c r="F323" s="44">
        <f>'F) Population'!K315</f>
        <v>16957.74647887324</v>
      </c>
      <c r="G323" s="10">
        <f>'G) Solidarité'!I312</f>
        <v>66717.388532128214</v>
      </c>
      <c r="H323" s="15">
        <f t="shared" si="15"/>
        <v>83675.135011001461</v>
      </c>
      <c r="I323" s="67">
        <f t="shared" si="16"/>
        <v>-1054.5013316179393</v>
      </c>
    </row>
    <row r="324" spans="1:9" x14ac:dyDescent="0.25">
      <c r="A324" s="53">
        <f>'A) Base RI'!A315</f>
        <v>5929</v>
      </c>
      <c r="B324" s="35" t="str">
        <f>'A) Base RI'!B315</f>
        <v>Suchy</v>
      </c>
      <c r="C324" s="15">
        <f>'D) Ecrêtage'!M313</f>
        <v>16583.788428571432</v>
      </c>
      <c r="D324" s="10">
        <f>'A) Base RI'!AN315</f>
        <v>606</v>
      </c>
      <c r="E324" s="15">
        <f t="shared" si="14"/>
        <v>307782.29067774746</v>
      </c>
      <c r="F324" s="44">
        <f>'F) Population'!K316</f>
        <v>59746.47887323943</v>
      </c>
      <c r="G324" s="10">
        <f>'G) Solidarité'!I313</f>
        <v>198529.88068801578</v>
      </c>
      <c r="H324" s="15">
        <f t="shared" si="15"/>
        <v>258276.3595612552</v>
      </c>
      <c r="I324" s="67">
        <f t="shared" si="16"/>
        <v>49505.931116492255</v>
      </c>
    </row>
    <row r="325" spans="1:9" x14ac:dyDescent="0.25">
      <c r="A325" s="53">
        <f>'A) Base RI'!A316</f>
        <v>5930</v>
      </c>
      <c r="B325" s="35" t="str">
        <f>'A) Base RI'!B316</f>
        <v>Suscévaz</v>
      </c>
      <c r="C325" s="15">
        <f>'D) Ecrêtage'!M314</f>
        <v>4886.5228787878787</v>
      </c>
      <c r="D325" s="10">
        <f>'A) Base RI'!AN316</f>
        <v>202</v>
      </c>
      <c r="E325" s="15">
        <f t="shared" si="14"/>
        <v>90690.086379262328</v>
      </c>
      <c r="F325" s="44">
        <f>'F) Population'!K317</f>
        <v>19915.492957746479</v>
      </c>
      <c r="G325" s="10">
        <f>'G) Solidarité'!I314</f>
        <v>69995.900708193818</v>
      </c>
      <c r="H325" s="15">
        <f t="shared" si="15"/>
        <v>89911.393665940297</v>
      </c>
      <c r="I325" s="67">
        <f t="shared" si="16"/>
        <v>778.69271332203061</v>
      </c>
    </row>
    <row r="326" spans="1:9" x14ac:dyDescent="0.25">
      <c r="A326" s="53">
        <f>'A) Base RI'!A317</f>
        <v>5931</v>
      </c>
      <c r="B326" s="35" t="str">
        <f>'A) Base RI'!B317</f>
        <v>Treycovagnes</v>
      </c>
      <c r="C326" s="15">
        <f>'D) Ecrêtage'!M315</f>
        <v>16368.774155844154</v>
      </c>
      <c r="D326" s="10">
        <f>'A) Base RI'!AN317</f>
        <v>446</v>
      </c>
      <c r="E326" s="15">
        <f t="shared" si="14"/>
        <v>303791.7920245931</v>
      </c>
      <c r="F326" s="44">
        <f>'F) Population'!K318</f>
        <v>43971.830985915491</v>
      </c>
      <c r="G326" s="10">
        <f>'G) Solidarité'!I315</f>
        <v>78138.985433322305</v>
      </c>
      <c r="H326" s="15">
        <f t="shared" si="15"/>
        <v>122110.81641923779</v>
      </c>
      <c r="I326" s="67">
        <f t="shared" si="16"/>
        <v>181680.97560535531</v>
      </c>
    </row>
    <row r="327" spans="1:9" x14ac:dyDescent="0.25">
      <c r="A327" s="53">
        <f>'A) Base RI'!A318</f>
        <v>5932</v>
      </c>
      <c r="B327" s="35" t="str">
        <f>'A) Base RI'!B318</f>
        <v>Ursins</v>
      </c>
      <c r="C327" s="15">
        <f>'D) Ecrêtage'!M316</f>
        <v>6366.2738461538456</v>
      </c>
      <c r="D327" s="10">
        <f>'A) Base RI'!AN318</f>
        <v>210</v>
      </c>
      <c r="E327" s="15">
        <f t="shared" si="14"/>
        <v>118153.12019268531</v>
      </c>
      <c r="F327" s="44">
        <f>'F) Population'!K319</f>
        <v>20704.225352112673</v>
      </c>
      <c r="G327" s="10">
        <f>'G) Solidarité'!I316</f>
        <v>70360.083287244051</v>
      </c>
      <c r="H327" s="15">
        <f t="shared" si="15"/>
        <v>91064.308639356721</v>
      </c>
      <c r="I327" s="67">
        <f t="shared" si="16"/>
        <v>27088.811553328589</v>
      </c>
    </row>
    <row r="328" spans="1:9" x14ac:dyDescent="0.25">
      <c r="A328" s="53">
        <f>'A) Base RI'!A319</f>
        <v>5933</v>
      </c>
      <c r="B328" s="35" t="str">
        <f>'A) Base RI'!B319</f>
        <v>Valeyres-sous-Montagny</v>
      </c>
      <c r="C328" s="15">
        <f>'D) Ecrêtage'!M317</f>
        <v>19578.46263888889</v>
      </c>
      <c r="D328" s="10">
        <f>'A) Base RI'!AN319</f>
        <v>689</v>
      </c>
      <c r="E328" s="15">
        <f t="shared" si="14"/>
        <v>363361.12854431808</v>
      </c>
      <c r="F328" s="44">
        <f>'F) Population'!K320</f>
        <v>67929.57746478873</v>
      </c>
      <c r="G328" s="10">
        <f>'G) Solidarité'!I317</f>
        <v>223818.53089413821</v>
      </c>
      <c r="H328" s="15">
        <f t="shared" si="15"/>
        <v>291748.10835892695</v>
      </c>
      <c r="I328" s="67">
        <f t="shared" si="16"/>
        <v>71613.020185391128</v>
      </c>
    </row>
    <row r="329" spans="1:9" x14ac:dyDescent="0.25">
      <c r="A329" s="53">
        <f>'A) Base RI'!A320</f>
        <v>5934</v>
      </c>
      <c r="B329" s="35" t="str">
        <f>'A) Base RI'!B320</f>
        <v>Valeyres-sous-Ursins</v>
      </c>
      <c r="C329" s="15">
        <f>'D) Ecrêtage'!M318</f>
        <v>6856.0722784810141</v>
      </c>
      <c r="D329" s="10">
        <f>'A) Base RI'!AN320</f>
        <v>247</v>
      </c>
      <c r="E329" s="15">
        <f t="shared" si="14"/>
        <v>127243.40038537659</v>
      </c>
      <c r="F329" s="44">
        <f>'F) Population'!K321</f>
        <v>24352.112676056335</v>
      </c>
      <c r="G329" s="10">
        <f>'G) Solidarité'!I318</f>
        <v>100653.04064460978</v>
      </c>
      <c r="H329" s="15">
        <f t="shared" si="15"/>
        <v>125005.15332066611</v>
      </c>
      <c r="I329" s="67">
        <f t="shared" si="16"/>
        <v>2238.2470647104783</v>
      </c>
    </row>
    <row r="330" spans="1:9" x14ac:dyDescent="0.25">
      <c r="A330" s="53">
        <f>'A) Base RI'!A321</f>
        <v>5935</v>
      </c>
      <c r="B330" s="35" t="str">
        <f>'A) Base RI'!B321</f>
        <v>Villars-Epeney</v>
      </c>
      <c r="C330" s="15">
        <f>'D) Ecrêtage'!M319</f>
        <v>4252.6353333333336</v>
      </c>
      <c r="D330" s="10">
        <f>'A) Base RI'!AN321</f>
        <v>105</v>
      </c>
      <c r="E330" s="15">
        <f t="shared" si="14"/>
        <v>78925.623656380078</v>
      </c>
      <c r="F330" s="44">
        <f>'F) Population'!K322</f>
        <v>10352.112676056337</v>
      </c>
      <c r="G330" s="10">
        <f>'G) Solidarité'!I319</f>
        <v>5429.0979593648954</v>
      </c>
      <c r="H330" s="15">
        <f t="shared" si="15"/>
        <v>15781.210635421232</v>
      </c>
      <c r="I330" s="67">
        <f t="shared" si="16"/>
        <v>63144.413020958847</v>
      </c>
    </row>
    <row r="331" spans="1:9" x14ac:dyDescent="0.25">
      <c r="A331" s="53">
        <f>'A) Base RI'!A322</f>
        <v>5937</v>
      </c>
      <c r="B331" s="35" t="str">
        <f>'A) Base RI'!B322</f>
        <v>Vugelles-La Mothe</v>
      </c>
      <c r="C331" s="15">
        <f>'D) Ecrêtage'!M320</f>
        <v>2272.9823469387752</v>
      </c>
      <c r="D331" s="10">
        <f>'A) Base RI'!AN322</f>
        <v>134</v>
      </c>
      <c r="E331" s="15">
        <f t="shared" si="14"/>
        <v>42184.794893163176</v>
      </c>
      <c r="F331" s="44">
        <f>'F) Population'!K323</f>
        <v>13211.267605633802</v>
      </c>
      <c r="G331" s="10">
        <f>'G) Solidarité'!I320</f>
        <v>71199.356960977791</v>
      </c>
      <c r="H331" s="15">
        <f t="shared" si="15"/>
        <v>84410.624566611601</v>
      </c>
      <c r="I331" s="67">
        <f t="shared" si="16"/>
        <v>-42225.829673448425</v>
      </c>
    </row>
    <row r="332" spans="1:9" x14ac:dyDescent="0.25">
      <c r="A332" s="53">
        <f>'A) Base RI'!A323</f>
        <v>5938</v>
      </c>
      <c r="B332" s="35" t="str">
        <f>'A) Base RI'!B323</f>
        <v>Yverdon-les-Bains</v>
      </c>
      <c r="C332" s="15">
        <f>'D) Ecrêtage'!M321</f>
        <v>809245.0162091502</v>
      </c>
      <c r="D332" s="10">
        <f>'A) Base RI'!AN323</f>
        <v>29570</v>
      </c>
      <c r="E332" s="15">
        <f t="shared" si="14"/>
        <v>15018961.793994542</v>
      </c>
      <c r="F332" s="44">
        <f>'F) Population'!K324</f>
        <v>24695704.225352112</v>
      </c>
      <c r="G332" s="10">
        <f>'G) Solidarité'!I321</f>
        <v>11569180.722029582</v>
      </c>
      <c r="H332" s="15">
        <f t="shared" si="15"/>
        <v>36264884.94738169</v>
      </c>
      <c r="I332" s="67">
        <f t="shared" si="16"/>
        <v>-21245923.153387148</v>
      </c>
    </row>
    <row r="333" spans="1:9" x14ac:dyDescent="0.25">
      <c r="A333" s="53">
        <f>'A) Base RI'!A324</f>
        <v>5939</v>
      </c>
      <c r="B333" s="35" t="str">
        <f>'A) Base RI'!B324</f>
        <v>Yvonand</v>
      </c>
      <c r="C333" s="96">
        <f>'D) Ecrêtage'!M322</f>
        <v>88261.067808219188</v>
      </c>
      <c r="D333" s="20">
        <f>'A) Base RI'!AN324</f>
        <v>3236</v>
      </c>
      <c r="E333" s="15">
        <f t="shared" si="14"/>
        <v>1638057.175215529</v>
      </c>
      <c r="F333" s="95">
        <f>'F) Population'!K325</f>
        <v>905070.42253521131</v>
      </c>
      <c r="G333" s="20">
        <f>'G) Solidarité'!I322</f>
        <v>1159240.9867143654</v>
      </c>
      <c r="H333" s="96">
        <f t="shared" si="15"/>
        <v>2064311.4092495767</v>
      </c>
      <c r="I333" s="67">
        <f t="shared" si="16"/>
        <v>-426254.23403404769</v>
      </c>
    </row>
    <row r="334" spans="1:9" x14ac:dyDescent="0.25">
      <c r="A334" s="33"/>
      <c r="B334" s="182">
        <f>COUNTA(B16:B333)</f>
        <v>318</v>
      </c>
      <c r="C334" s="183">
        <f>SUM(C16:C333)</f>
        <v>34317025.774862766</v>
      </c>
      <c r="D334" s="95">
        <f>SUM(D16:D333)</f>
        <v>778251</v>
      </c>
      <c r="E334" s="11">
        <f>SUM(E16:E333)</f>
        <v>636897464.51646113</v>
      </c>
      <c r="F334" s="95">
        <f>SUM(F16:F333)</f>
        <v>398731978.87323916</v>
      </c>
      <c r="G334" s="95">
        <f>SUM(G16:G333)</f>
        <v>103077378.54377048</v>
      </c>
      <c r="H334" s="97">
        <f>F334+G334</f>
        <v>501809357.41700965</v>
      </c>
      <c r="I334" s="40">
        <f>E334-H334</f>
        <v>135088107.09945148</v>
      </c>
    </row>
    <row r="335" spans="1:9" x14ac:dyDescent="0.25">
      <c r="C335" s="99"/>
      <c r="D335" s="99"/>
      <c r="E335" s="39"/>
      <c r="H335" s="39"/>
    </row>
    <row r="336" spans="1:9" x14ac:dyDescent="0.25">
      <c r="C336" s="178"/>
      <c r="D336" s="178"/>
      <c r="F336" s="13"/>
    </row>
    <row r="337" spans="3:9" x14ac:dyDescent="0.25">
      <c r="G337" s="13"/>
    </row>
    <row r="339" spans="3:9" x14ac:dyDescent="0.25">
      <c r="F339" s="13"/>
    </row>
    <row r="340" spans="3:9" x14ac:dyDescent="0.25">
      <c r="F340" s="13"/>
    </row>
    <row r="342" spans="3:9" x14ac:dyDescent="0.25">
      <c r="F342" s="158"/>
      <c r="G342" s="158"/>
      <c r="H342" s="158"/>
      <c r="I342" s="158"/>
    </row>
    <row r="343" spans="3:9" x14ac:dyDescent="0.25">
      <c r="E343" s="158"/>
      <c r="F343" s="158"/>
      <c r="G343" s="158"/>
      <c r="H343" s="158"/>
      <c r="I343" s="158"/>
    </row>
    <row r="344" spans="3:9" x14ac:dyDescent="0.25">
      <c r="E344" s="179"/>
      <c r="F344" s="179"/>
      <c r="G344" s="179"/>
      <c r="H344" s="179"/>
      <c r="I344" s="179"/>
    </row>
    <row r="351" spans="3:9" x14ac:dyDescent="0.25">
      <c r="C351" s="52"/>
    </row>
    <row r="352" spans="3:9" x14ac:dyDescent="0.25">
      <c r="C352" s="52"/>
    </row>
    <row r="353" spans="3:3" x14ac:dyDescent="0.25">
      <c r="C353" s="52"/>
    </row>
  </sheetData>
  <sheetProtection sheet="1" objects="1" scenarios="1"/>
  <mergeCells count="4">
    <mergeCell ref="D14:D15"/>
    <mergeCell ref="C14:C15"/>
    <mergeCell ref="B14:B15"/>
    <mergeCell ref="A14:A15"/>
  </mergeCells>
  <phoneticPr fontId="9" type="noConversion"/>
  <pageMargins left="0.25" right="0.25" top="0.75" bottom="0.75" header="0.3" footer="0.3"/>
  <pageSetup paperSize="9" orientation="landscape"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28"/>
  <sheetViews>
    <sheetView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10.75" defaultRowHeight="15" x14ac:dyDescent="0.25"/>
  <cols>
    <col min="1" max="1" width="7.25" style="14" customWidth="1"/>
    <col min="2" max="2" width="18" style="14" customWidth="1"/>
    <col min="3" max="3" width="9.875" style="14" bestFit="1" customWidth="1"/>
    <col min="4" max="5" width="10.75" style="14" bestFit="1" customWidth="1"/>
    <col min="6" max="6" width="9.875" style="14" bestFit="1" customWidth="1"/>
    <col min="7" max="7" width="10.75" style="14" bestFit="1" customWidth="1"/>
    <col min="8" max="8" width="11.25" style="14" bestFit="1" customWidth="1"/>
    <col min="9" max="9" width="13" style="14" bestFit="1" customWidth="1"/>
    <col min="10" max="10" width="12.125" style="14" customWidth="1"/>
    <col min="11" max="11" width="10" style="14" customWidth="1"/>
    <col min="12" max="12" width="11.375" style="14" customWidth="1"/>
    <col min="13" max="13" width="10.75" style="14" customWidth="1"/>
    <col min="14" max="14" width="12.5" style="14" customWidth="1"/>
    <col min="15" max="15" width="12.875" style="14" customWidth="1"/>
    <col min="16" max="16" width="10" style="14" customWidth="1"/>
    <col min="17" max="17" width="2.5" style="14" customWidth="1"/>
    <col min="18" max="16384" width="10.75" style="14"/>
  </cols>
  <sheetData>
    <row r="1" spans="1:17" s="46" customFormat="1" ht="20.25" customHeight="1" x14ac:dyDescent="0.25">
      <c r="A1" s="57" t="s">
        <v>172</v>
      </c>
      <c r="B1" s="45"/>
      <c r="C1" s="92"/>
      <c r="D1" s="92"/>
      <c r="E1" s="92"/>
      <c r="F1" s="92"/>
      <c r="G1" s="92"/>
      <c r="H1" s="92"/>
      <c r="I1" s="92"/>
      <c r="J1" s="92"/>
      <c r="K1" s="70"/>
      <c r="M1" s="70"/>
      <c r="Q1" s="14"/>
    </row>
    <row r="3" spans="1:17" ht="60" customHeight="1" x14ac:dyDescent="0.25">
      <c r="A3" s="551" t="s">
        <v>50</v>
      </c>
      <c r="B3" s="551" t="s">
        <v>120</v>
      </c>
      <c r="C3" s="551" t="s">
        <v>481</v>
      </c>
      <c r="D3" s="551" t="s">
        <v>372</v>
      </c>
      <c r="E3" s="551" t="s">
        <v>373</v>
      </c>
      <c r="F3" s="581" t="s">
        <v>374</v>
      </c>
      <c r="G3" s="551" t="s">
        <v>345</v>
      </c>
      <c r="H3" s="589" t="s">
        <v>48</v>
      </c>
      <c r="I3" s="78" t="s">
        <v>346</v>
      </c>
      <c r="J3" s="78" t="s">
        <v>248</v>
      </c>
      <c r="K3" s="579" t="s">
        <v>249</v>
      </c>
      <c r="L3" s="551" t="s">
        <v>49</v>
      </c>
      <c r="M3" s="78" t="s">
        <v>250</v>
      </c>
      <c r="N3" s="78" t="s">
        <v>248</v>
      </c>
      <c r="O3" s="194" t="s">
        <v>412</v>
      </c>
      <c r="P3" s="78" t="s">
        <v>412</v>
      </c>
    </row>
    <row r="4" spans="1:17" x14ac:dyDescent="0.25">
      <c r="A4" s="552"/>
      <c r="B4" s="552"/>
      <c r="C4" s="552"/>
      <c r="D4" s="552"/>
      <c r="E4" s="552"/>
      <c r="F4" s="582"/>
      <c r="G4" s="552"/>
      <c r="H4" s="590"/>
      <c r="I4" s="79">
        <f>Paramètres!B37</f>
        <v>8</v>
      </c>
      <c r="J4" s="196">
        <f>+Paramètres!C37</f>
        <v>0.70835261371947933</v>
      </c>
      <c r="K4" s="580"/>
      <c r="L4" s="555"/>
      <c r="M4" s="79">
        <f>Paramètres!B38</f>
        <v>1</v>
      </c>
      <c r="N4" s="388">
        <f>+Paramètres!C38</f>
        <v>0.70835261371947933</v>
      </c>
      <c r="O4" s="195" t="s">
        <v>517</v>
      </c>
      <c r="P4" s="146" t="s">
        <v>518</v>
      </c>
    </row>
    <row r="5" spans="1:17" x14ac:dyDescent="0.25">
      <c r="A5" s="147">
        <f>'A) Base RI'!A7</f>
        <v>5401</v>
      </c>
      <c r="B5" s="50" t="str">
        <f>'A) Base RI'!B7</f>
        <v>Aigle</v>
      </c>
      <c r="C5" s="34">
        <f>'D) Ecrêtage'!M5</f>
        <v>274204.16723456793</v>
      </c>
      <c r="D5" s="118">
        <v>3812060</v>
      </c>
      <c r="E5" s="61">
        <v>1233685</v>
      </c>
      <c r="F5" s="93">
        <v>13467</v>
      </c>
      <c r="G5" s="93">
        <f>D5+E5+F5</f>
        <v>5059212</v>
      </c>
      <c r="H5" s="61">
        <f>C5*I$4</f>
        <v>2193633.3378765434</v>
      </c>
      <c r="I5" s="34">
        <f>IF(G5&gt;H5,G5-H5,0)</f>
        <v>2865578.6621234566</v>
      </c>
      <c r="J5" s="2">
        <f>-I5*J$4</f>
        <v>-2029840.1351339193</v>
      </c>
      <c r="K5" s="94">
        <v>403609</v>
      </c>
      <c r="L5" s="61">
        <f>C5*M$4</f>
        <v>274204.16723456793</v>
      </c>
      <c r="M5" s="94">
        <f>IF(K5&gt;L5,K5-L5,0)</f>
        <v>129404.83276543207</v>
      </c>
      <c r="N5" s="197">
        <f>-M5*N$4</f>
        <v>-91664.251517325931</v>
      </c>
      <c r="O5" s="198">
        <f>N5+J5</f>
        <v>-2121504.3866512454</v>
      </c>
      <c r="P5" s="418">
        <f>O5/C5</f>
        <v>-7.7369516592226137</v>
      </c>
      <c r="Q5" s="189"/>
    </row>
    <row r="6" spans="1:17" x14ac:dyDescent="0.25">
      <c r="A6" s="190">
        <f>'A) Base RI'!A8</f>
        <v>5402</v>
      </c>
      <c r="B6" s="35" t="str">
        <f>'A) Base RI'!B8</f>
        <v>Bex</v>
      </c>
      <c r="C6" s="34">
        <f>'D) Ecrêtage'!M6</f>
        <v>168618.65154929578</v>
      </c>
      <c r="D6" s="34">
        <v>2801622</v>
      </c>
      <c r="E6" s="10">
        <v>628851</v>
      </c>
      <c r="F6" s="44">
        <v>228411</v>
      </c>
      <c r="G6" s="44">
        <f t="shared" ref="G6:G60" si="0">D6+E6+F6</f>
        <v>3658884</v>
      </c>
      <c r="H6" s="10">
        <f t="shared" ref="H6:H69" si="1">C6*I$4</f>
        <v>1348949.2123943663</v>
      </c>
      <c r="I6" s="34">
        <f t="shared" ref="I6:I60" si="2">IF(G6&gt;H6,G6-H6,0)</f>
        <v>2309934.787605634</v>
      </c>
      <c r="J6" s="2">
        <f t="shared" ref="J6:J69" si="3">-I6*J$4</f>
        <v>-1636248.3443220011</v>
      </c>
      <c r="K6" s="15">
        <v>321014</v>
      </c>
      <c r="L6" s="10">
        <f t="shared" ref="L6:L69" si="4">C6*M$4</f>
        <v>168618.65154929578</v>
      </c>
      <c r="M6" s="15">
        <f t="shared" ref="M6:M60" si="5">IF(K6&gt;L6,K6-L6,0)</f>
        <v>152395.34845070422</v>
      </c>
      <c r="N6" s="2">
        <f t="shared" ref="N6:N69" si="6">-M6*N$4</f>
        <v>-107949.64339374713</v>
      </c>
      <c r="O6" s="199">
        <f t="shared" ref="O6:O60" si="7">N6+J6</f>
        <v>-1744197.9877157481</v>
      </c>
      <c r="P6" s="419">
        <f t="shared" ref="P6:P60" si="8">O6/C6</f>
        <v>-10.344039474220505</v>
      </c>
      <c r="Q6" s="189"/>
    </row>
    <row r="7" spans="1:17" x14ac:dyDescent="0.25">
      <c r="A7" s="190">
        <f>'A) Base RI'!A9</f>
        <v>5403</v>
      </c>
      <c r="B7" s="35" t="str">
        <f>'A) Base RI'!B9</f>
        <v>Chessel</v>
      </c>
      <c r="C7" s="34">
        <f>'D) Ecrêtage'!M7</f>
        <v>8336.8572368421064</v>
      </c>
      <c r="D7" s="34">
        <v>57908</v>
      </c>
      <c r="E7" s="10">
        <v>16082</v>
      </c>
      <c r="F7" s="44">
        <v>0</v>
      </c>
      <c r="G7" s="44">
        <f t="shared" si="0"/>
        <v>73990</v>
      </c>
      <c r="H7" s="10">
        <f t="shared" si="1"/>
        <v>66694.857894736851</v>
      </c>
      <c r="I7" s="34">
        <f t="shared" si="2"/>
        <v>7295.1421052631486</v>
      </c>
      <c r="J7" s="2">
        <f t="shared" si="3"/>
        <v>-5167.532977718176</v>
      </c>
      <c r="K7" s="15">
        <v>42012</v>
      </c>
      <c r="L7" s="10">
        <f t="shared" si="4"/>
        <v>8336.8572368421064</v>
      </c>
      <c r="M7" s="15">
        <f t="shared" si="5"/>
        <v>33675.142763157892</v>
      </c>
      <c r="N7" s="2">
        <f t="shared" si="6"/>
        <v>-23853.875393659502</v>
      </c>
      <c r="O7" s="199">
        <f t="shared" si="7"/>
        <v>-29021.408371377678</v>
      </c>
      <c r="P7" s="419">
        <f t="shared" si="8"/>
        <v>-3.4810969585909106</v>
      </c>
      <c r="Q7" s="192"/>
    </row>
    <row r="8" spans="1:17" x14ac:dyDescent="0.25">
      <c r="A8" s="190">
        <f>'A) Base RI'!A10</f>
        <v>5404</v>
      </c>
      <c r="B8" s="35" t="str">
        <f>'A) Base RI'!B10</f>
        <v>Corbeyrier</v>
      </c>
      <c r="C8" s="34">
        <f>'D) Ecrêtage'!M8</f>
        <v>33526.758280623108</v>
      </c>
      <c r="D8" s="34">
        <v>240716</v>
      </c>
      <c r="E8" s="10">
        <v>17585</v>
      </c>
      <c r="F8" s="44">
        <v>31083</v>
      </c>
      <c r="G8" s="44">
        <f t="shared" si="0"/>
        <v>289384</v>
      </c>
      <c r="H8" s="10">
        <f t="shared" si="1"/>
        <v>268214.06624498486</v>
      </c>
      <c r="I8" s="34">
        <f t="shared" si="2"/>
        <v>21169.933755015139</v>
      </c>
      <c r="J8" s="2">
        <f t="shared" si="3"/>
        <v>-14995.777907633206</v>
      </c>
      <c r="K8" s="15">
        <v>35552</v>
      </c>
      <c r="L8" s="10">
        <f t="shared" si="4"/>
        <v>33526.758280623108</v>
      </c>
      <c r="M8" s="15">
        <f t="shared" si="5"/>
        <v>2025.2417193768924</v>
      </c>
      <c r="N8" s="2">
        <f t="shared" si="6"/>
        <v>-1434.5852653343541</v>
      </c>
      <c r="O8" s="199">
        <f t="shared" si="7"/>
        <v>-16430.363172967562</v>
      </c>
      <c r="P8" s="419">
        <f t="shared" si="8"/>
        <v>-0.49006715875848755</v>
      </c>
      <c r="Q8" s="192"/>
    </row>
    <row r="9" spans="1:17" x14ac:dyDescent="0.25">
      <c r="A9" s="190">
        <f>'A) Base RI'!A11</f>
        <v>5405</v>
      </c>
      <c r="B9" s="35" t="str">
        <f>'A) Base RI'!B11</f>
        <v>Gryon</v>
      </c>
      <c r="C9" s="34">
        <f>'D) Ecrêtage'!M9</f>
        <v>64864.951911111115</v>
      </c>
      <c r="D9" s="34">
        <v>919073</v>
      </c>
      <c r="E9" s="10">
        <v>137838</v>
      </c>
      <c r="F9" s="44">
        <v>40713</v>
      </c>
      <c r="G9" s="44">
        <f t="shared" si="0"/>
        <v>1097624</v>
      </c>
      <c r="H9" s="10">
        <f t="shared" si="1"/>
        <v>518919.61528888892</v>
      </c>
      <c r="I9" s="34">
        <f t="shared" si="2"/>
        <v>578704.38471111108</v>
      </c>
      <c r="J9" s="2">
        <f t="shared" si="3"/>
        <v>-409926.76348103862</v>
      </c>
      <c r="K9" s="15">
        <v>2995</v>
      </c>
      <c r="L9" s="10">
        <f t="shared" si="4"/>
        <v>64864.951911111115</v>
      </c>
      <c r="M9" s="15">
        <f t="shared" si="5"/>
        <v>0</v>
      </c>
      <c r="N9" s="2">
        <f t="shared" si="6"/>
        <v>0</v>
      </c>
      <c r="O9" s="199">
        <f t="shared" si="7"/>
        <v>-409926.76348103862</v>
      </c>
      <c r="P9" s="419">
        <f t="shared" si="8"/>
        <v>-6.3196957895349914</v>
      </c>
      <c r="Q9" s="192"/>
    </row>
    <row r="10" spans="1:17" x14ac:dyDescent="0.25">
      <c r="A10" s="190">
        <f>'A) Base RI'!A12</f>
        <v>5406</v>
      </c>
      <c r="B10" s="35" t="str">
        <f>'A) Base RI'!B12</f>
        <v>Lavey-Morcles</v>
      </c>
      <c r="C10" s="34">
        <f>'D) Ecrêtage'!M10</f>
        <v>20248.886901408452</v>
      </c>
      <c r="D10" s="34">
        <v>196693</v>
      </c>
      <c r="E10" s="10">
        <v>36836</v>
      </c>
      <c r="F10" s="44">
        <v>29331</v>
      </c>
      <c r="G10" s="44">
        <f t="shared" si="0"/>
        <v>262860</v>
      </c>
      <c r="H10" s="10">
        <f t="shared" si="1"/>
        <v>161991.09521126762</v>
      </c>
      <c r="I10" s="34">
        <f t="shared" si="2"/>
        <v>100868.90478873238</v>
      </c>
      <c r="J10" s="2">
        <f t="shared" si="3"/>
        <v>-71450.752350119888</v>
      </c>
      <c r="K10" s="15">
        <v>18701</v>
      </c>
      <c r="L10" s="10">
        <f t="shared" si="4"/>
        <v>20248.886901408452</v>
      </c>
      <c r="M10" s="15">
        <f t="shared" si="5"/>
        <v>0</v>
      </c>
      <c r="N10" s="2">
        <f t="shared" si="6"/>
        <v>0</v>
      </c>
      <c r="O10" s="199">
        <f t="shared" si="7"/>
        <v>-71450.752350119888</v>
      </c>
      <c r="P10" s="419">
        <f t="shared" si="8"/>
        <v>-3.5286261757504302</v>
      </c>
      <c r="Q10" s="192"/>
    </row>
    <row r="11" spans="1:17" x14ac:dyDescent="0.25">
      <c r="A11" s="190">
        <f>'A) Base RI'!A13</f>
        <v>5407</v>
      </c>
      <c r="B11" s="35" t="str">
        <f>'A) Base RI'!B13</f>
        <v>Leysin</v>
      </c>
      <c r="C11" s="34">
        <f>'D) Ecrêtage'!M11</f>
        <v>82610.97474358973</v>
      </c>
      <c r="D11" s="34">
        <v>2639215</v>
      </c>
      <c r="E11" s="10">
        <v>761860</v>
      </c>
      <c r="F11" s="44">
        <v>241065</v>
      </c>
      <c r="G11" s="44">
        <f t="shared" si="0"/>
        <v>3642140</v>
      </c>
      <c r="H11" s="10">
        <f t="shared" si="1"/>
        <v>660887.79794871784</v>
      </c>
      <c r="I11" s="34">
        <f t="shared" si="2"/>
        <v>2981252.2020512819</v>
      </c>
      <c r="J11" s="2">
        <f t="shared" si="3"/>
        <v>-2111777.7894799788</v>
      </c>
      <c r="K11" s="15">
        <v>129745</v>
      </c>
      <c r="L11" s="10">
        <f t="shared" si="4"/>
        <v>82610.97474358973</v>
      </c>
      <c r="M11" s="15">
        <f t="shared" si="5"/>
        <v>47134.02525641027</v>
      </c>
      <c r="N11" s="2">
        <f t="shared" si="6"/>
        <v>-33387.509985498167</v>
      </c>
      <c r="O11" s="199">
        <f t="shared" si="7"/>
        <v>-2145165.299465477</v>
      </c>
      <c r="P11" s="419">
        <f t="shared" si="8"/>
        <v>-25.967074061572344</v>
      </c>
      <c r="Q11" s="192"/>
    </row>
    <row r="12" spans="1:17" x14ac:dyDescent="0.25">
      <c r="A12" s="190">
        <f>'A) Base RI'!A14</f>
        <v>5408</v>
      </c>
      <c r="B12" s="35" t="str">
        <f>'A) Base RI'!B14</f>
        <v>Noville</v>
      </c>
      <c r="C12" s="34">
        <f>'D) Ecrêtage'!M12</f>
        <v>33419.560339702759</v>
      </c>
      <c r="D12" s="34">
        <v>342208</v>
      </c>
      <c r="E12" s="10">
        <v>41790</v>
      </c>
      <c r="F12" s="44">
        <v>37453</v>
      </c>
      <c r="G12" s="44">
        <f t="shared" si="0"/>
        <v>421451</v>
      </c>
      <c r="H12" s="10">
        <f t="shared" si="1"/>
        <v>267356.48271762207</v>
      </c>
      <c r="I12" s="34">
        <f t="shared" si="2"/>
        <v>154094.51728237793</v>
      </c>
      <c r="J12" s="2">
        <f t="shared" si="3"/>
        <v>-109153.25407681389</v>
      </c>
      <c r="K12" s="15">
        <v>31263</v>
      </c>
      <c r="L12" s="10">
        <f t="shared" si="4"/>
        <v>33419.560339702759</v>
      </c>
      <c r="M12" s="15">
        <f t="shared" si="5"/>
        <v>0</v>
      </c>
      <c r="N12" s="2">
        <f t="shared" si="6"/>
        <v>0</v>
      </c>
      <c r="O12" s="199">
        <f t="shared" si="7"/>
        <v>-109153.25407681389</v>
      </c>
      <c r="P12" s="419">
        <f t="shared" si="8"/>
        <v>-3.2661487155215134</v>
      </c>
      <c r="Q12" s="192"/>
    </row>
    <row r="13" spans="1:17" x14ac:dyDescent="0.25">
      <c r="A13" s="190">
        <f>'A) Base RI'!A15</f>
        <v>5409</v>
      </c>
      <c r="B13" s="35" t="str">
        <f>'A) Base RI'!B15</f>
        <v>Ollon</v>
      </c>
      <c r="C13" s="34">
        <f>'D) Ecrêtage'!M13</f>
        <v>366034.73937782802</v>
      </c>
      <c r="D13" s="34">
        <v>3679586</v>
      </c>
      <c r="E13" s="10">
        <v>753360</v>
      </c>
      <c r="F13" s="44">
        <v>627608</v>
      </c>
      <c r="G13" s="44">
        <f t="shared" si="0"/>
        <v>5060554</v>
      </c>
      <c r="H13" s="10">
        <f t="shared" si="1"/>
        <v>2928277.9150226242</v>
      </c>
      <c r="I13" s="34">
        <f t="shared" si="2"/>
        <v>2132276.0849773758</v>
      </c>
      <c r="J13" s="2">
        <f t="shared" si="3"/>
        <v>-1510403.3379652628</v>
      </c>
      <c r="K13" s="15">
        <v>481510</v>
      </c>
      <c r="L13" s="10">
        <f t="shared" si="4"/>
        <v>366034.73937782802</v>
      </c>
      <c r="M13" s="15">
        <f t="shared" si="5"/>
        <v>115475.26062217198</v>
      </c>
      <c r="N13" s="2">
        <f t="shared" si="6"/>
        <v>-81797.202681653594</v>
      </c>
      <c r="O13" s="199">
        <f t="shared" si="7"/>
        <v>-1592200.5406469165</v>
      </c>
      <c r="P13" s="419">
        <f t="shared" si="8"/>
        <v>-4.3498618282878798</v>
      </c>
      <c r="Q13" s="192"/>
    </row>
    <row r="14" spans="1:17" x14ac:dyDescent="0.25">
      <c r="A14" s="190">
        <f>'A) Base RI'!A16</f>
        <v>5410</v>
      </c>
      <c r="B14" s="35" t="str">
        <f>'A) Base RI'!B16</f>
        <v>Ormont-Dessous</v>
      </c>
      <c r="C14" s="34">
        <f>'D) Ecrêtage'!M14</f>
        <v>36452.210276008496</v>
      </c>
      <c r="D14" s="34">
        <v>1215577</v>
      </c>
      <c r="E14" s="10">
        <v>90890</v>
      </c>
      <c r="F14" s="44">
        <v>67638</v>
      </c>
      <c r="G14" s="44">
        <f t="shared" si="0"/>
        <v>1374105</v>
      </c>
      <c r="H14" s="10">
        <f t="shared" si="1"/>
        <v>291617.68220806797</v>
      </c>
      <c r="I14" s="34">
        <f t="shared" si="2"/>
        <v>1082487.317791932</v>
      </c>
      <c r="J14" s="2">
        <f t="shared" si="3"/>
        <v>-766782.72087610373</v>
      </c>
      <c r="K14" s="15">
        <v>60635</v>
      </c>
      <c r="L14" s="10">
        <f t="shared" si="4"/>
        <v>36452.210276008496</v>
      </c>
      <c r="M14" s="15">
        <f t="shared" si="5"/>
        <v>24182.789723991504</v>
      </c>
      <c r="N14" s="2">
        <f t="shared" si="6"/>
        <v>-17129.942308017948</v>
      </c>
      <c r="O14" s="199">
        <f t="shared" si="7"/>
        <v>-783912.66318412172</v>
      </c>
      <c r="P14" s="419">
        <f t="shared" si="8"/>
        <v>-21.505216206328761</v>
      </c>
      <c r="Q14" s="192"/>
    </row>
    <row r="15" spans="1:17" x14ac:dyDescent="0.25">
      <c r="A15" s="190">
        <f>'A) Base RI'!A17</f>
        <v>5411</v>
      </c>
      <c r="B15" s="35" t="str">
        <f>'A) Base RI'!B17</f>
        <v>Ormont-Dessus</v>
      </c>
      <c r="C15" s="34">
        <f>'D) Ecrêtage'!M15</f>
        <v>74047.924868421047</v>
      </c>
      <c r="D15" s="34">
        <v>1526061</v>
      </c>
      <c r="E15" s="10">
        <v>181873</v>
      </c>
      <c r="F15" s="44">
        <v>72470</v>
      </c>
      <c r="G15" s="44">
        <f t="shared" si="0"/>
        <v>1780404</v>
      </c>
      <c r="H15" s="10">
        <f t="shared" si="1"/>
        <v>592383.39894736838</v>
      </c>
      <c r="I15" s="34">
        <f t="shared" si="2"/>
        <v>1188020.6010526316</v>
      </c>
      <c r="J15" s="2">
        <f t="shared" si="3"/>
        <v>-841537.49790821841</v>
      </c>
      <c r="K15" s="15">
        <v>144147</v>
      </c>
      <c r="L15" s="10">
        <f t="shared" si="4"/>
        <v>74047.924868421047</v>
      </c>
      <c r="M15" s="15">
        <f t="shared" si="5"/>
        <v>70099.075131578953</v>
      </c>
      <c r="N15" s="2">
        <f t="shared" si="6"/>
        <v>-49654.863088772108</v>
      </c>
      <c r="O15" s="199">
        <f t="shared" si="7"/>
        <v>-891192.36099699046</v>
      </c>
      <c r="P15" s="419">
        <f t="shared" si="8"/>
        <v>-12.03534552224912</v>
      </c>
      <c r="Q15" s="192"/>
    </row>
    <row r="16" spans="1:17" x14ac:dyDescent="0.25">
      <c r="A16" s="190">
        <f>'A) Base RI'!A18</f>
        <v>5412</v>
      </c>
      <c r="B16" s="35" t="str">
        <f>'A) Base RI'!B18</f>
        <v>Rennaz</v>
      </c>
      <c r="C16" s="34">
        <f>'D) Ecrêtage'!M16</f>
        <v>26224.228148148151</v>
      </c>
      <c r="D16" s="34">
        <v>247098</v>
      </c>
      <c r="E16" s="10">
        <v>34236</v>
      </c>
      <c r="F16" s="44">
        <v>30996</v>
      </c>
      <c r="G16" s="44">
        <f t="shared" si="0"/>
        <v>312330</v>
      </c>
      <c r="H16" s="10">
        <f t="shared" si="1"/>
        <v>209793.82518518521</v>
      </c>
      <c r="I16" s="34">
        <f t="shared" si="2"/>
        <v>102536.17481481479</v>
      </c>
      <c r="J16" s="2">
        <f t="shared" si="3"/>
        <v>-72631.767430871507</v>
      </c>
      <c r="K16" s="15">
        <v>60447</v>
      </c>
      <c r="L16" s="10">
        <f t="shared" si="4"/>
        <v>26224.228148148151</v>
      </c>
      <c r="M16" s="15">
        <f t="shared" si="5"/>
        <v>34222.771851851852</v>
      </c>
      <c r="N16" s="2">
        <f t="shared" si="6"/>
        <v>-24241.789889984684</v>
      </c>
      <c r="O16" s="199">
        <f t="shared" si="7"/>
        <v>-96873.557320856198</v>
      </c>
      <c r="P16" s="419">
        <f t="shared" si="8"/>
        <v>-3.6940479915591724</v>
      </c>
      <c r="Q16" s="192"/>
    </row>
    <row r="17" spans="1:17" x14ac:dyDescent="0.25">
      <c r="A17" s="190">
        <f>'A) Base RI'!A19</f>
        <v>5413</v>
      </c>
      <c r="B17" s="35" t="str">
        <f>'A) Base RI'!B19</f>
        <v>Roche</v>
      </c>
      <c r="C17" s="34">
        <f>'D) Ecrêtage'!M17</f>
        <v>38924.228382352943</v>
      </c>
      <c r="D17" s="34">
        <v>155394</v>
      </c>
      <c r="E17" s="10">
        <v>91804</v>
      </c>
      <c r="F17" s="44">
        <v>58448</v>
      </c>
      <c r="G17" s="44">
        <f t="shared" si="0"/>
        <v>305646</v>
      </c>
      <c r="H17" s="10">
        <f t="shared" si="1"/>
        <v>311393.82705882355</v>
      </c>
      <c r="I17" s="34">
        <f t="shared" si="2"/>
        <v>0</v>
      </c>
      <c r="J17" s="2">
        <f t="shared" si="3"/>
        <v>0</v>
      </c>
      <c r="K17" s="15">
        <v>15563</v>
      </c>
      <c r="L17" s="10">
        <f t="shared" si="4"/>
        <v>38924.228382352943</v>
      </c>
      <c r="M17" s="15">
        <f t="shared" si="5"/>
        <v>0</v>
      </c>
      <c r="N17" s="2">
        <f t="shared" si="6"/>
        <v>0</v>
      </c>
      <c r="O17" s="199">
        <f t="shared" si="7"/>
        <v>0</v>
      </c>
      <c r="P17" s="419">
        <f t="shared" si="8"/>
        <v>0</v>
      </c>
      <c r="Q17" s="192"/>
    </row>
    <row r="18" spans="1:17" x14ac:dyDescent="0.25">
      <c r="A18" s="190">
        <f>'A) Base RI'!A20</f>
        <v>5414</v>
      </c>
      <c r="B18" s="35" t="str">
        <f>'A) Base RI'!B20</f>
        <v>Villeneuve</v>
      </c>
      <c r="C18" s="34">
        <f>'D) Ecrêtage'!M18</f>
        <v>159863.47130434786</v>
      </c>
      <c r="D18" s="34">
        <v>2021944</v>
      </c>
      <c r="E18" s="10">
        <v>936512</v>
      </c>
      <c r="F18" s="44">
        <v>190908</v>
      </c>
      <c r="G18" s="44">
        <f t="shared" si="0"/>
        <v>3149364</v>
      </c>
      <c r="H18" s="10">
        <f t="shared" si="1"/>
        <v>1278907.7704347828</v>
      </c>
      <c r="I18" s="34">
        <f t="shared" si="2"/>
        <v>1870456.2295652172</v>
      </c>
      <c r="J18" s="2">
        <f t="shared" si="3"/>
        <v>-1324942.5590604041</v>
      </c>
      <c r="K18" s="15">
        <v>381518</v>
      </c>
      <c r="L18" s="10">
        <f t="shared" si="4"/>
        <v>159863.47130434786</v>
      </c>
      <c r="M18" s="15">
        <f t="shared" si="5"/>
        <v>221654.52869565214</v>
      </c>
      <c r="N18" s="2">
        <f t="shared" si="6"/>
        <v>-157009.56474432454</v>
      </c>
      <c r="O18" s="199">
        <f t="shared" si="7"/>
        <v>-1481952.1238047285</v>
      </c>
      <c r="P18" s="419">
        <f t="shared" si="8"/>
        <v>-9.2701109998005116</v>
      </c>
      <c r="Q18" s="192"/>
    </row>
    <row r="19" spans="1:17" x14ac:dyDescent="0.25">
      <c r="A19" s="190">
        <f>'A) Base RI'!A21</f>
        <v>5415</v>
      </c>
      <c r="B19" s="35" t="str">
        <f>'A) Base RI'!B21</f>
        <v>Yvorne</v>
      </c>
      <c r="C19" s="34">
        <f>'D) Ecrêtage'!M19</f>
        <v>35726.744476885644</v>
      </c>
      <c r="D19" s="34">
        <v>184239</v>
      </c>
      <c r="E19" s="10">
        <v>41912</v>
      </c>
      <c r="F19" s="44">
        <v>170198</v>
      </c>
      <c r="G19" s="44">
        <f t="shared" si="0"/>
        <v>396349</v>
      </c>
      <c r="H19" s="10">
        <f t="shared" si="1"/>
        <v>285813.95581508515</v>
      </c>
      <c r="I19" s="34">
        <f t="shared" si="2"/>
        <v>110535.04418491485</v>
      </c>
      <c r="J19" s="2">
        <f t="shared" si="3"/>
        <v>-78297.787455982572</v>
      </c>
      <c r="K19" s="15">
        <v>48825</v>
      </c>
      <c r="L19" s="10">
        <f t="shared" si="4"/>
        <v>35726.744476885644</v>
      </c>
      <c r="M19" s="15">
        <f t="shared" si="5"/>
        <v>13098.255523114356</v>
      </c>
      <c r="N19" s="2">
        <f t="shared" si="6"/>
        <v>-9278.1835349636603</v>
      </c>
      <c r="O19" s="199">
        <f t="shared" si="7"/>
        <v>-87575.970990946225</v>
      </c>
      <c r="P19" s="419">
        <f t="shared" si="8"/>
        <v>-2.4512720728754283</v>
      </c>
      <c r="Q19" s="192"/>
    </row>
    <row r="20" spans="1:17" x14ac:dyDescent="0.25">
      <c r="A20" s="190">
        <f>'A) Base RI'!A22</f>
        <v>5421</v>
      </c>
      <c r="B20" s="35" t="str">
        <f>'A) Base RI'!B22</f>
        <v>Apples</v>
      </c>
      <c r="C20" s="34">
        <f>'D) Ecrêtage'!M20</f>
        <v>59005.563421052633</v>
      </c>
      <c r="D20" s="34">
        <v>517697</v>
      </c>
      <c r="E20" s="10">
        <v>120374</v>
      </c>
      <c r="F20" s="44">
        <v>183603</v>
      </c>
      <c r="G20" s="44">
        <f t="shared" si="0"/>
        <v>821674</v>
      </c>
      <c r="H20" s="10">
        <f t="shared" si="1"/>
        <v>472044.50736842107</v>
      </c>
      <c r="I20" s="34">
        <f t="shared" si="2"/>
        <v>349629.49263157893</v>
      </c>
      <c r="J20" s="2">
        <f t="shared" si="3"/>
        <v>-247660.96493899438</v>
      </c>
      <c r="K20" s="15">
        <v>82647</v>
      </c>
      <c r="L20" s="10">
        <f t="shared" si="4"/>
        <v>59005.563421052633</v>
      </c>
      <c r="M20" s="15">
        <f t="shared" si="5"/>
        <v>23641.436578947367</v>
      </c>
      <c r="N20" s="2">
        <f t="shared" si="6"/>
        <v>-16746.473392780674</v>
      </c>
      <c r="O20" s="199">
        <f t="shared" si="7"/>
        <v>-264407.43833177508</v>
      </c>
      <c r="P20" s="419">
        <f t="shared" si="8"/>
        <v>-4.4810594629020519</v>
      </c>
      <c r="Q20" s="192"/>
    </row>
    <row r="21" spans="1:17" x14ac:dyDescent="0.25">
      <c r="A21" s="190">
        <f>'A) Base RI'!A23</f>
        <v>5422</v>
      </c>
      <c r="B21" s="35" t="str">
        <f>'A) Base RI'!B23</f>
        <v>Aubonne</v>
      </c>
      <c r="C21" s="34">
        <f>'D) Ecrêtage'!M21</f>
        <v>206220.17598069846</v>
      </c>
      <c r="D21" s="34">
        <v>1195072</v>
      </c>
      <c r="E21" s="10">
        <v>119112</v>
      </c>
      <c r="F21" s="44">
        <v>372929</v>
      </c>
      <c r="G21" s="44">
        <f t="shared" si="0"/>
        <v>1687113</v>
      </c>
      <c r="H21" s="10">
        <f t="shared" si="1"/>
        <v>1649761.4078455877</v>
      </c>
      <c r="I21" s="34">
        <f t="shared" si="2"/>
        <v>37351.592154412298</v>
      </c>
      <c r="J21" s="2">
        <f t="shared" si="3"/>
        <v>-26458.097929161948</v>
      </c>
      <c r="K21" s="15">
        <v>162243</v>
      </c>
      <c r="L21" s="10">
        <f t="shared" si="4"/>
        <v>206220.17598069846</v>
      </c>
      <c r="M21" s="15">
        <f t="shared" si="5"/>
        <v>0</v>
      </c>
      <c r="N21" s="2">
        <f t="shared" si="6"/>
        <v>0</v>
      </c>
      <c r="O21" s="199">
        <f t="shared" si="7"/>
        <v>-26458.097929161948</v>
      </c>
      <c r="P21" s="419">
        <f t="shared" si="8"/>
        <v>-0.12830023931139667</v>
      </c>
      <c r="Q21" s="192"/>
    </row>
    <row r="22" spans="1:17" x14ac:dyDescent="0.25">
      <c r="A22" s="190">
        <f>'A) Base RI'!A24</f>
        <v>5423</v>
      </c>
      <c r="B22" s="35" t="str">
        <f>'A) Base RI'!B24</f>
        <v>Ballens</v>
      </c>
      <c r="C22" s="34">
        <f>'D) Ecrêtage'!M22</f>
        <v>15358.055362318841</v>
      </c>
      <c r="D22" s="34">
        <v>87581</v>
      </c>
      <c r="E22" s="10">
        <v>44953</v>
      </c>
      <c r="F22" s="44">
        <v>70872</v>
      </c>
      <c r="G22" s="44">
        <f t="shared" si="0"/>
        <v>203406</v>
      </c>
      <c r="H22" s="10">
        <f t="shared" si="1"/>
        <v>122864.44289855073</v>
      </c>
      <c r="I22" s="34">
        <f t="shared" si="2"/>
        <v>80541.557101449274</v>
      </c>
      <c r="J22" s="2">
        <f t="shared" si="3"/>
        <v>-57051.822485848286</v>
      </c>
      <c r="K22" s="15">
        <v>-41478</v>
      </c>
      <c r="L22" s="10">
        <f t="shared" si="4"/>
        <v>15358.055362318841</v>
      </c>
      <c r="M22" s="15">
        <f t="shared" si="5"/>
        <v>0</v>
      </c>
      <c r="N22" s="2">
        <f t="shared" si="6"/>
        <v>0</v>
      </c>
      <c r="O22" s="199">
        <f t="shared" si="7"/>
        <v>-57051.822485848286</v>
      </c>
      <c r="P22" s="419">
        <f t="shared" si="8"/>
        <v>-3.7147816660321178</v>
      </c>
      <c r="Q22" s="192"/>
    </row>
    <row r="23" spans="1:17" x14ac:dyDescent="0.25">
      <c r="A23" s="190">
        <f>'A) Base RI'!A25</f>
        <v>5424</v>
      </c>
      <c r="B23" s="35" t="str">
        <f>'A) Base RI'!B25</f>
        <v>Berolle</v>
      </c>
      <c r="C23" s="34">
        <f>'D) Ecrêtage'!M23</f>
        <v>9058.2428571428572</v>
      </c>
      <c r="D23" s="34">
        <v>62315</v>
      </c>
      <c r="E23" s="10">
        <v>10526</v>
      </c>
      <c r="F23" s="44">
        <v>37378</v>
      </c>
      <c r="G23" s="44">
        <f t="shared" si="0"/>
        <v>110219</v>
      </c>
      <c r="H23" s="10">
        <f t="shared" si="1"/>
        <v>72465.942857142858</v>
      </c>
      <c r="I23" s="34">
        <f t="shared" si="2"/>
        <v>37753.057142857142</v>
      </c>
      <c r="J23" s="2">
        <f t="shared" si="3"/>
        <v>-26742.476703043714</v>
      </c>
      <c r="K23" s="15">
        <v>-16050</v>
      </c>
      <c r="L23" s="10">
        <f t="shared" si="4"/>
        <v>9058.2428571428572</v>
      </c>
      <c r="M23" s="15">
        <f t="shared" si="5"/>
        <v>0</v>
      </c>
      <c r="N23" s="2">
        <f t="shared" si="6"/>
        <v>0</v>
      </c>
      <c r="O23" s="199">
        <f t="shared" si="7"/>
        <v>-26742.476703043714</v>
      </c>
      <c r="P23" s="419">
        <f t="shared" si="8"/>
        <v>-2.9522808258508983</v>
      </c>
      <c r="Q23" s="192"/>
    </row>
    <row r="24" spans="1:17" x14ac:dyDescent="0.25">
      <c r="A24" s="190">
        <f>'A) Base RI'!A26</f>
        <v>5425</v>
      </c>
      <c r="B24" s="35" t="str">
        <f>'A) Base RI'!B26</f>
        <v>Bière</v>
      </c>
      <c r="C24" s="34">
        <f>'D) Ecrêtage'!M24</f>
        <v>39413.041470588236</v>
      </c>
      <c r="D24" s="34">
        <v>515412</v>
      </c>
      <c r="E24" s="10">
        <v>118390</v>
      </c>
      <c r="F24" s="44">
        <v>195317</v>
      </c>
      <c r="G24" s="44">
        <f t="shared" si="0"/>
        <v>829119</v>
      </c>
      <c r="H24" s="10">
        <f t="shared" si="1"/>
        <v>315304.33176470589</v>
      </c>
      <c r="I24" s="34">
        <f t="shared" si="2"/>
        <v>513814.66823529411</v>
      </c>
      <c r="J24" s="2">
        <f t="shared" si="3"/>
        <v>-363961.96321187774</v>
      </c>
      <c r="K24" s="15">
        <v>191343</v>
      </c>
      <c r="L24" s="10">
        <f t="shared" si="4"/>
        <v>39413.041470588236</v>
      </c>
      <c r="M24" s="15">
        <f t="shared" si="5"/>
        <v>151929.95852941176</v>
      </c>
      <c r="N24" s="2">
        <f t="shared" si="6"/>
        <v>-107619.98322660092</v>
      </c>
      <c r="O24" s="199">
        <f t="shared" si="7"/>
        <v>-471581.94643847866</v>
      </c>
      <c r="P24" s="419">
        <f t="shared" si="8"/>
        <v>-11.965124457354911</v>
      </c>
      <c r="Q24" s="192"/>
    </row>
    <row r="25" spans="1:17" x14ac:dyDescent="0.25">
      <c r="A25" s="190">
        <f>'A) Base RI'!A27</f>
        <v>5426</v>
      </c>
      <c r="B25" s="35" t="str">
        <f>'A) Base RI'!B27</f>
        <v>Bougy-Villars</v>
      </c>
      <c r="C25" s="34">
        <f>'D) Ecrêtage'!M25</f>
        <v>35690.328405985179</v>
      </c>
      <c r="D25" s="34">
        <v>48052</v>
      </c>
      <c r="E25" s="10">
        <v>12965</v>
      </c>
      <c r="F25" s="44">
        <v>48582</v>
      </c>
      <c r="G25" s="44">
        <f t="shared" si="0"/>
        <v>109599</v>
      </c>
      <c r="H25" s="10">
        <f t="shared" si="1"/>
        <v>285522.62724788144</v>
      </c>
      <c r="I25" s="34">
        <f t="shared" si="2"/>
        <v>0</v>
      </c>
      <c r="J25" s="2">
        <f t="shared" si="3"/>
        <v>0</v>
      </c>
      <c r="K25" s="15">
        <v>5084</v>
      </c>
      <c r="L25" s="10">
        <f t="shared" si="4"/>
        <v>35690.328405985179</v>
      </c>
      <c r="M25" s="15">
        <f t="shared" si="5"/>
        <v>0</v>
      </c>
      <c r="N25" s="2">
        <f t="shared" si="6"/>
        <v>0</v>
      </c>
      <c r="O25" s="199">
        <f t="shared" si="7"/>
        <v>0</v>
      </c>
      <c r="P25" s="419">
        <f t="shared" si="8"/>
        <v>0</v>
      </c>
      <c r="Q25" s="192"/>
    </row>
    <row r="26" spans="1:17" x14ac:dyDescent="0.25">
      <c r="A26" s="190">
        <f>'A) Base RI'!A28</f>
        <v>5427</v>
      </c>
      <c r="B26" s="35" t="str">
        <f>'A) Base RI'!B28</f>
        <v>Féchy</v>
      </c>
      <c r="C26" s="34">
        <f>'D) Ecrêtage'!M26</f>
        <v>61273.790417776101</v>
      </c>
      <c r="D26" s="34">
        <v>124157</v>
      </c>
      <c r="E26" s="10">
        <v>32592</v>
      </c>
      <c r="F26" s="44">
        <v>95833</v>
      </c>
      <c r="G26" s="44">
        <f t="shared" si="0"/>
        <v>252582</v>
      </c>
      <c r="H26" s="10">
        <f t="shared" si="1"/>
        <v>490190.32334220881</v>
      </c>
      <c r="I26" s="34">
        <f t="shared" si="2"/>
        <v>0</v>
      </c>
      <c r="J26" s="2">
        <f t="shared" si="3"/>
        <v>0</v>
      </c>
      <c r="K26" s="15">
        <v>3526</v>
      </c>
      <c r="L26" s="10">
        <f t="shared" si="4"/>
        <v>61273.790417776101</v>
      </c>
      <c r="M26" s="15">
        <f t="shared" si="5"/>
        <v>0</v>
      </c>
      <c r="N26" s="2">
        <f t="shared" si="6"/>
        <v>0</v>
      </c>
      <c r="O26" s="199">
        <f t="shared" si="7"/>
        <v>0</v>
      </c>
      <c r="P26" s="419">
        <f t="shared" si="8"/>
        <v>0</v>
      </c>
      <c r="Q26" s="192"/>
    </row>
    <row r="27" spans="1:17" x14ac:dyDescent="0.25">
      <c r="A27" s="190">
        <f>'A) Base RI'!A29</f>
        <v>5428</v>
      </c>
      <c r="B27" s="35" t="str">
        <f>'A) Base RI'!B29</f>
        <v>Gimel</v>
      </c>
      <c r="C27" s="34">
        <f>'D) Ecrêtage'!M27</f>
        <v>58004.622727272719</v>
      </c>
      <c r="D27" s="34">
        <v>543192</v>
      </c>
      <c r="E27" s="10">
        <v>83414</v>
      </c>
      <c r="F27" s="44">
        <v>242801</v>
      </c>
      <c r="G27" s="44">
        <f t="shared" si="0"/>
        <v>869407</v>
      </c>
      <c r="H27" s="10">
        <f t="shared" si="1"/>
        <v>464036.98181818175</v>
      </c>
      <c r="I27" s="34">
        <f t="shared" si="2"/>
        <v>405370.01818181825</v>
      </c>
      <c r="J27" s="2">
        <f t="shared" si="3"/>
        <v>-287144.91190260381</v>
      </c>
      <c r="K27" s="15">
        <v>50014</v>
      </c>
      <c r="L27" s="10">
        <f t="shared" si="4"/>
        <v>58004.622727272719</v>
      </c>
      <c r="M27" s="15">
        <f t="shared" si="5"/>
        <v>0</v>
      </c>
      <c r="N27" s="2">
        <f t="shared" si="6"/>
        <v>0</v>
      </c>
      <c r="O27" s="199">
        <f t="shared" si="7"/>
        <v>-287144.91190260381</v>
      </c>
      <c r="P27" s="419">
        <f t="shared" si="8"/>
        <v>-4.9503797870164146</v>
      </c>
      <c r="Q27" s="192"/>
    </row>
    <row r="28" spans="1:17" x14ac:dyDescent="0.25">
      <c r="A28" s="190">
        <f>'A) Base RI'!A30</f>
        <v>5429</v>
      </c>
      <c r="B28" s="35" t="str">
        <f>'A) Base RI'!B30</f>
        <v>Longirod</v>
      </c>
      <c r="C28" s="34">
        <f>'D) Ecrêtage'!M28</f>
        <v>12171.349506172839</v>
      </c>
      <c r="D28" s="34">
        <v>183995</v>
      </c>
      <c r="E28" s="10">
        <v>16959</v>
      </c>
      <c r="F28" s="44">
        <v>45711</v>
      </c>
      <c r="G28" s="44">
        <f t="shared" si="0"/>
        <v>246665</v>
      </c>
      <c r="H28" s="10">
        <f t="shared" si="1"/>
        <v>97370.796049382712</v>
      </c>
      <c r="I28" s="34">
        <f t="shared" si="2"/>
        <v>149294.20395061729</v>
      </c>
      <c r="J28" s="2">
        <f t="shared" si="3"/>
        <v>-105752.93958158877</v>
      </c>
      <c r="K28" s="15">
        <v>-8972</v>
      </c>
      <c r="L28" s="10">
        <f t="shared" si="4"/>
        <v>12171.349506172839</v>
      </c>
      <c r="M28" s="15">
        <f t="shared" si="5"/>
        <v>0</v>
      </c>
      <c r="N28" s="2">
        <f t="shared" si="6"/>
        <v>0</v>
      </c>
      <c r="O28" s="199">
        <f t="shared" si="7"/>
        <v>-105752.93958158877</v>
      </c>
      <c r="P28" s="419">
        <f t="shared" si="8"/>
        <v>-8.6886782380174825</v>
      </c>
      <c r="Q28" s="192"/>
    </row>
    <row r="29" spans="1:17" x14ac:dyDescent="0.25">
      <c r="A29" s="190">
        <f>'A) Base RI'!A31</f>
        <v>5430</v>
      </c>
      <c r="B29" s="35" t="str">
        <f>'A) Base RI'!B31</f>
        <v>Marchissy</v>
      </c>
      <c r="C29" s="34">
        <f>'D) Ecrêtage'!M29</f>
        <v>10573.165189873416</v>
      </c>
      <c r="D29" s="34">
        <v>137338</v>
      </c>
      <c r="E29" s="10">
        <v>16410</v>
      </c>
      <c r="F29" s="44">
        <v>46621</v>
      </c>
      <c r="G29" s="44">
        <f t="shared" si="0"/>
        <v>200369</v>
      </c>
      <c r="H29" s="10">
        <f t="shared" si="1"/>
        <v>84585.32151898733</v>
      </c>
      <c r="I29" s="34">
        <f t="shared" si="2"/>
        <v>115783.67848101267</v>
      </c>
      <c r="J29" s="2">
        <f t="shared" si="3"/>
        <v>-82015.671278081165</v>
      </c>
      <c r="K29" s="15">
        <v>75471</v>
      </c>
      <c r="L29" s="10">
        <f t="shared" si="4"/>
        <v>10573.165189873416</v>
      </c>
      <c r="M29" s="15">
        <f t="shared" si="5"/>
        <v>64897.834810126587</v>
      </c>
      <c r="N29" s="2">
        <f t="shared" si="6"/>
        <v>-45970.550912488179</v>
      </c>
      <c r="O29" s="199">
        <f t="shared" si="7"/>
        <v>-127986.22219056934</v>
      </c>
      <c r="P29" s="419">
        <f t="shared" si="8"/>
        <v>-12.10481628653166</v>
      </c>
      <c r="Q29" s="192"/>
    </row>
    <row r="30" spans="1:17" x14ac:dyDescent="0.25">
      <c r="A30" s="190">
        <f>'A) Base RI'!A32</f>
        <v>5431</v>
      </c>
      <c r="B30" s="35" t="str">
        <f>'A) Base RI'!B32</f>
        <v>Mollens</v>
      </c>
      <c r="C30" s="34">
        <f>'D) Ecrêtage'!M30</f>
        <v>11206.031081081082</v>
      </c>
      <c r="D30" s="34">
        <v>28338</v>
      </c>
      <c r="E30" s="10">
        <v>10386</v>
      </c>
      <c r="F30" s="44">
        <v>32428</v>
      </c>
      <c r="G30" s="44">
        <f t="shared" si="0"/>
        <v>71152</v>
      </c>
      <c r="H30" s="10">
        <f t="shared" si="1"/>
        <v>89648.24864864866</v>
      </c>
      <c r="I30" s="34">
        <f t="shared" si="2"/>
        <v>0</v>
      </c>
      <c r="J30" s="2">
        <f t="shared" si="3"/>
        <v>0</v>
      </c>
      <c r="K30" s="15">
        <v>35801</v>
      </c>
      <c r="L30" s="10">
        <f t="shared" si="4"/>
        <v>11206.031081081082</v>
      </c>
      <c r="M30" s="15">
        <f t="shared" si="5"/>
        <v>24594.968918918916</v>
      </c>
      <c r="N30" s="2">
        <f t="shared" si="6"/>
        <v>-17421.910518065572</v>
      </c>
      <c r="O30" s="199">
        <f t="shared" si="7"/>
        <v>-17421.910518065572</v>
      </c>
      <c r="P30" s="419">
        <f t="shared" si="8"/>
        <v>-1.5546905404785674</v>
      </c>
      <c r="Q30" s="192"/>
    </row>
    <row r="31" spans="1:17" x14ac:dyDescent="0.25">
      <c r="A31" s="190">
        <f>'A) Base RI'!A33</f>
        <v>5432</v>
      </c>
      <c r="B31" s="35" t="str">
        <f>'A) Base RI'!B33</f>
        <v>Montherod</v>
      </c>
      <c r="C31" s="34">
        <f>'D) Ecrêtage'!M31</f>
        <v>17725.419230769232</v>
      </c>
      <c r="D31" s="34">
        <v>75342</v>
      </c>
      <c r="E31" s="10">
        <v>19146</v>
      </c>
      <c r="F31" s="44">
        <v>61363</v>
      </c>
      <c r="G31" s="44">
        <f t="shared" si="0"/>
        <v>155851</v>
      </c>
      <c r="H31" s="10">
        <f t="shared" si="1"/>
        <v>141803.35384615386</v>
      </c>
      <c r="I31" s="34">
        <f t="shared" si="2"/>
        <v>14047.646153846144</v>
      </c>
      <c r="J31" s="2">
        <f t="shared" si="3"/>
        <v>-9950.686869683308</v>
      </c>
      <c r="K31" s="15">
        <v>3776</v>
      </c>
      <c r="L31" s="10">
        <f t="shared" si="4"/>
        <v>17725.419230769232</v>
      </c>
      <c r="M31" s="15">
        <f t="shared" si="5"/>
        <v>0</v>
      </c>
      <c r="N31" s="2">
        <f t="shared" si="6"/>
        <v>0</v>
      </c>
      <c r="O31" s="199">
        <f t="shared" si="7"/>
        <v>-9950.686869683308</v>
      </c>
      <c r="P31" s="419">
        <f t="shared" si="8"/>
        <v>-0.56137949349091232</v>
      </c>
      <c r="Q31" s="192"/>
    </row>
    <row r="32" spans="1:17" x14ac:dyDescent="0.25">
      <c r="A32" s="190">
        <f>'A) Base RI'!A34</f>
        <v>5434</v>
      </c>
      <c r="B32" s="35" t="str">
        <f>'A) Base RI'!B34</f>
        <v>Saint-George</v>
      </c>
      <c r="C32" s="34">
        <f>'D) Ecrêtage'!M32</f>
        <v>35895.731094890507</v>
      </c>
      <c r="D32" s="34">
        <v>181763</v>
      </c>
      <c r="E32" s="10">
        <v>42060</v>
      </c>
      <c r="F32" s="44">
        <v>109100</v>
      </c>
      <c r="G32" s="44">
        <f t="shared" si="0"/>
        <v>332923</v>
      </c>
      <c r="H32" s="10">
        <f t="shared" si="1"/>
        <v>287165.84875912406</v>
      </c>
      <c r="I32" s="34">
        <f t="shared" si="2"/>
        <v>45757.151240875944</v>
      </c>
      <c r="J32" s="2">
        <f t="shared" si="3"/>
        <v>-32412.197677831991</v>
      </c>
      <c r="K32" s="15">
        <v>89854</v>
      </c>
      <c r="L32" s="10">
        <f t="shared" si="4"/>
        <v>35895.731094890507</v>
      </c>
      <c r="M32" s="15">
        <f t="shared" si="5"/>
        <v>53958.268905109493</v>
      </c>
      <c r="N32" s="2">
        <f t="shared" si="6"/>
        <v>-38221.480810712819</v>
      </c>
      <c r="O32" s="199">
        <f t="shared" si="7"/>
        <v>-70633.678488544814</v>
      </c>
      <c r="P32" s="419">
        <f t="shared" si="8"/>
        <v>-1.9677459222609064</v>
      </c>
      <c r="Q32" s="192"/>
    </row>
    <row r="33" spans="1:17" x14ac:dyDescent="0.25">
      <c r="A33" s="190">
        <f>'A) Base RI'!A35</f>
        <v>5435</v>
      </c>
      <c r="B33" s="35" t="str">
        <f>'A) Base RI'!B35</f>
        <v>Saint-Livres</v>
      </c>
      <c r="C33" s="34">
        <f>'D) Ecrêtage'!M33</f>
        <v>22398.12956521739</v>
      </c>
      <c r="D33" s="34">
        <v>168891</v>
      </c>
      <c r="E33" s="10">
        <v>43834</v>
      </c>
      <c r="F33" s="44">
        <v>86998</v>
      </c>
      <c r="G33" s="44">
        <f t="shared" si="0"/>
        <v>299723</v>
      </c>
      <c r="H33" s="10">
        <f t="shared" si="1"/>
        <v>179185.03652173912</v>
      </c>
      <c r="I33" s="34">
        <f t="shared" si="2"/>
        <v>120537.96347826088</v>
      </c>
      <c r="J33" s="2">
        <f t="shared" si="3"/>
        <v>-85383.381482249228</v>
      </c>
      <c r="K33" s="15">
        <v>-4124</v>
      </c>
      <c r="L33" s="10">
        <f t="shared" si="4"/>
        <v>22398.12956521739</v>
      </c>
      <c r="M33" s="15">
        <f t="shared" si="5"/>
        <v>0</v>
      </c>
      <c r="N33" s="2">
        <f t="shared" si="6"/>
        <v>0</v>
      </c>
      <c r="O33" s="199">
        <f t="shared" si="7"/>
        <v>-85383.381482249228</v>
      </c>
      <c r="P33" s="419">
        <f t="shared" si="8"/>
        <v>-3.8120764161862515</v>
      </c>
      <c r="Q33" s="192"/>
    </row>
    <row r="34" spans="1:17" x14ac:dyDescent="0.25">
      <c r="A34" s="190">
        <f>'A) Base RI'!A36</f>
        <v>5436</v>
      </c>
      <c r="B34" s="35" t="str">
        <f>'A) Base RI'!B36</f>
        <v>Saint-Oyens</v>
      </c>
      <c r="C34" s="34">
        <f>'D) Ecrêtage'!M34</f>
        <v>10474.604814814815</v>
      </c>
      <c r="D34" s="34">
        <v>60268</v>
      </c>
      <c r="E34" s="10">
        <v>17791</v>
      </c>
      <c r="F34" s="44">
        <v>32504</v>
      </c>
      <c r="G34" s="44">
        <f t="shared" si="0"/>
        <v>110563</v>
      </c>
      <c r="H34" s="10">
        <f t="shared" si="1"/>
        <v>83796.838518518518</v>
      </c>
      <c r="I34" s="34">
        <f t="shared" si="2"/>
        <v>26766.161481481482</v>
      </c>
      <c r="J34" s="2">
        <f t="shared" si="3"/>
        <v>-18959.880444645059</v>
      </c>
      <c r="K34" s="15">
        <v>43358</v>
      </c>
      <c r="L34" s="10">
        <f t="shared" si="4"/>
        <v>10474.604814814815</v>
      </c>
      <c r="M34" s="15">
        <f t="shared" si="5"/>
        <v>32883.395185185189</v>
      </c>
      <c r="N34" s="2">
        <f t="shared" si="6"/>
        <v>-23293.038927396472</v>
      </c>
      <c r="O34" s="199">
        <f t="shared" si="7"/>
        <v>-42252.919372041535</v>
      </c>
      <c r="P34" s="419">
        <f t="shared" si="8"/>
        <v>-4.033843769674335</v>
      </c>
      <c r="Q34" s="192"/>
    </row>
    <row r="35" spans="1:17" x14ac:dyDescent="0.25">
      <c r="A35" s="190">
        <f>'A) Base RI'!A37</f>
        <v>5437</v>
      </c>
      <c r="B35" s="35" t="str">
        <f>'A) Base RI'!B37</f>
        <v>Saubraz</v>
      </c>
      <c r="C35" s="34">
        <f>'D) Ecrêtage'!M35</f>
        <v>10138.793125</v>
      </c>
      <c r="D35" s="34">
        <v>70057</v>
      </c>
      <c r="E35" s="10">
        <v>9548</v>
      </c>
      <c r="F35" s="44">
        <v>60823</v>
      </c>
      <c r="G35" s="44">
        <f t="shared" si="0"/>
        <v>140428</v>
      </c>
      <c r="H35" s="10">
        <f t="shared" si="1"/>
        <v>81110.345000000001</v>
      </c>
      <c r="I35" s="34">
        <f t="shared" si="2"/>
        <v>59317.654999999999</v>
      </c>
      <c r="J35" s="2">
        <f t="shared" si="3"/>
        <v>-42017.815958960338</v>
      </c>
      <c r="K35" s="15">
        <v>16837</v>
      </c>
      <c r="L35" s="10">
        <f t="shared" si="4"/>
        <v>10138.793125</v>
      </c>
      <c r="M35" s="15">
        <f t="shared" si="5"/>
        <v>6698.2068749999999</v>
      </c>
      <c r="N35" s="2">
        <f t="shared" si="6"/>
        <v>-4744.692347140036</v>
      </c>
      <c r="O35" s="199">
        <f t="shared" si="7"/>
        <v>-46762.508306100375</v>
      </c>
      <c r="P35" s="419">
        <f t="shared" si="8"/>
        <v>-4.6122361635720202</v>
      </c>
      <c r="Q35" s="192"/>
    </row>
    <row r="36" spans="1:17" x14ac:dyDescent="0.25">
      <c r="A36" s="190">
        <f>'A) Base RI'!A38</f>
        <v>5451</v>
      </c>
      <c r="B36" s="35" t="str">
        <f>'A) Base RI'!B38</f>
        <v>Avenches</v>
      </c>
      <c r="C36" s="34">
        <f>'D) Ecrêtage'!M36</f>
        <v>109207.82382352941</v>
      </c>
      <c r="D36" s="34">
        <v>2014832</v>
      </c>
      <c r="E36" s="10">
        <v>542618</v>
      </c>
      <c r="F36" s="44">
        <v>547212</v>
      </c>
      <c r="G36" s="44">
        <f t="shared" si="0"/>
        <v>3104662</v>
      </c>
      <c r="H36" s="10">
        <f t="shared" si="1"/>
        <v>873662.5905882353</v>
      </c>
      <c r="I36" s="34">
        <f t="shared" si="2"/>
        <v>2230999.4094117647</v>
      </c>
      <c r="J36" s="2">
        <f t="shared" si="3"/>
        <v>-1580334.2628634383</v>
      </c>
      <c r="K36" s="15">
        <v>133424</v>
      </c>
      <c r="L36" s="10">
        <f t="shared" si="4"/>
        <v>109207.82382352941</v>
      </c>
      <c r="M36" s="15">
        <f t="shared" si="5"/>
        <v>24216.176176470588</v>
      </c>
      <c r="N36" s="2">
        <f t="shared" si="6"/>
        <v>-17153.591688894328</v>
      </c>
      <c r="O36" s="199">
        <f t="shared" si="7"/>
        <v>-1597487.8545523328</v>
      </c>
      <c r="P36" s="419">
        <f t="shared" si="8"/>
        <v>-14.627961611374454</v>
      </c>
      <c r="Q36" s="192"/>
    </row>
    <row r="37" spans="1:17" x14ac:dyDescent="0.25">
      <c r="A37" s="190">
        <f>'A) Base RI'!A39</f>
        <v>5456</v>
      </c>
      <c r="B37" s="35" t="str">
        <f>'A) Base RI'!B39</f>
        <v>Cudrefin</v>
      </c>
      <c r="C37" s="34">
        <f>'D) Ecrêtage'!M37</f>
        <v>51373.818644067804</v>
      </c>
      <c r="D37" s="34">
        <v>520297</v>
      </c>
      <c r="E37" s="10">
        <v>69578</v>
      </c>
      <c r="F37" s="44">
        <v>227272</v>
      </c>
      <c r="G37" s="44">
        <f t="shared" si="0"/>
        <v>817147</v>
      </c>
      <c r="H37" s="10">
        <f t="shared" si="1"/>
        <v>410990.54915254243</v>
      </c>
      <c r="I37" s="34">
        <f t="shared" si="2"/>
        <v>406156.45084745757</v>
      </c>
      <c r="J37" s="2">
        <f t="shared" si="3"/>
        <v>-287701.98353682383</v>
      </c>
      <c r="K37" s="15">
        <v>31195</v>
      </c>
      <c r="L37" s="10">
        <f t="shared" si="4"/>
        <v>51373.818644067804</v>
      </c>
      <c r="M37" s="15">
        <f t="shared" si="5"/>
        <v>0</v>
      </c>
      <c r="N37" s="2">
        <f t="shared" si="6"/>
        <v>0</v>
      </c>
      <c r="O37" s="199">
        <f t="shared" si="7"/>
        <v>-287701.98353682383</v>
      </c>
      <c r="P37" s="419">
        <f t="shared" si="8"/>
        <v>-5.6001673835091701</v>
      </c>
      <c r="Q37" s="192"/>
    </row>
    <row r="38" spans="1:17" x14ac:dyDescent="0.25">
      <c r="A38" s="190">
        <f>'A) Base RI'!A40</f>
        <v>5458</v>
      </c>
      <c r="B38" s="35" t="str">
        <f>'A) Base RI'!B40</f>
        <v>Faoug</v>
      </c>
      <c r="C38" s="34">
        <f>'D) Ecrêtage'!M38</f>
        <v>31692.092968750003</v>
      </c>
      <c r="D38" s="34">
        <v>192887</v>
      </c>
      <c r="E38" s="10">
        <v>52198</v>
      </c>
      <c r="F38" s="44">
        <v>111446</v>
      </c>
      <c r="G38" s="44">
        <f t="shared" si="0"/>
        <v>356531</v>
      </c>
      <c r="H38" s="10">
        <f t="shared" si="1"/>
        <v>253536.74375000002</v>
      </c>
      <c r="I38" s="34">
        <f t="shared" si="2"/>
        <v>102994.25624999998</v>
      </c>
      <c r="J38" s="2">
        <f t="shared" si="3"/>
        <v>-72956.25061278131</v>
      </c>
      <c r="K38" s="15">
        <v>27107</v>
      </c>
      <c r="L38" s="10">
        <f t="shared" si="4"/>
        <v>31692.092968750003</v>
      </c>
      <c r="M38" s="15">
        <f t="shared" si="5"/>
        <v>0</v>
      </c>
      <c r="N38" s="2">
        <f t="shared" si="6"/>
        <v>0</v>
      </c>
      <c r="O38" s="199">
        <f t="shared" si="7"/>
        <v>-72956.25061278131</v>
      </c>
      <c r="P38" s="419">
        <f t="shared" si="8"/>
        <v>-2.3020332132913985</v>
      </c>
      <c r="Q38" s="192"/>
    </row>
    <row r="39" spans="1:17" x14ac:dyDescent="0.25">
      <c r="A39" s="190">
        <f>'A) Base RI'!A41</f>
        <v>5464</v>
      </c>
      <c r="B39" s="35" t="str">
        <f>'A) Base RI'!B41</f>
        <v>Vully-les-Lacs</v>
      </c>
      <c r="C39" s="34">
        <f>'D) Ecrêtage'!M39</f>
        <v>96310.385124378095</v>
      </c>
      <c r="D39" s="6">
        <v>1017038</v>
      </c>
      <c r="E39" s="10">
        <v>129655</v>
      </c>
      <c r="F39" s="6">
        <v>356109</v>
      </c>
      <c r="G39" s="44">
        <f t="shared" si="0"/>
        <v>1502802</v>
      </c>
      <c r="H39" s="10">
        <f t="shared" si="1"/>
        <v>770483.08099502476</v>
      </c>
      <c r="I39" s="34">
        <f t="shared" si="2"/>
        <v>732318.91900497524</v>
      </c>
      <c r="J39" s="2">
        <f t="shared" si="3"/>
        <v>-518740.02035339788</v>
      </c>
      <c r="K39" s="15">
        <v>50349</v>
      </c>
      <c r="L39" s="10">
        <f t="shared" si="4"/>
        <v>96310.385124378095</v>
      </c>
      <c r="M39" s="15">
        <f t="shared" si="5"/>
        <v>0</v>
      </c>
      <c r="N39" s="2">
        <f t="shared" si="6"/>
        <v>0</v>
      </c>
      <c r="O39" s="199">
        <f t="shared" si="7"/>
        <v>-518740.02035339788</v>
      </c>
      <c r="P39" s="419">
        <f t="shared" si="8"/>
        <v>-5.3861275674838343</v>
      </c>
      <c r="Q39" s="192"/>
    </row>
    <row r="40" spans="1:17" x14ac:dyDescent="0.25">
      <c r="A40" s="190">
        <f>'A) Base RI'!A42</f>
        <v>5471</v>
      </c>
      <c r="B40" s="35" t="str">
        <f>'A) Base RI'!B42</f>
        <v>Bettens</v>
      </c>
      <c r="C40" s="34">
        <f>'D) Ecrêtage'!M40</f>
        <v>16449.086587301586</v>
      </c>
      <c r="D40" s="34">
        <v>94117</v>
      </c>
      <c r="E40" s="10">
        <v>17731</v>
      </c>
      <c r="F40" s="44">
        <v>56730</v>
      </c>
      <c r="G40" s="44">
        <f t="shared" si="0"/>
        <v>168578</v>
      </c>
      <c r="H40" s="10">
        <f t="shared" si="1"/>
        <v>131592.69269841269</v>
      </c>
      <c r="I40" s="34">
        <f t="shared" si="2"/>
        <v>36985.307301587309</v>
      </c>
      <c r="J40" s="2">
        <f t="shared" si="3"/>
        <v>-26198.639096297513</v>
      </c>
      <c r="K40" s="15">
        <v>411</v>
      </c>
      <c r="L40" s="10">
        <f t="shared" si="4"/>
        <v>16449.086587301586</v>
      </c>
      <c r="M40" s="15">
        <f t="shared" si="5"/>
        <v>0</v>
      </c>
      <c r="N40" s="2">
        <f t="shared" si="6"/>
        <v>0</v>
      </c>
      <c r="O40" s="199">
        <f t="shared" si="7"/>
        <v>-26198.639096297513</v>
      </c>
      <c r="P40" s="419">
        <f t="shared" si="8"/>
        <v>-1.5927108752970158</v>
      </c>
      <c r="Q40" s="192"/>
    </row>
    <row r="41" spans="1:17" x14ac:dyDescent="0.25">
      <c r="A41" s="190">
        <f>'A) Base RI'!A43</f>
        <v>5472</v>
      </c>
      <c r="B41" s="35" t="str">
        <f>'A) Base RI'!B43</f>
        <v>Bournens</v>
      </c>
      <c r="C41" s="34">
        <f>'D) Ecrêtage'!M41</f>
        <v>14191.801124999998</v>
      </c>
      <c r="D41" s="34">
        <v>58139</v>
      </c>
      <c r="E41" s="10">
        <v>11874</v>
      </c>
      <c r="F41" s="44">
        <v>22103</v>
      </c>
      <c r="G41" s="44">
        <f t="shared" si="0"/>
        <v>92116</v>
      </c>
      <c r="H41" s="10">
        <f t="shared" si="1"/>
        <v>113534.40899999999</v>
      </c>
      <c r="I41" s="34">
        <f t="shared" si="2"/>
        <v>0</v>
      </c>
      <c r="J41" s="2">
        <f t="shared" si="3"/>
        <v>0</v>
      </c>
      <c r="K41" s="15">
        <v>64188</v>
      </c>
      <c r="L41" s="10">
        <f t="shared" si="4"/>
        <v>14191.801124999998</v>
      </c>
      <c r="M41" s="15">
        <f t="shared" si="5"/>
        <v>49996.198875000002</v>
      </c>
      <c r="N41" s="2">
        <f t="shared" si="6"/>
        <v>-35414.938149145142</v>
      </c>
      <c r="O41" s="199">
        <f t="shared" si="7"/>
        <v>-35414.938149145142</v>
      </c>
      <c r="P41" s="419">
        <f t="shared" si="8"/>
        <v>-2.4954505659439437</v>
      </c>
      <c r="Q41" s="192"/>
    </row>
    <row r="42" spans="1:17" x14ac:dyDescent="0.25">
      <c r="A42" s="190">
        <f>'A) Base RI'!A44</f>
        <v>5473</v>
      </c>
      <c r="B42" s="35" t="str">
        <f>'A) Base RI'!B44</f>
        <v>Boussens</v>
      </c>
      <c r="C42" s="34">
        <f>'D) Ecrêtage'!M42</f>
        <v>32757.052898550723</v>
      </c>
      <c r="D42" s="34">
        <v>31280</v>
      </c>
      <c r="E42" s="10">
        <v>45745</v>
      </c>
      <c r="F42" s="44">
        <v>49816</v>
      </c>
      <c r="G42" s="44">
        <f t="shared" si="0"/>
        <v>126841</v>
      </c>
      <c r="H42" s="10">
        <f t="shared" si="1"/>
        <v>262056.42318840578</v>
      </c>
      <c r="I42" s="34">
        <f t="shared" si="2"/>
        <v>0</v>
      </c>
      <c r="J42" s="2">
        <f t="shared" si="3"/>
        <v>0</v>
      </c>
      <c r="K42" s="15">
        <v>16359</v>
      </c>
      <c r="L42" s="10">
        <f t="shared" si="4"/>
        <v>32757.052898550723</v>
      </c>
      <c r="M42" s="15">
        <f t="shared" si="5"/>
        <v>0</v>
      </c>
      <c r="N42" s="2">
        <f t="shared" si="6"/>
        <v>0</v>
      </c>
      <c r="O42" s="199">
        <f t="shared" si="7"/>
        <v>0</v>
      </c>
      <c r="P42" s="419">
        <f t="shared" si="8"/>
        <v>0</v>
      </c>
      <c r="Q42" s="192"/>
    </row>
    <row r="43" spans="1:17" x14ac:dyDescent="0.25">
      <c r="A43" s="190">
        <f>'A) Base RI'!A45</f>
        <v>5474</v>
      </c>
      <c r="B43" s="35" t="str">
        <f>'A) Base RI'!B45</f>
        <v>La Chaux (Cossonay)</v>
      </c>
      <c r="C43" s="34">
        <f>'D) Ecrêtage'!M43</f>
        <v>12924.858852813852</v>
      </c>
      <c r="D43" s="34">
        <v>170426</v>
      </c>
      <c r="E43" s="10">
        <v>14872</v>
      </c>
      <c r="F43" s="44">
        <v>48087</v>
      </c>
      <c r="G43" s="44">
        <f t="shared" si="0"/>
        <v>233385</v>
      </c>
      <c r="H43" s="10">
        <f t="shared" si="1"/>
        <v>103398.87082251081</v>
      </c>
      <c r="I43" s="34">
        <f t="shared" si="2"/>
        <v>129986.12917748919</v>
      </c>
      <c r="J43" s="2">
        <f t="shared" si="3"/>
        <v>-92076.014350152342</v>
      </c>
      <c r="K43" s="15">
        <v>31353</v>
      </c>
      <c r="L43" s="10">
        <f t="shared" si="4"/>
        <v>12924.858852813852</v>
      </c>
      <c r="M43" s="15">
        <f t="shared" si="5"/>
        <v>18428.14114718615</v>
      </c>
      <c r="N43" s="2">
        <f t="shared" si="6"/>
        <v>-13053.621947600794</v>
      </c>
      <c r="O43" s="199">
        <f t="shared" si="7"/>
        <v>-105129.63629775314</v>
      </c>
      <c r="P43" s="419">
        <f t="shared" si="8"/>
        <v>-8.133909816343218</v>
      </c>
      <c r="Q43" s="192"/>
    </row>
    <row r="44" spans="1:17" x14ac:dyDescent="0.25">
      <c r="A44" s="190">
        <f>'A) Base RI'!A46</f>
        <v>5475</v>
      </c>
      <c r="B44" s="35" t="str">
        <f>'A) Base RI'!B46</f>
        <v>Chavannes-le-Veyron</v>
      </c>
      <c r="C44" s="34">
        <f>'D) Ecrêtage'!M44</f>
        <v>2672.7945454545452</v>
      </c>
      <c r="D44" s="34">
        <v>42066</v>
      </c>
      <c r="E44" s="10">
        <v>4239</v>
      </c>
      <c r="F44" s="44">
        <v>22365</v>
      </c>
      <c r="G44" s="44">
        <f t="shared" si="0"/>
        <v>68670</v>
      </c>
      <c r="H44" s="10">
        <f t="shared" si="1"/>
        <v>21382.356363636361</v>
      </c>
      <c r="I44" s="34">
        <f t="shared" si="2"/>
        <v>47287.643636363639</v>
      </c>
      <c r="J44" s="2">
        <f t="shared" si="3"/>
        <v>-33496.325966453485</v>
      </c>
      <c r="K44" s="15">
        <v>20700</v>
      </c>
      <c r="L44" s="10">
        <f t="shared" si="4"/>
        <v>2672.7945454545452</v>
      </c>
      <c r="M44" s="15">
        <f t="shared" si="5"/>
        <v>18027.205454545456</v>
      </c>
      <c r="N44" s="2">
        <f t="shared" si="6"/>
        <v>-12769.618101785329</v>
      </c>
      <c r="O44" s="199">
        <f t="shared" si="7"/>
        <v>-46265.944068238816</v>
      </c>
      <c r="P44" s="419">
        <f t="shared" si="8"/>
        <v>-17.309951543757983</v>
      </c>
      <c r="Q44" s="192"/>
    </row>
    <row r="45" spans="1:17" x14ac:dyDescent="0.25">
      <c r="A45" s="190">
        <f>'A) Base RI'!A47</f>
        <v>5476</v>
      </c>
      <c r="B45" s="35" t="str">
        <f>'A) Base RI'!B47</f>
        <v>Chevilly</v>
      </c>
      <c r="C45" s="34">
        <f>'D) Ecrêtage'!M45</f>
        <v>10247.952162162162</v>
      </c>
      <c r="D45" s="34">
        <v>23297</v>
      </c>
      <c r="E45" s="10">
        <v>32877</v>
      </c>
      <c r="F45" s="44">
        <v>62987</v>
      </c>
      <c r="G45" s="44">
        <f t="shared" si="0"/>
        <v>119161</v>
      </c>
      <c r="H45" s="10">
        <f t="shared" si="1"/>
        <v>81983.6172972973</v>
      </c>
      <c r="I45" s="34">
        <f t="shared" si="2"/>
        <v>37177.3827027027</v>
      </c>
      <c r="J45" s="2">
        <f t="shared" si="3"/>
        <v>-26334.696208708818</v>
      </c>
      <c r="K45" s="15">
        <v>3032</v>
      </c>
      <c r="L45" s="10">
        <f t="shared" si="4"/>
        <v>10247.952162162162</v>
      </c>
      <c r="M45" s="15">
        <f t="shared" si="5"/>
        <v>0</v>
      </c>
      <c r="N45" s="2">
        <f t="shared" si="6"/>
        <v>0</v>
      </c>
      <c r="O45" s="199">
        <f t="shared" si="7"/>
        <v>-26334.696208708818</v>
      </c>
      <c r="P45" s="419">
        <f t="shared" si="8"/>
        <v>-2.5697520628504376</v>
      </c>
      <c r="Q45" s="192"/>
    </row>
    <row r="46" spans="1:17" x14ac:dyDescent="0.25">
      <c r="A46" s="190">
        <f>'A) Base RI'!A48</f>
        <v>5477</v>
      </c>
      <c r="B46" s="35" t="str">
        <f>'A) Base RI'!B48</f>
        <v>Cossonay</v>
      </c>
      <c r="C46" s="34">
        <f>'D) Ecrêtage'!M46</f>
        <v>125937.08528138528</v>
      </c>
      <c r="D46" s="34">
        <v>1146060</v>
      </c>
      <c r="E46" s="10">
        <v>321646</v>
      </c>
      <c r="F46" s="44">
        <v>411439</v>
      </c>
      <c r="G46" s="44">
        <f t="shared" si="0"/>
        <v>1879145</v>
      </c>
      <c r="H46" s="10">
        <f t="shared" si="1"/>
        <v>1007496.6822510823</v>
      </c>
      <c r="I46" s="34">
        <f t="shared" si="2"/>
        <v>871648.31774891773</v>
      </c>
      <c r="J46" s="2">
        <f t="shared" si="3"/>
        <v>-617434.36412163312</v>
      </c>
      <c r="K46" s="15">
        <v>84602</v>
      </c>
      <c r="L46" s="10">
        <f t="shared" si="4"/>
        <v>125937.08528138528</v>
      </c>
      <c r="M46" s="15">
        <f t="shared" si="5"/>
        <v>0</v>
      </c>
      <c r="N46" s="2">
        <f t="shared" si="6"/>
        <v>0</v>
      </c>
      <c r="O46" s="199">
        <f t="shared" si="7"/>
        <v>-617434.36412163312</v>
      </c>
      <c r="P46" s="419">
        <f t="shared" si="8"/>
        <v>-4.9027207731708229</v>
      </c>
      <c r="Q46" s="192"/>
    </row>
    <row r="47" spans="1:17" x14ac:dyDescent="0.25">
      <c r="A47" s="190">
        <f>'A) Base RI'!A49</f>
        <v>5478</v>
      </c>
      <c r="B47" s="35" t="str">
        <f>'A) Base RI'!B49</f>
        <v>Cottens</v>
      </c>
      <c r="C47" s="34">
        <f>'D) Ecrêtage'!M47</f>
        <v>14465.317702702703</v>
      </c>
      <c r="D47" s="34">
        <v>42213</v>
      </c>
      <c r="E47" s="10">
        <v>16709</v>
      </c>
      <c r="F47" s="44">
        <v>70552</v>
      </c>
      <c r="G47" s="44">
        <f t="shared" si="0"/>
        <v>129474</v>
      </c>
      <c r="H47" s="10">
        <f t="shared" si="1"/>
        <v>115722.54162162163</v>
      </c>
      <c r="I47" s="34">
        <f t="shared" si="2"/>
        <v>13751.458378378375</v>
      </c>
      <c r="J47" s="2">
        <f t="shared" si="3"/>
        <v>-9740.8814847789545</v>
      </c>
      <c r="K47" s="15">
        <v>3136</v>
      </c>
      <c r="L47" s="10">
        <f t="shared" si="4"/>
        <v>14465.317702702703</v>
      </c>
      <c r="M47" s="15">
        <f t="shared" si="5"/>
        <v>0</v>
      </c>
      <c r="N47" s="2">
        <f t="shared" si="6"/>
        <v>0</v>
      </c>
      <c r="O47" s="199">
        <f t="shared" si="7"/>
        <v>-9740.8814847789545</v>
      </c>
      <c r="P47" s="419">
        <f t="shared" si="8"/>
        <v>-0.67339561321622177</v>
      </c>
      <c r="Q47" s="192"/>
    </row>
    <row r="48" spans="1:17" x14ac:dyDescent="0.25">
      <c r="A48" s="190">
        <f>'A) Base RI'!A50</f>
        <v>5479</v>
      </c>
      <c r="B48" s="35" t="str">
        <f>'A) Base RI'!B50</f>
        <v>Cuarnens</v>
      </c>
      <c r="C48" s="34">
        <f>'D) Ecrêtage'!M48</f>
        <v>11562.819350649352</v>
      </c>
      <c r="D48" s="34">
        <v>213251</v>
      </c>
      <c r="E48" s="10">
        <v>15508</v>
      </c>
      <c r="F48" s="44">
        <v>85146</v>
      </c>
      <c r="G48" s="44">
        <f t="shared" si="0"/>
        <v>313905</v>
      </c>
      <c r="H48" s="10">
        <f t="shared" si="1"/>
        <v>92502.554805194814</v>
      </c>
      <c r="I48" s="34">
        <f t="shared" si="2"/>
        <v>221402.44519480519</v>
      </c>
      <c r="J48" s="2">
        <f t="shared" si="3"/>
        <v>-156831.00073762404</v>
      </c>
      <c r="K48" s="15">
        <v>124573</v>
      </c>
      <c r="L48" s="10">
        <f t="shared" si="4"/>
        <v>11562.819350649352</v>
      </c>
      <c r="M48" s="15">
        <f t="shared" si="5"/>
        <v>113010.18064935064</v>
      </c>
      <c r="N48" s="2">
        <f t="shared" si="6"/>
        <v>-80051.05683987806</v>
      </c>
      <c r="O48" s="199">
        <f t="shared" si="7"/>
        <v>-236882.0575775021</v>
      </c>
      <c r="P48" s="419">
        <f t="shared" si="8"/>
        <v>-20.4865310435036</v>
      </c>
      <c r="Q48" s="192"/>
    </row>
    <row r="49" spans="1:17" x14ac:dyDescent="0.25">
      <c r="A49" s="190">
        <f>'A) Base RI'!A51</f>
        <v>5480</v>
      </c>
      <c r="B49" s="35" t="str">
        <f>'A) Base RI'!B51</f>
        <v>Daillens</v>
      </c>
      <c r="C49" s="34">
        <f>'D) Ecrêtage'!M49</f>
        <v>34852.093380281687</v>
      </c>
      <c r="D49" s="34">
        <v>389439</v>
      </c>
      <c r="E49" s="10">
        <v>67409</v>
      </c>
      <c r="F49" s="44">
        <v>106161</v>
      </c>
      <c r="G49" s="44">
        <f t="shared" si="0"/>
        <v>563009</v>
      </c>
      <c r="H49" s="10">
        <f t="shared" si="1"/>
        <v>278816.7470422535</v>
      </c>
      <c r="I49" s="34">
        <f t="shared" si="2"/>
        <v>284192.2529577465</v>
      </c>
      <c r="J49" s="2">
        <f t="shared" si="3"/>
        <v>-201308.32518144717</v>
      </c>
      <c r="K49" s="15">
        <v>21063</v>
      </c>
      <c r="L49" s="10">
        <f t="shared" si="4"/>
        <v>34852.093380281687</v>
      </c>
      <c r="M49" s="15">
        <f t="shared" si="5"/>
        <v>0</v>
      </c>
      <c r="N49" s="2">
        <f t="shared" si="6"/>
        <v>0</v>
      </c>
      <c r="O49" s="199">
        <f t="shared" si="7"/>
        <v>-201308.32518144717</v>
      </c>
      <c r="P49" s="419">
        <f t="shared" si="8"/>
        <v>-5.7760755712694616</v>
      </c>
      <c r="Q49" s="192"/>
    </row>
    <row r="50" spans="1:17" x14ac:dyDescent="0.25">
      <c r="A50" s="190">
        <f>'A) Base RI'!A52</f>
        <v>5481</v>
      </c>
      <c r="B50" s="35" t="str">
        <f>'A) Base RI'!B52</f>
        <v>Dizy</v>
      </c>
      <c r="C50" s="34">
        <f>'D) Ecrêtage'!M50</f>
        <v>8900.2526582278479</v>
      </c>
      <c r="D50" s="34">
        <v>45258</v>
      </c>
      <c r="E50" s="10">
        <v>0</v>
      </c>
      <c r="F50" s="44">
        <v>25297.71</v>
      </c>
      <c r="G50" s="44">
        <f t="shared" si="0"/>
        <v>70555.709999999992</v>
      </c>
      <c r="H50" s="10">
        <f t="shared" si="1"/>
        <v>71202.021265822783</v>
      </c>
      <c r="I50" s="34">
        <f t="shared" si="2"/>
        <v>0</v>
      </c>
      <c r="J50" s="2">
        <f t="shared" si="3"/>
        <v>0</v>
      </c>
      <c r="K50" s="15">
        <v>5641</v>
      </c>
      <c r="L50" s="10">
        <f t="shared" si="4"/>
        <v>8900.2526582278479</v>
      </c>
      <c r="M50" s="15">
        <f t="shared" si="5"/>
        <v>0</v>
      </c>
      <c r="N50" s="2">
        <f t="shared" si="6"/>
        <v>0</v>
      </c>
      <c r="O50" s="199">
        <f t="shared" si="7"/>
        <v>0</v>
      </c>
      <c r="P50" s="419">
        <f t="shared" si="8"/>
        <v>0</v>
      </c>
      <c r="Q50" s="192"/>
    </row>
    <row r="51" spans="1:17" x14ac:dyDescent="0.25">
      <c r="A51" s="190">
        <f>'A) Base RI'!A53</f>
        <v>5482</v>
      </c>
      <c r="B51" s="35" t="str">
        <f>'A) Base RI'!B53</f>
        <v>Eclépens</v>
      </c>
      <c r="C51" s="34">
        <f>'D) Ecrêtage'!M51</f>
        <v>26792.007391304349</v>
      </c>
      <c r="D51" s="34">
        <v>207425</v>
      </c>
      <c r="E51" s="10">
        <v>91760</v>
      </c>
      <c r="F51" s="44">
        <v>208460</v>
      </c>
      <c r="G51" s="44">
        <f t="shared" si="0"/>
        <v>507645</v>
      </c>
      <c r="H51" s="10">
        <f t="shared" si="1"/>
        <v>214336.05913043479</v>
      </c>
      <c r="I51" s="34">
        <f t="shared" si="2"/>
        <v>293308.94086956524</v>
      </c>
      <c r="J51" s="2">
        <f t="shared" si="3"/>
        <v>-207766.15489224874</v>
      </c>
      <c r="K51" s="15">
        <v>59767</v>
      </c>
      <c r="L51" s="10">
        <f t="shared" si="4"/>
        <v>26792.007391304349</v>
      </c>
      <c r="M51" s="15">
        <f t="shared" si="5"/>
        <v>32974.992608695655</v>
      </c>
      <c r="N51" s="2">
        <f t="shared" si="6"/>
        <v>-23357.92220175008</v>
      </c>
      <c r="O51" s="199">
        <f t="shared" si="7"/>
        <v>-231124.07709399881</v>
      </c>
      <c r="P51" s="419">
        <f t="shared" si="8"/>
        <v>-8.6266054543196624</v>
      </c>
      <c r="Q51" s="192"/>
    </row>
    <row r="52" spans="1:17" x14ac:dyDescent="0.25">
      <c r="A52" s="190">
        <f>'A) Base RI'!A54</f>
        <v>5483</v>
      </c>
      <c r="B52" s="35" t="str">
        <f>'A) Base RI'!B54</f>
        <v>Ferreyres</v>
      </c>
      <c r="C52" s="34">
        <f>'D) Ecrêtage'!M52</f>
        <v>9773.8555263157887</v>
      </c>
      <c r="D52" s="34">
        <v>22869</v>
      </c>
      <c r="E52" s="10">
        <v>11057</v>
      </c>
      <c r="F52" s="44">
        <v>68109</v>
      </c>
      <c r="G52" s="44">
        <f t="shared" si="0"/>
        <v>102035</v>
      </c>
      <c r="H52" s="10">
        <f t="shared" si="1"/>
        <v>78190.844210526309</v>
      </c>
      <c r="I52" s="34">
        <f t="shared" si="2"/>
        <v>23844.155789473691</v>
      </c>
      <c r="J52" s="2">
        <f t="shared" si="3"/>
        <v>-16890.070075408144</v>
      </c>
      <c r="K52" s="15">
        <v>-123522</v>
      </c>
      <c r="L52" s="10">
        <f t="shared" si="4"/>
        <v>9773.8555263157887</v>
      </c>
      <c r="M52" s="15">
        <f t="shared" si="5"/>
        <v>0</v>
      </c>
      <c r="N52" s="2">
        <f t="shared" si="6"/>
        <v>0</v>
      </c>
      <c r="O52" s="199">
        <f t="shared" si="7"/>
        <v>-16890.070075408144</v>
      </c>
      <c r="P52" s="419">
        <f t="shared" si="8"/>
        <v>-1.7280867340357322</v>
      </c>
      <c r="Q52" s="192"/>
    </row>
    <row r="53" spans="1:17" x14ac:dyDescent="0.25">
      <c r="A53" s="190">
        <f>'A) Base RI'!A55</f>
        <v>5484</v>
      </c>
      <c r="B53" s="35" t="str">
        <f>'A) Base RI'!B55</f>
        <v>Gollion</v>
      </c>
      <c r="C53" s="34">
        <f>'D) Ecrêtage'!M53</f>
        <v>29063.721351351356</v>
      </c>
      <c r="D53" s="34">
        <v>216415</v>
      </c>
      <c r="E53" s="10">
        <v>63152</v>
      </c>
      <c r="F53" s="44">
        <v>83033</v>
      </c>
      <c r="G53" s="44">
        <f t="shared" si="0"/>
        <v>362600</v>
      </c>
      <c r="H53" s="10">
        <f t="shared" si="1"/>
        <v>232509.77081081085</v>
      </c>
      <c r="I53" s="34">
        <f t="shared" si="2"/>
        <v>130090.22918918915</v>
      </c>
      <c r="J53" s="2">
        <f t="shared" si="3"/>
        <v>-92149.753865528241</v>
      </c>
      <c r="K53" s="15">
        <v>65978</v>
      </c>
      <c r="L53" s="10">
        <f t="shared" si="4"/>
        <v>29063.721351351356</v>
      </c>
      <c r="M53" s="15">
        <f t="shared" si="5"/>
        <v>36914.278648648644</v>
      </c>
      <c r="N53" s="2">
        <f t="shared" si="6"/>
        <v>-26148.325764339435</v>
      </c>
      <c r="O53" s="199">
        <f t="shared" si="7"/>
        <v>-118298.07962986767</v>
      </c>
      <c r="P53" s="419">
        <f t="shared" si="8"/>
        <v>-4.0703005028076777</v>
      </c>
      <c r="Q53" s="192"/>
    </row>
    <row r="54" spans="1:17" x14ac:dyDescent="0.25">
      <c r="A54" s="190">
        <f>'A) Base RI'!A56</f>
        <v>5485</v>
      </c>
      <c r="B54" s="35" t="str">
        <f>'A) Base RI'!B56</f>
        <v>Grancy</v>
      </c>
      <c r="C54" s="34">
        <f>'D) Ecrêtage'!M54</f>
        <v>15073.947999999999</v>
      </c>
      <c r="D54" s="34">
        <v>59828</v>
      </c>
      <c r="E54" s="10">
        <v>13989</v>
      </c>
      <c r="F54" s="44">
        <v>46917</v>
      </c>
      <c r="G54" s="44">
        <f t="shared" si="0"/>
        <v>120734</v>
      </c>
      <c r="H54" s="10">
        <f t="shared" si="1"/>
        <v>120591.58399999999</v>
      </c>
      <c r="I54" s="34">
        <f t="shared" si="2"/>
        <v>142.41600000001199</v>
      </c>
      <c r="J54" s="2">
        <f t="shared" si="3"/>
        <v>-100.88074583548186</v>
      </c>
      <c r="K54" s="15">
        <v>84078</v>
      </c>
      <c r="L54" s="10">
        <f t="shared" si="4"/>
        <v>15073.947999999999</v>
      </c>
      <c r="M54" s="15">
        <f t="shared" si="5"/>
        <v>69004.051999999996</v>
      </c>
      <c r="N54" s="2">
        <f t="shared" si="6"/>
        <v>-48879.200591434863</v>
      </c>
      <c r="O54" s="199">
        <f t="shared" si="7"/>
        <v>-48980.081337270341</v>
      </c>
      <c r="P54" s="419">
        <f t="shared" si="8"/>
        <v>-3.2493200412572967</v>
      </c>
      <c r="Q54" s="192"/>
    </row>
    <row r="55" spans="1:17" x14ac:dyDescent="0.25">
      <c r="A55" s="190">
        <f>'A) Base RI'!A57</f>
        <v>5486</v>
      </c>
      <c r="B55" s="35" t="str">
        <f>'A) Base RI'!B57</f>
        <v>L'Isle</v>
      </c>
      <c r="C55" s="34">
        <f>'D) Ecrêtage'!M55</f>
        <v>29834.586052631581</v>
      </c>
      <c r="D55" s="34">
        <v>294920</v>
      </c>
      <c r="E55" s="10">
        <v>72913</v>
      </c>
      <c r="F55" s="44">
        <v>193415</v>
      </c>
      <c r="G55" s="44">
        <f t="shared" si="0"/>
        <v>561248</v>
      </c>
      <c r="H55" s="10">
        <f t="shared" si="1"/>
        <v>238676.68842105265</v>
      </c>
      <c r="I55" s="34">
        <f t="shared" si="2"/>
        <v>322571.31157894735</v>
      </c>
      <c r="J55" s="2">
        <f t="shared" si="3"/>
        <v>-228494.23166786789</v>
      </c>
      <c r="K55" s="15">
        <v>134086</v>
      </c>
      <c r="L55" s="10">
        <f t="shared" si="4"/>
        <v>29834.586052631581</v>
      </c>
      <c r="M55" s="15">
        <f t="shared" si="5"/>
        <v>104251.41394736842</v>
      </c>
      <c r="N55" s="2">
        <f t="shared" si="6"/>
        <v>-73846.761553569799</v>
      </c>
      <c r="O55" s="199">
        <f t="shared" si="7"/>
        <v>-302340.99322143767</v>
      </c>
      <c r="P55" s="419">
        <f t="shared" si="8"/>
        <v>-10.133909439469816</v>
      </c>
      <c r="Q55" s="192"/>
    </row>
    <row r="56" spans="1:17" x14ac:dyDescent="0.25">
      <c r="A56" s="190">
        <f>'A) Base RI'!A58</f>
        <v>5487</v>
      </c>
      <c r="B56" s="35" t="str">
        <f>'A) Base RI'!B58</f>
        <v>Lussery-Villars</v>
      </c>
      <c r="C56" s="34">
        <f>'D) Ecrêtage'!M56</f>
        <v>13143.798970588234</v>
      </c>
      <c r="D56" s="34">
        <v>38374</v>
      </c>
      <c r="E56" s="10">
        <v>30334</v>
      </c>
      <c r="F56" s="44">
        <v>41556</v>
      </c>
      <c r="G56" s="44">
        <f t="shared" si="0"/>
        <v>110264</v>
      </c>
      <c r="H56" s="10">
        <f t="shared" si="1"/>
        <v>105150.39176470587</v>
      </c>
      <c r="I56" s="34">
        <f t="shared" si="2"/>
        <v>5113.6082352941303</v>
      </c>
      <c r="J56" s="2">
        <f t="shared" si="3"/>
        <v>-3622.2377590080514</v>
      </c>
      <c r="K56" s="15">
        <v>2109</v>
      </c>
      <c r="L56" s="10">
        <f t="shared" si="4"/>
        <v>13143.798970588234</v>
      </c>
      <c r="M56" s="15">
        <f t="shared" si="5"/>
        <v>0</v>
      </c>
      <c r="N56" s="2">
        <f t="shared" si="6"/>
        <v>0</v>
      </c>
      <c r="O56" s="199">
        <f t="shared" si="7"/>
        <v>-3622.2377590080514</v>
      </c>
      <c r="P56" s="419">
        <f t="shared" si="8"/>
        <v>-0.27558529821655836</v>
      </c>
      <c r="Q56" s="192"/>
    </row>
    <row r="57" spans="1:17" x14ac:dyDescent="0.25">
      <c r="A57" s="190">
        <f>'A) Base RI'!A59</f>
        <v>5488</v>
      </c>
      <c r="B57" s="35" t="str">
        <f>'A) Base RI'!B59</f>
        <v>Mauraz</v>
      </c>
      <c r="C57" s="34">
        <f>'D) Ecrêtage'!M57</f>
        <v>1604.8968918918922</v>
      </c>
      <c r="D57" s="34">
        <v>12640</v>
      </c>
      <c r="E57" s="10">
        <v>0</v>
      </c>
      <c r="F57" s="44">
        <v>11569</v>
      </c>
      <c r="G57" s="44">
        <f t="shared" si="0"/>
        <v>24209</v>
      </c>
      <c r="H57" s="10">
        <f t="shared" si="1"/>
        <v>12839.175135135138</v>
      </c>
      <c r="I57" s="34">
        <f t="shared" si="2"/>
        <v>11369.824864864862</v>
      </c>
      <c r="J57" s="2">
        <f t="shared" si="3"/>
        <v>-8053.8451605597511</v>
      </c>
      <c r="K57" s="15">
        <v>0</v>
      </c>
      <c r="L57" s="10">
        <f t="shared" si="4"/>
        <v>1604.8968918918922</v>
      </c>
      <c r="M57" s="15">
        <f t="shared" si="5"/>
        <v>0</v>
      </c>
      <c r="N57" s="2">
        <f t="shared" si="6"/>
        <v>0</v>
      </c>
      <c r="O57" s="199">
        <f t="shared" si="7"/>
        <v>-8053.8451605597511</v>
      </c>
      <c r="P57" s="419">
        <f t="shared" si="8"/>
        <v>-5.0182944469819981</v>
      </c>
      <c r="Q57" s="192"/>
    </row>
    <row r="58" spans="1:17" x14ac:dyDescent="0.25">
      <c r="A58" s="190">
        <f>'A) Base RI'!A60</f>
        <v>5489</v>
      </c>
      <c r="B58" s="35" t="str">
        <f>'A) Base RI'!B60</f>
        <v>Mex</v>
      </c>
      <c r="C58" s="34">
        <f>'D) Ecrêtage'!M58</f>
        <v>44353.476729435359</v>
      </c>
      <c r="D58" s="34">
        <v>204003</v>
      </c>
      <c r="E58" s="10">
        <v>21583</v>
      </c>
      <c r="F58" s="44">
        <v>59228</v>
      </c>
      <c r="G58" s="44">
        <f t="shared" si="0"/>
        <v>284814</v>
      </c>
      <c r="H58" s="10">
        <f t="shared" si="1"/>
        <v>354827.81383548287</v>
      </c>
      <c r="I58" s="34">
        <f t="shared" si="2"/>
        <v>0</v>
      </c>
      <c r="J58" s="2">
        <f t="shared" si="3"/>
        <v>0</v>
      </c>
      <c r="K58" s="15">
        <v>43315</v>
      </c>
      <c r="L58" s="10">
        <f t="shared" si="4"/>
        <v>44353.476729435359</v>
      </c>
      <c r="M58" s="15">
        <f t="shared" si="5"/>
        <v>0</v>
      </c>
      <c r="N58" s="2">
        <f t="shared" si="6"/>
        <v>0</v>
      </c>
      <c r="O58" s="199">
        <f t="shared" si="7"/>
        <v>0</v>
      </c>
      <c r="P58" s="419">
        <f t="shared" si="8"/>
        <v>0</v>
      </c>
      <c r="Q58" s="192"/>
    </row>
    <row r="59" spans="1:17" x14ac:dyDescent="0.25">
      <c r="A59" s="190">
        <f>'A) Base RI'!A61</f>
        <v>5490</v>
      </c>
      <c r="B59" s="35" t="str">
        <f>'A) Base RI'!B61</f>
        <v>Moiry</v>
      </c>
      <c r="C59" s="34">
        <f>'D) Ecrêtage'!M59</f>
        <v>7445.9272839506175</v>
      </c>
      <c r="D59" s="34">
        <v>29119</v>
      </c>
      <c r="E59" s="10">
        <v>10245</v>
      </c>
      <c r="F59" s="44">
        <v>60077</v>
      </c>
      <c r="G59" s="44">
        <f t="shared" si="0"/>
        <v>99441</v>
      </c>
      <c r="H59" s="10">
        <f t="shared" si="1"/>
        <v>59567.41827160494</v>
      </c>
      <c r="I59" s="34">
        <f t="shared" si="2"/>
        <v>39873.58172839506</v>
      </c>
      <c r="J59" s="2">
        <f t="shared" si="3"/>
        <v>-28244.555835665917</v>
      </c>
      <c r="K59" s="15">
        <v>-15285</v>
      </c>
      <c r="L59" s="10">
        <f t="shared" si="4"/>
        <v>7445.9272839506175</v>
      </c>
      <c r="M59" s="15">
        <f t="shared" si="5"/>
        <v>0</v>
      </c>
      <c r="N59" s="2">
        <f t="shared" si="6"/>
        <v>0</v>
      </c>
      <c r="O59" s="199">
        <f t="shared" si="7"/>
        <v>-28244.555835665917</v>
      </c>
      <c r="P59" s="419">
        <f t="shared" si="8"/>
        <v>-3.7932892383391748</v>
      </c>
      <c r="Q59" s="192"/>
    </row>
    <row r="60" spans="1:17" x14ac:dyDescent="0.25">
      <c r="A60" s="190">
        <f>'A) Base RI'!A62</f>
        <v>5491</v>
      </c>
      <c r="B60" s="35" t="str">
        <f>'A) Base RI'!B62</f>
        <v>Mont-la-Ville</v>
      </c>
      <c r="C60" s="34">
        <f>'D) Ecrêtage'!M60</f>
        <v>8756.4323684210522</v>
      </c>
      <c r="D60" s="34">
        <v>156346</v>
      </c>
      <c r="E60" s="10">
        <v>13494</v>
      </c>
      <c r="F60" s="44">
        <v>84999</v>
      </c>
      <c r="G60" s="44">
        <f t="shared" si="0"/>
        <v>254839</v>
      </c>
      <c r="H60" s="10">
        <f t="shared" si="1"/>
        <v>70051.458947368417</v>
      </c>
      <c r="I60" s="34">
        <f t="shared" si="2"/>
        <v>184787.54105263157</v>
      </c>
      <c r="J60" s="2">
        <f t="shared" si="3"/>
        <v>-130894.73768742716</v>
      </c>
      <c r="K60" s="15">
        <v>31247</v>
      </c>
      <c r="L60" s="10">
        <f t="shared" si="4"/>
        <v>8756.4323684210522</v>
      </c>
      <c r="M60" s="15">
        <f t="shared" si="5"/>
        <v>22490.567631578946</v>
      </c>
      <c r="N60" s="2">
        <f t="shared" si="6"/>
        <v>-15931.252365863666</v>
      </c>
      <c r="O60" s="199">
        <f t="shared" si="7"/>
        <v>-146825.99005329082</v>
      </c>
      <c r="P60" s="419">
        <f t="shared" si="8"/>
        <v>-16.767786682484967</v>
      </c>
      <c r="Q60" s="192"/>
    </row>
    <row r="61" spans="1:17" x14ac:dyDescent="0.25">
      <c r="A61" s="190">
        <f>'A) Base RI'!A63</f>
        <v>5492</v>
      </c>
      <c r="B61" s="35" t="str">
        <f>'A) Base RI'!B63</f>
        <v>Montricher</v>
      </c>
      <c r="C61" s="34">
        <f>'D) Ecrêtage'!M61</f>
        <v>116722.19002278935</v>
      </c>
      <c r="D61" s="34">
        <v>318370</v>
      </c>
      <c r="E61" s="10">
        <v>71325</v>
      </c>
      <c r="F61" s="44">
        <v>190140</v>
      </c>
      <c r="G61" s="44">
        <f t="shared" ref="G61:G115" si="9">D61+E61+F61</f>
        <v>579835</v>
      </c>
      <c r="H61" s="10">
        <f t="shared" si="1"/>
        <v>933777.52018231479</v>
      </c>
      <c r="I61" s="34">
        <f t="shared" ref="I61:I115" si="10">IF(G61&gt;H61,G61-H61,0)</f>
        <v>0</v>
      </c>
      <c r="J61" s="2">
        <f t="shared" si="3"/>
        <v>0</v>
      </c>
      <c r="K61" s="15">
        <v>398271</v>
      </c>
      <c r="L61" s="10">
        <f t="shared" si="4"/>
        <v>116722.19002278935</v>
      </c>
      <c r="M61" s="15">
        <f t="shared" ref="M61:M115" si="11">IF(K61&gt;L61,K61-L61,0)</f>
        <v>281548.80997721065</v>
      </c>
      <c r="N61" s="2">
        <f t="shared" si="6"/>
        <v>-199435.83543696618</v>
      </c>
      <c r="O61" s="199">
        <f t="shared" ref="O61:O115" si="12">N61+J61</f>
        <v>-199435.83543696618</v>
      </c>
      <c r="P61" s="419">
        <f t="shared" ref="P61:P115" si="13">O61/C61</f>
        <v>-1.708636853009933</v>
      </c>
      <c r="Q61" s="192"/>
    </row>
    <row r="62" spans="1:17" x14ac:dyDescent="0.25">
      <c r="A62" s="190">
        <f>'A) Base RI'!A64</f>
        <v>5493</v>
      </c>
      <c r="B62" s="35" t="str">
        <f>'A) Base RI'!B64</f>
        <v>Orny</v>
      </c>
      <c r="C62" s="34">
        <f>'D) Ecrêtage'!M62</f>
        <v>9079.112581664911</v>
      </c>
      <c r="D62" s="34">
        <v>40382</v>
      </c>
      <c r="E62" s="10">
        <v>0</v>
      </c>
      <c r="F62" s="44">
        <v>80455</v>
      </c>
      <c r="G62" s="44">
        <f t="shared" si="9"/>
        <v>120837</v>
      </c>
      <c r="H62" s="10">
        <f t="shared" si="1"/>
        <v>72632.900653319288</v>
      </c>
      <c r="I62" s="34">
        <f t="shared" si="10"/>
        <v>48204.099346680712</v>
      </c>
      <c r="J62" s="2">
        <f t="shared" si="3"/>
        <v>-34145.499764214728</v>
      </c>
      <c r="K62" s="15">
        <v>11507</v>
      </c>
      <c r="L62" s="10">
        <f t="shared" si="4"/>
        <v>9079.112581664911</v>
      </c>
      <c r="M62" s="15">
        <f t="shared" si="11"/>
        <v>2427.887418335089</v>
      </c>
      <c r="N62" s="2">
        <f t="shared" si="6"/>
        <v>-1719.8003985942992</v>
      </c>
      <c r="O62" s="199">
        <f t="shared" si="12"/>
        <v>-35865.300162809028</v>
      </c>
      <c r="P62" s="419">
        <f t="shared" si="13"/>
        <v>-3.9503090021417178</v>
      </c>
      <c r="Q62" s="192"/>
    </row>
    <row r="63" spans="1:17" x14ac:dyDescent="0.25">
      <c r="A63" s="190">
        <f>'A) Base RI'!A65</f>
        <v>5494</v>
      </c>
      <c r="B63" s="35" t="str">
        <f>'A) Base RI'!B65</f>
        <v>Pampigny</v>
      </c>
      <c r="C63" s="34">
        <f>'D) Ecrêtage'!M63</f>
        <v>36797.992425396827</v>
      </c>
      <c r="D63" s="34">
        <v>359044</v>
      </c>
      <c r="E63" s="10">
        <v>79414</v>
      </c>
      <c r="F63" s="44">
        <v>150954</v>
      </c>
      <c r="G63" s="44">
        <f t="shared" si="9"/>
        <v>589412</v>
      </c>
      <c r="H63" s="10">
        <f t="shared" si="1"/>
        <v>294383.93940317462</v>
      </c>
      <c r="I63" s="34">
        <f t="shared" si="10"/>
        <v>295028.06059682538</v>
      </c>
      <c r="J63" s="2">
        <f t="shared" si="3"/>
        <v>-208983.8978443502</v>
      </c>
      <c r="K63" s="15">
        <v>118774</v>
      </c>
      <c r="L63" s="10">
        <f t="shared" si="4"/>
        <v>36797.992425396827</v>
      </c>
      <c r="M63" s="15">
        <f t="shared" si="11"/>
        <v>81976.007574603165</v>
      </c>
      <c r="N63" s="2">
        <f t="shared" si="6"/>
        <v>-58067.919227757986</v>
      </c>
      <c r="O63" s="199">
        <f t="shared" si="12"/>
        <v>-267051.81707210816</v>
      </c>
      <c r="P63" s="419">
        <f t="shared" si="13"/>
        <v>-7.2572387641396796</v>
      </c>
      <c r="Q63" s="192"/>
    </row>
    <row r="64" spans="1:17" x14ac:dyDescent="0.25">
      <c r="A64" s="190">
        <f>'A) Base RI'!A66</f>
        <v>5495</v>
      </c>
      <c r="B64" s="35" t="str">
        <f>'A) Base RI'!B66</f>
        <v>Penthalaz</v>
      </c>
      <c r="C64" s="34">
        <f>'D) Ecrêtage'!M64</f>
        <v>99436.02810810809</v>
      </c>
      <c r="D64" s="34">
        <v>638445</v>
      </c>
      <c r="E64" s="10">
        <v>404155</v>
      </c>
      <c r="F64" s="44">
        <v>331943</v>
      </c>
      <c r="G64" s="44">
        <f t="shared" si="9"/>
        <v>1374543</v>
      </c>
      <c r="H64" s="10">
        <f t="shared" si="1"/>
        <v>795488.22486486472</v>
      </c>
      <c r="I64" s="34">
        <f t="shared" si="10"/>
        <v>579054.77513513528</v>
      </c>
      <c r="J64" s="2">
        <f t="shared" si="3"/>
        <v>-410174.96345371846</v>
      </c>
      <c r="K64" s="15">
        <v>110617</v>
      </c>
      <c r="L64" s="10">
        <f t="shared" si="4"/>
        <v>99436.02810810809</v>
      </c>
      <c r="M64" s="15">
        <f t="shared" si="11"/>
        <v>11180.97189189191</v>
      </c>
      <c r="N64" s="2">
        <f t="shared" si="6"/>
        <v>-7920.0706635456663</v>
      </c>
      <c r="O64" s="199">
        <f t="shared" si="12"/>
        <v>-418095.03411726415</v>
      </c>
      <c r="P64" s="419">
        <f t="shared" si="13"/>
        <v>-4.2046634612427001</v>
      </c>
      <c r="Q64" s="192"/>
    </row>
    <row r="65" spans="1:17" x14ac:dyDescent="0.25">
      <c r="A65" s="190">
        <f>'A) Base RI'!A67</f>
        <v>5496</v>
      </c>
      <c r="B65" s="35" t="str">
        <f>'A) Base RI'!B67</f>
        <v>Penthaz</v>
      </c>
      <c r="C65" s="34">
        <f>'D) Ecrêtage'!M65</f>
        <v>52905.64732394366</v>
      </c>
      <c r="D65" s="34">
        <v>371085</v>
      </c>
      <c r="E65" s="10">
        <v>118539</v>
      </c>
      <c r="F65" s="44">
        <v>194060</v>
      </c>
      <c r="G65" s="44">
        <f t="shared" si="9"/>
        <v>683684</v>
      </c>
      <c r="H65" s="10">
        <f t="shared" si="1"/>
        <v>423245.17859154928</v>
      </c>
      <c r="I65" s="34">
        <f t="shared" si="10"/>
        <v>260438.82140845072</v>
      </c>
      <c r="J65" s="2">
        <f t="shared" si="3"/>
        <v>-184482.51985869676</v>
      </c>
      <c r="K65" s="15">
        <v>5142</v>
      </c>
      <c r="L65" s="10">
        <f t="shared" si="4"/>
        <v>52905.64732394366</v>
      </c>
      <c r="M65" s="15">
        <f t="shared" si="11"/>
        <v>0</v>
      </c>
      <c r="N65" s="2">
        <f t="shared" si="6"/>
        <v>0</v>
      </c>
      <c r="O65" s="199">
        <f t="shared" si="12"/>
        <v>-184482.51985869676</v>
      </c>
      <c r="P65" s="419">
        <f t="shared" si="13"/>
        <v>-3.4870099732284152</v>
      </c>
      <c r="Q65" s="192"/>
    </row>
    <row r="66" spans="1:17" x14ac:dyDescent="0.25">
      <c r="A66" s="190">
        <f>'A) Base RI'!A68</f>
        <v>5497</v>
      </c>
      <c r="B66" s="35" t="str">
        <f>'A) Base RI'!B68</f>
        <v>Pompaples</v>
      </c>
      <c r="C66" s="34">
        <f>'D) Ecrêtage'!M66</f>
        <v>22272.608181818188</v>
      </c>
      <c r="D66" s="34">
        <v>190885</v>
      </c>
      <c r="E66" s="10">
        <v>29462</v>
      </c>
      <c r="F66" s="44">
        <v>188473</v>
      </c>
      <c r="G66" s="44">
        <f t="shared" si="9"/>
        <v>408820</v>
      </c>
      <c r="H66" s="10">
        <f t="shared" si="1"/>
        <v>178180.86545454551</v>
      </c>
      <c r="I66" s="34">
        <f t="shared" si="10"/>
        <v>230639.13454545449</v>
      </c>
      <c r="J66" s="2">
        <f t="shared" si="3"/>
        <v>-163373.83378127136</v>
      </c>
      <c r="K66" s="15">
        <v>-27434</v>
      </c>
      <c r="L66" s="10">
        <f t="shared" si="4"/>
        <v>22272.608181818188</v>
      </c>
      <c r="M66" s="15">
        <f t="shared" si="11"/>
        <v>0</v>
      </c>
      <c r="N66" s="2">
        <f t="shared" si="6"/>
        <v>0</v>
      </c>
      <c r="O66" s="199">
        <f t="shared" si="12"/>
        <v>-163373.83378127136</v>
      </c>
      <c r="P66" s="419">
        <f t="shared" si="13"/>
        <v>-7.3351909416086443</v>
      </c>
      <c r="Q66" s="192"/>
    </row>
    <row r="67" spans="1:17" x14ac:dyDescent="0.25">
      <c r="A67" s="190">
        <f>'A) Base RI'!A69</f>
        <v>5498</v>
      </c>
      <c r="B67" s="35" t="str">
        <f>'A) Base RI'!B69</f>
        <v>La Sarraz</v>
      </c>
      <c r="C67" s="34">
        <f>'D) Ecrêtage'!M67</f>
        <v>73804.61909090908</v>
      </c>
      <c r="D67" s="34">
        <v>666981</v>
      </c>
      <c r="E67" s="10">
        <v>226000</v>
      </c>
      <c r="F67" s="44">
        <v>533164</v>
      </c>
      <c r="G67" s="44">
        <f t="shared" si="9"/>
        <v>1426145</v>
      </c>
      <c r="H67" s="10">
        <f t="shared" si="1"/>
        <v>590436.95272727264</v>
      </c>
      <c r="I67" s="34">
        <f t="shared" si="10"/>
        <v>835708.04727272736</v>
      </c>
      <c r="J67" s="2">
        <f t="shared" si="3"/>
        <v>-591975.97959203867</v>
      </c>
      <c r="K67" s="15">
        <v>-311161</v>
      </c>
      <c r="L67" s="10">
        <f t="shared" si="4"/>
        <v>73804.61909090908</v>
      </c>
      <c r="M67" s="15">
        <f t="shared" si="11"/>
        <v>0</v>
      </c>
      <c r="N67" s="2">
        <f t="shared" si="6"/>
        <v>0</v>
      </c>
      <c r="O67" s="199">
        <f t="shared" si="12"/>
        <v>-591975.97959203867</v>
      </c>
      <c r="P67" s="419">
        <f t="shared" si="13"/>
        <v>-8.0208527174006594</v>
      </c>
      <c r="Q67" s="192"/>
    </row>
    <row r="68" spans="1:17" x14ac:dyDescent="0.25">
      <c r="A68" s="190">
        <f>'A) Base RI'!A70</f>
        <v>5499</v>
      </c>
      <c r="B68" s="35" t="str">
        <f>'A) Base RI'!B70</f>
        <v>Senarclens</v>
      </c>
      <c r="C68" s="34">
        <f>'D) Ecrêtage'!M68</f>
        <v>18585.936788321167</v>
      </c>
      <c r="D68" s="34">
        <v>201971</v>
      </c>
      <c r="E68" s="10">
        <v>15932</v>
      </c>
      <c r="F68" s="44">
        <v>53576</v>
      </c>
      <c r="G68" s="44">
        <f t="shared" si="9"/>
        <v>271479</v>
      </c>
      <c r="H68" s="10">
        <f t="shared" si="1"/>
        <v>148687.49430656934</v>
      </c>
      <c r="I68" s="34">
        <f t="shared" si="10"/>
        <v>122791.50569343066</v>
      </c>
      <c r="J68" s="2">
        <f t="shared" si="3"/>
        <v>-86979.684000491936</v>
      </c>
      <c r="K68" s="15">
        <v>-9396</v>
      </c>
      <c r="L68" s="10">
        <f t="shared" si="4"/>
        <v>18585.936788321167</v>
      </c>
      <c r="M68" s="15">
        <f t="shared" si="11"/>
        <v>0</v>
      </c>
      <c r="N68" s="2">
        <f t="shared" si="6"/>
        <v>0</v>
      </c>
      <c r="O68" s="199">
        <f t="shared" si="12"/>
        <v>-86979.684000491936</v>
      </c>
      <c r="P68" s="419">
        <f t="shared" si="13"/>
        <v>-4.6798654806115181</v>
      </c>
      <c r="Q68" s="192"/>
    </row>
    <row r="69" spans="1:17" x14ac:dyDescent="0.25">
      <c r="A69" s="190">
        <f>'A) Base RI'!A71</f>
        <v>5500</v>
      </c>
      <c r="B69" s="35" t="str">
        <f>'A) Base RI'!B71</f>
        <v>Sévery</v>
      </c>
      <c r="C69" s="34">
        <f>'D) Ecrêtage'!M69</f>
        <v>8028.7526973684207</v>
      </c>
      <c r="D69" s="34">
        <v>41259</v>
      </c>
      <c r="E69" s="10">
        <v>12241</v>
      </c>
      <c r="F69" s="44">
        <v>27294</v>
      </c>
      <c r="G69" s="44">
        <f t="shared" si="9"/>
        <v>80794</v>
      </c>
      <c r="H69" s="10">
        <f t="shared" si="1"/>
        <v>64230.021578947366</v>
      </c>
      <c r="I69" s="34">
        <f t="shared" si="10"/>
        <v>16563.978421052634</v>
      </c>
      <c r="J69" s="2">
        <f t="shared" si="3"/>
        <v>-11733.137408145687</v>
      </c>
      <c r="K69" s="15">
        <v>5287</v>
      </c>
      <c r="L69" s="10">
        <f t="shared" si="4"/>
        <v>8028.7526973684207</v>
      </c>
      <c r="M69" s="15">
        <f t="shared" si="11"/>
        <v>0</v>
      </c>
      <c r="N69" s="2">
        <f t="shared" si="6"/>
        <v>0</v>
      </c>
      <c r="O69" s="199">
        <f t="shared" si="12"/>
        <v>-11733.137408145687</v>
      </c>
      <c r="P69" s="419">
        <f t="shared" si="13"/>
        <v>-1.4613898136371108</v>
      </c>
      <c r="Q69" s="192"/>
    </row>
    <row r="70" spans="1:17" x14ac:dyDescent="0.25">
      <c r="A70" s="190">
        <f>'A) Base RI'!A72</f>
        <v>5501</v>
      </c>
      <c r="B70" s="35" t="str">
        <f>'A) Base RI'!B72</f>
        <v>Sullens</v>
      </c>
      <c r="C70" s="34">
        <f>'D) Ecrêtage'!M70</f>
        <v>35737.650142857143</v>
      </c>
      <c r="D70" s="34">
        <v>195547</v>
      </c>
      <c r="E70" s="10">
        <v>29446</v>
      </c>
      <c r="F70" s="44">
        <v>40982</v>
      </c>
      <c r="G70" s="44">
        <f t="shared" si="9"/>
        <v>265975</v>
      </c>
      <c r="H70" s="10">
        <f t="shared" ref="H70:H133" si="14">C70*I$4</f>
        <v>285901.20114285714</v>
      </c>
      <c r="I70" s="34">
        <f t="shared" si="10"/>
        <v>0</v>
      </c>
      <c r="J70" s="2">
        <f t="shared" ref="J70:J133" si="15">-I70*J$4</f>
        <v>0</v>
      </c>
      <c r="K70" s="15">
        <v>54826</v>
      </c>
      <c r="L70" s="10">
        <f t="shared" ref="L70:L133" si="16">C70*M$4</f>
        <v>35737.650142857143</v>
      </c>
      <c r="M70" s="15">
        <f t="shared" si="11"/>
        <v>19088.349857142857</v>
      </c>
      <c r="N70" s="2">
        <f t="shared" ref="N70:N133" si="17">-M70*N$4</f>
        <v>-13521.282512898993</v>
      </c>
      <c r="O70" s="199">
        <f t="shared" si="12"/>
        <v>-13521.282512898993</v>
      </c>
      <c r="P70" s="419">
        <f t="shared" si="13"/>
        <v>-0.3783483933288625</v>
      </c>
      <c r="Q70" s="192"/>
    </row>
    <row r="71" spans="1:17" x14ac:dyDescent="0.25">
      <c r="A71" s="190">
        <f>'A) Base RI'!A73</f>
        <v>5503</v>
      </c>
      <c r="B71" s="35" t="str">
        <f>'A) Base RI'!B73</f>
        <v>Vufflens-la-Ville</v>
      </c>
      <c r="C71" s="34">
        <f>'D) Ecrêtage'!M71</f>
        <v>64927.66542288557</v>
      </c>
      <c r="D71" s="34">
        <v>178923</v>
      </c>
      <c r="E71" s="10">
        <v>107392</v>
      </c>
      <c r="F71" s="44">
        <v>139656</v>
      </c>
      <c r="G71" s="44">
        <f t="shared" si="9"/>
        <v>425971</v>
      </c>
      <c r="H71" s="10">
        <f t="shared" si="14"/>
        <v>519421.32338308456</v>
      </c>
      <c r="I71" s="34">
        <f t="shared" si="10"/>
        <v>0</v>
      </c>
      <c r="J71" s="2">
        <f t="shared" si="15"/>
        <v>0</v>
      </c>
      <c r="K71" s="15">
        <v>38863</v>
      </c>
      <c r="L71" s="10">
        <f t="shared" si="16"/>
        <v>64927.66542288557</v>
      </c>
      <c r="M71" s="15">
        <f t="shared" si="11"/>
        <v>0</v>
      </c>
      <c r="N71" s="2">
        <f t="shared" si="17"/>
        <v>0</v>
      </c>
      <c r="O71" s="199">
        <f t="shared" si="12"/>
        <v>0</v>
      </c>
      <c r="P71" s="419">
        <f t="shared" si="13"/>
        <v>0</v>
      </c>
      <c r="Q71" s="192"/>
    </row>
    <row r="72" spans="1:17" x14ac:dyDescent="0.25">
      <c r="A72" s="190">
        <f>'A) Base RI'!A74</f>
        <v>5511</v>
      </c>
      <c r="B72" s="35" t="str">
        <f>'A) Base RI'!B74</f>
        <v>Assens</v>
      </c>
      <c r="C72" s="34">
        <f>'D) Ecrêtage'!M72</f>
        <v>39993.346428571429</v>
      </c>
      <c r="D72" s="34">
        <v>532312</v>
      </c>
      <c r="E72" s="10">
        <v>82051</v>
      </c>
      <c r="F72" s="44">
        <v>101413</v>
      </c>
      <c r="G72" s="44">
        <f t="shared" si="9"/>
        <v>715776</v>
      </c>
      <c r="H72" s="10">
        <f t="shared" si="14"/>
        <v>319946.77142857143</v>
      </c>
      <c r="I72" s="34">
        <f t="shared" si="10"/>
        <v>395829.22857142857</v>
      </c>
      <c r="J72" s="2">
        <f t="shared" si="15"/>
        <v>-280386.66864513664</v>
      </c>
      <c r="K72" s="15">
        <v>16629</v>
      </c>
      <c r="L72" s="10">
        <f t="shared" si="16"/>
        <v>39993.346428571429</v>
      </c>
      <c r="M72" s="15">
        <f t="shared" si="11"/>
        <v>0</v>
      </c>
      <c r="N72" s="2">
        <f t="shared" si="17"/>
        <v>0</v>
      </c>
      <c r="O72" s="199">
        <f t="shared" si="12"/>
        <v>-280386.66864513664</v>
      </c>
      <c r="P72" s="419">
        <f t="shared" si="13"/>
        <v>-7.0108328930641104</v>
      </c>
      <c r="Q72" s="192"/>
    </row>
    <row r="73" spans="1:17" x14ac:dyDescent="0.25">
      <c r="A73" s="190">
        <f>'A) Base RI'!A75</f>
        <v>5512</v>
      </c>
      <c r="B73" s="35" t="str">
        <f>'A) Base RI'!B75</f>
        <v>Bercher</v>
      </c>
      <c r="C73" s="34">
        <f>'D) Ecrêtage'!M73</f>
        <v>35096.262278481016</v>
      </c>
      <c r="D73" s="34">
        <v>279320</v>
      </c>
      <c r="E73" s="10">
        <v>91362</v>
      </c>
      <c r="F73" s="44">
        <v>112922</v>
      </c>
      <c r="G73" s="44">
        <f t="shared" si="9"/>
        <v>483604</v>
      </c>
      <c r="H73" s="10">
        <f t="shared" si="14"/>
        <v>280770.09822784812</v>
      </c>
      <c r="I73" s="34">
        <f t="shared" si="10"/>
        <v>202833.90177215188</v>
      </c>
      <c r="J73" s="2">
        <f t="shared" si="15"/>
        <v>-143677.9244712239</v>
      </c>
      <c r="K73" s="15">
        <v>27937</v>
      </c>
      <c r="L73" s="10">
        <f t="shared" si="16"/>
        <v>35096.262278481016</v>
      </c>
      <c r="M73" s="15">
        <f t="shared" si="11"/>
        <v>0</v>
      </c>
      <c r="N73" s="2">
        <f t="shared" si="17"/>
        <v>0</v>
      </c>
      <c r="O73" s="199">
        <f t="shared" si="12"/>
        <v>-143677.9244712239</v>
      </c>
      <c r="P73" s="419">
        <f t="shared" si="13"/>
        <v>-4.0938241038652947</v>
      </c>
      <c r="Q73" s="192"/>
    </row>
    <row r="74" spans="1:17" x14ac:dyDescent="0.25">
      <c r="A74" s="190">
        <f>'A) Base RI'!A76</f>
        <v>5513</v>
      </c>
      <c r="B74" s="35" t="str">
        <f>'A) Base RI'!B76</f>
        <v>Bioley-Orjulaz</v>
      </c>
      <c r="C74" s="34">
        <f>'D) Ecrêtage'!M74</f>
        <v>22441.228030303031</v>
      </c>
      <c r="D74" s="34">
        <v>128216</v>
      </c>
      <c r="E74" s="10">
        <v>14994</v>
      </c>
      <c r="F74" s="44">
        <v>46329</v>
      </c>
      <c r="G74" s="44">
        <f t="shared" si="9"/>
        <v>189539</v>
      </c>
      <c r="H74" s="10">
        <f t="shared" si="14"/>
        <v>179529.82424242425</v>
      </c>
      <c r="I74" s="34">
        <f t="shared" si="10"/>
        <v>10009.175757575751</v>
      </c>
      <c r="J74" s="2">
        <f t="shared" si="15"/>
        <v>-7090.025809056433</v>
      </c>
      <c r="K74" s="15">
        <v>16842</v>
      </c>
      <c r="L74" s="10">
        <f t="shared" si="16"/>
        <v>22441.228030303031</v>
      </c>
      <c r="M74" s="15">
        <f t="shared" si="11"/>
        <v>0</v>
      </c>
      <c r="N74" s="2">
        <f t="shared" si="17"/>
        <v>0</v>
      </c>
      <c r="O74" s="199">
        <f t="shared" si="12"/>
        <v>-7090.025809056433</v>
      </c>
      <c r="P74" s="419">
        <f t="shared" si="13"/>
        <v>-0.31593751462631942</v>
      </c>
      <c r="Q74" s="192"/>
    </row>
    <row r="75" spans="1:17" x14ac:dyDescent="0.25">
      <c r="A75" s="190">
        <f>'A) Base RI'!A77</f>
        <v>5514</v>
      </c>
      <c r="B75" s="35" t="str">
        <f>'A) Base RI'!B77</f>
        <v>Bottens</v>
      </c>
      <c r="C75" s="34">
        <f>'D) Ecrêtage'!M75</f>
        <v>40579.944927536235</v>
      </c>
      <c r="D75" s="34">
        <v>172386</v>
      </c>
      <c r="E75" s="10">
        <v>58255</v>
      </c>
      <c r="F75" s="44">
        <v>120006</v>
      </c>
      <c r="G75" s="44">
        <f t="shared" si="9"/>
        <v>350647</v>
      </c>
      <c r="H75" s="10">
        <f t="shared" si="14"/>
        <v>324639.55942028988</v>
      </c>
      <c r="I75" s="34">
        <f t="shared" si="10"/>
        <v>26007.440579710121</v>
      </c>
      <c r="J75" s="2">
        <f t="shared" si="15"/>
        <v>-18422.438510791715</v>
      </c>
      <c r="K75" s="15">
        <v>41723</v>
      </c>
      <c r="L75" s="10">
        <f t="shared" si="16"/>
        <v>40579.944927536235</v>
      </c>
      <c r="M75" s="15">
        <f t="shared" si="11"/>
        <v>1143.0550724637651</v>
      </c>
      <c r="N75" s="2">
        <f t="shared" si="17"/>
        <v>-809.68604820501685</v>
      </c>
      <c r="O75" s="199">
        <f t="shared" si="12"/>
        <v>-19232.124558996733</v>
      </c>
      <c r="P75" s="419">
        <f t="shared" si="13"/>
        <v>-0.47393175602725957</v>
      </c>
      <c r="Q75" s="192"/>
    </row>
    <row r="76" spans="1:17" x14ac:dyDescent="0.25">
      <c r="A76" s="190">
        <f>'A) Base RI'!A78</f>
        <v>5515</v>
      </c>
      <c r="B76" s="35" t="str">
        <f>'A) Base RI'!B78</f>
        <v>Bretigny-sur-Morrens</v>
      </c>
      <c r="C76" s="34">
        <f>'D) Ecrêtage'!M76</f>
        <v>25654.980410958906</v>
      </c>
      <c r="D76" s="34">
        <v>189468</v>
      </c>
      <c r="E76" s="10">
        <v>38057</v>
      </c>
      <c r="F76" s="44">
        <v>47848</v>
      </c>
      <c r="G76" s="44">
        <f t="shared" si="9"/>
        <v>275373</v>
      </c>
      <c r="H76" s="10">
        <f t="shared" si="14"/>
        <v>205239.84328767125</v>
      </c>
      <c r="I76" s="34">
        <f t="shared" si="10"/>
        <v>70133.156712328753</v>
      </c>
      <c r="J76" s="2">
        <f t="shared" si="15"/>
        <v>-49679.004865575916</v>
      </c>
      <c r="K76" s="15">
        <v>19408</v>
      </c>
      <c r="L76" s="10">
        <f t="shared" si="16"/>
        <v>25654.980410958906</v>
      </c>
      <c r="M76" s="15">
        <f t="shared" si="11"/>
        <v>0</v>
      </c>
      <c r="N76" s="2">
        <f t="shared" si="17"/>
        <v>0</v>
      </c>
      <c r="O76" s="199">
        <f t="shared" si="12"/>
        <v>-49679.004865575916</v>
      </c>
      <c r="P76" s="419">
        <f t="shared" si="13"/>
        <v>-1.9364273162475225</v>
      </c>
      <c r="Q76" s="192"/>
    </row>
    <row r="77" spans="1:17" x14ac:dyDescent="0.25">
      <c r="A77" s="190">
        <f>'A) Base RI'!A79</f>
        <v>5516</v>
      </c>
      <c r="B77" s="35" t="str">
        <f>'A) Base RI'!B79</f>
        <v>Cugy</v>
      </c>
      <c r="C77" s="34">
        <f>'D) Ecrêtage'!M77</f>
        <v>107712.55485714282</v>
      </c>
      <c r="D77" s="34">
        <v>778975</v>
      </c>
      <c r="E77" s="10">
        <v>131552</v>
      </c>
      <c r="F77" s="44">
        <v>184500</v>
      </c>
      <c r="G77" s="44">
        <f t="shared" si="9"/>
        <v>1095027</v>
      </c>
      <c r="H77" s="10">
        <f t="shared" si="14"/>
        <v>861700.43885714258</v>
      </c>
      <c r="I77" s="34">
        <f t="shared" si="10"/>
        <v>233326.56114285742</v>
      </c>
      <c r="J77" s="2">
        <f t="shared" si="15"/>
        <v>-165277.47943572095</v>
      </c>
      <c r="K77" s="15">
        <v>24755</v>
      </c>
      <c r="L77" s="10">
        <f t="shared" si="16"/>
        <v>107712.55485714282</v>
      </c>
      <c r="M77" s="15">
        <f t="shared" si="11"/>
        <v>0</v>
      </c>
      <c r="N77" s="2">
        <f t="shared" si="17"/>
        <v>0</v>
      </c>
      <c r="O77" s="199">
        <f t="shared" si="12"/>
        <v>-165277.47943572095</v>
      </c>
      <c r="P77" s="419">
        <f t="shared" si="13"/>
        <v>-1.5344309644769398</v>
      </c>
      <c r="Q77" s="192"/>
    </row>
    <row r="78" spans="1:17" x14ac:dyDescent="0.25">
      <c r="A78" s="190">
        <f>'A) Base RI'!A80</f>
        <v>5518</v>
      </c>
      <c r="B78" s="35" t="str">
        <f>'A) Base RI'!B80</f>
        <v>Echallens</v>
      </c>
      <c r="C78" s="34">
        <f>'D) Ecrêtage'!M78</f>
        <v>187267.45324324328</v>
      </c>
      <c r="D78" s="34">
        <v>1666334</v>
      </c>
      <c r="E78" s="10">
        <v>446146</v>
      </c>
      <c r="F78" s="44">
        <v>551429</v>
      </c>
      <c r="G78" s="44">
        <f t="shared" si="9"/>
        <v>2663909</v>
      </c>
      <c r="H78" s="10">
        <f t="shared" si="14"/>
        <v>1498139.6259459462</v>
      </c>
      <c r="I78" s="34">
        <f t="shared" si="10"/>
        <v>1165769.3740540538</v>
      </c>
      <c r="J78" s="2">
        <f t="shared" si="15"/>
        <v>-825775.7831053104</v>
      </c>
      <c r="K78" s="15">
        <v>61801</v>
      </c>
      <c r="L78" s="10">
        <f t="shared" si="16"/>
        <v>187267.45324324328</v>
      </c>
      <c r="M78" s="15">
        <f t="shared" si="11"/>
        <v>0</v>
      </c>
      <c r="N78" s="2">
        <f t="shared" si="17"/>
        <v>0</v>
      </c>
      <c r="O78" s="199">
        <f t="shared" si="12"/>
        <v>-825775.7831053104</v>
      </c>
      <c r="P78" s="419">
        <f t="shared" si="13"/>
        <v>-4.4096065216025728</v>
      </c>
      <c r="Q78" s="192"/>
    </row>
    <row r="79" spans="1:17" x14ac:dyDescent="0.25">
      <c r="A79" s="190">
        <f>'A) Base RI'!A81</f>
        <v>5520</v>
      </c>
      <c r="B79" s="35" t="str">
        <f>'A) Base RI'!B81</f>
        <v>Essertines-sur-Yverdon</v>
      </c>
      <c r="C79" s="34">
        <f>'D) Ecrêtage'!M79</f>
        <v>28096.496575342466</v>
      </c>
      <c r="D79" s="34">
        <v>152128</v>
      </c>
      <c r="E79" s="10">
        <v>56946</v>
      </c>
      <c r="F79" s="44">
        <v>92954</v>
      </c>
      <c r="G79" s="44">
        <f t="shared" si="9"/>
        <v>302028</v>
      </c>
      <c r="H79" s="10">
        <f t="shared" si="14"/>
        <v>224771.97260273973</v>
      </c>
      <c r="I79" s="34">
        <f t="shared" si="10"/>
        <v>77256.027397260274</v>
      </c>
      <c r="J79" s="2">
        <f t="shared" si="15"/>
        <v>-54724.508932433018</v>
      </c>
      <c r="K79" s="15">
        <v>99064</v>
      </c>
      <c r="L79" s="10">
        <f t="shared" si="16"/>
        <v>28096.496575342466</v>
      </c>
      <c r="M79" s="15">
        <f t="shared" si="11"/>
        <v>70967.503424657538</v>
      </c>
      <c r="N79" s="2">
        <f t="shared" si="17"/>
        <v>-50270.016540002267</v>
      </c>
      <c r="O79" s="199">
        <f t="shared" si="12"/>
        <v>-104994.52547243529</v>
      </c>
      <c r="P79" s="419">
        <f t="shared" si="13"/>
        <v>-3.7369258900619897</v>
      </c>
      <c r="Q79" s="192"/>
    </row>
    <row r="80" spans="1:17" x14ac:dyDescent="0.25">
      <c r="A80" s="190">
        <f>'A) Base RI'!A82</f>
        <v>5521</v>
      </c>
      <c r="B80" s="35" t="str">
        <f>'A) Base RI'!B82</f>
        <v>Etagnières</v>
      </c>
      <c r="C80" s="34">
        <f>'D) Ecrêtage'!M80</f>
        <v>40658.047260273968</v>
      </c>
      <c r="D80" s="34">
        <v>143988</v>
      </c>
      <c r="E80" s="10">
        <v>91203</v>
      </c>
      <c r="F80" s="44">
        <v>112725</v>
      </c>
      <c r="G80" s="44">
        <f t="shared" si="9"/>
        <v>347916</v>
      </c>
      <c r="H80" s="10">
        <f t="shared" si="14"/>
        <v>325264.37808219175</v>
      </c>
      <c r="I80" s="34">
        <f t="shared" si="10"/>
        <v>22651.621917808254</v>
      </c>
      <c r="J80" s="2">
        <f t="shared" si="15"/>
        <v>-16045.335590464922</v>
      </c>
      <c r="K80" s="15">
        <v>19588</v>
      </c>
      <c r="L80" s="10">
        <f t="shared" si="16"/>
        <v>40658.047260273968</v>
      </c>
      <c r="M80" s="15">
        <f t="shared" si="11"/>
        <v>0</v>
      </c>
      <c r="N80" s="2">
        <f t="shared" si="17"/>
        <v>0</v>
      </c>
      <c r="O80" s="199">
        <f t="shared" si="12"/>
        <v>-16045.335590464922</v>
      </c>
      <c r="P80" s="419">
        <f t="shared" si="13"/>
        <v>-0.39464107776131307</v>
      </c>
      <c r="Q80" s="192"/>
    </row>
    <row r="81" spans="1:17" x14ac:dyDescent="0.25">
      <c r="A81" s="190">
        <f>'A) Base RI'!A83</f>
        <v>5522</v>
      </c>
      <c r="B81" s="35" t="str">
        <f>'A) Base RI'!B83</f>
        <v>Fey</v>
      </c>
      <c r="C81" s="34">
        <f>'D) Ecrêtage'!M81</f>
        <v>19109.159333333333</v>
      </c>
      <c r="D81" s="34">
        <v>134201</v>
      </c>
      <c r="E81" s="10">
        <v>50536</v>
      </c>
      <c r="F81" s="44">
        <v>62462</v>
      </c>
      <c r="G81" s="44">
        <f t="shared" si="9"/>
        <v>247199</v>
      </c>
      <c r="H81" s="10">
        <f t="shared" si="14"/>
        <v>152873.27466666666</v>
      </c>
      <c r="I81" s="34">
        <f t="shared" si="10"/>
        <v>94325.725333333336</v>
      </c>
      <c r="J81" s="2">
        <f t="shared" si="15"/>
        <v>-66815.874080852373</v>
      </c>
      <c r="K81" s="15">
        <v>35426</v>
      </c>
      <c r="L81" s="10">
        <f t="shared" si="16"/>
        <v>19109.159333333333</v>
      </c>
      <c r="M81" s="15">
        <f t="shared" si="11"/>
        <v>16316.840666666667</v>
      </c>
      <c r="N81" s="2">
        <f t="shared" si="17"/>
        <v>-11558.076733877626</v>
      </c>
      <c r="O81" s="199">
        <f t="shared" si="12"/>
        <v>-78373.950814729993</v>
      </c>
      <c r="P81" s="419">
        <f t="shared" si="13"/>
        <v>-4.1013814081301465</v>
      </c>
      <c r="Q81" s="192"/>
    </row>
    <row r="82" spans="1:17" x14ac:dyDescent="0.25">
      <c r="A82" s="190">
        <f>'A) Base RI'!A84</f>
        <v>5523</v>
      </c>
      <c r="B82" s="35" t="str">
        <f>'A) Base RI'!B84</f>
        <v>Froideville</v>
      </c>
      <c r="C82" s="34">
        <f>'D) Ecrêtage'!M82</f>
        <v>77198.057236842113</v>
      </c>
      <c r="D82" s="34">
        <v>549026</v>
      </c>
      <c r="E82" s="10">
        <v>115651</v>
      </c>
      <c r="F82" s="44">
        <v>171453</v>
      </c>
      <c r="G82" s="44">
        <f t="shared" si="9"/>
        <v>836130</v>
      </c>
      <c r="H82" s="10">
        <f t="shared" si="14"/>
        <v>617584.4578947369</v>
      </c>
      <c r="I82" s="34">
        <f t="shared" si="10"/>
        <v>218545.5421052631</v>
      </c>
      <c r="J82" s="2">
        <f t="shared" si="15"/>
        <v>-154807.30596700363</v>
      </c>
      <c r="K82" s="15">
        <v>20488</v>
      </c>
      <c r="L82" s="10">
        <f t="shared" si="16"/>
        <v>77198.057236842113</v>
      </c>
      <c r="M82" s="15">
        <f t="shared" si="11"/>
        <v>0</v>
      </c>
      <c r="N82" s="2">
        <f t="shared" si="17"/>
        <v>0</v>
      </c>
      <c r="O82" s="199">
        <f t="shared" si="12"/>
        <v>-154807.30596700363</v>
      </c>
      <c r="P82" s="419">
        <f t="shared" si="13"/>
        <v>-2.005326448722121</v>
      </c>
      <c r="Q82" s="192"/>
    </row>
    <row r="83" spans="1:17" x14ac:dyDescent="0.25">
      <c r="A83" s="190">
        <f>'A) Base RI'!A85</f>
        <v>5527</v>
      </c>
      <c r="B83" s="35" t="str">
        <f>'A) Base RI'!B85</f>
        <v>Morrens</v>
      </c>
      <c r="C83" s="34">
        <f>'D) Ecrêtage'!M83</f>
        <v>37560.717323943667</v>
      </c>
      <c r="D83" s="34">
        <v>218368</v>
      </c>
      <c r="E83" s="10">
        <v>33584</v>
      </c>
      <c r="F83" s="44">
        <v>65331</v>
      </c>
      <c r="G83" s="44">
        <f t="shared" si="9"/>
        <v>317283</v>
      </c>
      <c r="H83" s="10">
        <f t="shared" si="14"/>
        <v>300485.73859154934</v>
      </c>
      <c r="I83" s="34">
        <f t="shared" si="10"/>
        <v>16797.261408450664</v>
      </c>
      <c r="J83" s="2">
        <f t="shared" si="15"/>
        <v>-11898.38402200537</v>
      </c>
      <c r="K83" s="15">
        <v>16425</v>
      </c>
      <c r="L83" s="10">
        <f t="shared" si="16"/>
        <v>37560.717323943667</v>
      </c>
      <c r="M83" s="15">
        <f t="shared" si="11"/>
        <v>0</v>
      </c>
      <c r="N83" s="2">
        <f t="shared" si="17"/>
        <v>0</v>
      </c>
      <c r="O83" s="199">
        <f t="shared" si="12"/>
        <v>-11898.38402200537</v>
      </c>
      <c r="P83" s="419">
        <f t="shared" si="13"/>
        <v>-0.31677733732791519</v>
      </c>
      <c r="Q83" s="192"/>
    </row>
    <row r="84" spans="1:17" x14ac:dyDescent="0.25">
      <c r="A84" s="190">
        <f>'A) Base RI'!A86</f>
        <v>5529</v>
      </c>
      <c r="B84" s="35" t="str">
        <f>'A) Base RI'!B86</f>
        <v>Oulens-sous-Echallens</v>
      </c>
      <c r="C84" s="34">
        <f>'D) Ecrêtage'!M84</f>
        <v>19874.862394366199</v>
      </c>
      <c r="D84" s="34">
        <v>189090</v>
      </c>
      <c r="E84" s="10">
        <v>16935</v>
      </c>
      <c r="F84" s="44">
        <v>55329</v>
      </c>
      <c r="G84" s="44">
        <f t="shared" si="9"/>
        <v>261354</v>
      </c>
      <c r="H84" s="10">
        <f t="shared" si="14"/>
        <v>158998.89915492959</v>
      </c>
      <c r="I84" s="34">
        <f t="shared" si="10"/>
        <v>102355.10084507041</v>
      </c>
      <c r="J84" s="2">
        <f t="shared" si="15"/>
        <v>-72503.503211126517</v>
      </c>
      <c r="K84" s="15">
        <v>92954</v>
      </c>
      <c r="L84" s="10">
        <f t="shared" si="16"/>
        <v>19874.862394366199</v>
      </c>
      <c r="M84" s="15">
        <f t="shared" si="11"/>
        <v>73079.137605633805</v>
      </c>
      <c r="N84" s="2">
        <f t="shared" si="17"/>
        <v>-51765.798131316202</v>
      </c>
      <c r="O84" s="199">
        <f t="shared" si="12"/>
        <v>-124269.30134244272</v>
      </c>
      <c r="P84" s="419">
        <f t="shared" si="13"/>
        <v>-6.2525867538921203</v>
      </c>
      <c r="Q84" s="192"/>
    </row>
    <row r="85" spans="1:17" x14ac:dyDescent="0.25">
      <c r="A85" s="190">
        <f>'A) Base RI'!A87</f>
        <v>5530</v>
      </c>
      <c r="B85" s="35" t="str">
        <f>'A) Base RI'!B87</f>
        <v>Pailly</v>
      </c>
      <c r="C85" s="34">
        <f>'D) Ecrêtage'!M85</f>
        <v>15272.027655913982</v>
      </c>
      <c r="D85" s="34">
        <v>525635</v>
      </c>
      <c r="E85" s="10">
        <v>25451</v>
      </c>
      <c r="F85" s="44">
        <v>52427</v>
      </c>
      <c r="G85" s="44">
        <f t="shared" si="9"/>
        <v>603513</v>
      </c>
      <c r="H85" s="10">
        <f t="shared" si="14"/>
        <v>122176.22124731186</v>
      </c>
      <c r="I85" s="34">
        <f t="shared" si="10"/>
        <v>481336.77875268814</v>
      </c>
      <c r="J85" s="2">
        <f t="shared" si="15"/>
        <v>-340956.16530878138</v>
      </c>
      <c r="K85" s="15">
        <v>38709</v>
      </c>
      <c r="L85" s="10">
        <f t="shared" si="16"/>
        <v>15272.027655913982</v>
      </c>
      <c r="M85" s="15">
        <f t="shared" si="11"/>
        <v>23436.972344086018</v>
      </c>
      <c r="N85" s="2">
        <f t="shared" si="17"/>
        <v>-16601.640617604484</v>
      </c>
      <c r="O85" s="199">
        <f t="shared" si="12"/>
        <v>-357557.80592638586</v>
      </c>
      <c r="P85" s="419">
        <f t="shared" si="13"/>
        <v>-23.412595496965604</v>
      </c>
      <c r="Q85" s="192"/>
    </row>
    <row r="86" spans="1:17" x14ac:dyDescent="0.25">
      <c r="A86" s="190">
        <f>'A) Base RI'!A88</f>
        <v>5531</v>
      </c>
      <c r="B86" s="35" t="str">
        <f>'A) Base RI'!B88</f>
        <v>Penthéréaz</v>
      </c>
      <c r="C86" s="34">
        <f>'D) Ecrêtage'!M86</f>
        <v>12101.700128205126</v>
      </c>
      <c r="D86" s="34">
        <v>128712</v>
      </c>
      <c r="E86" s="10">
        <v>12383</v>
      </c>
      <c r="F86" s="44">
        <v>38264</v>
      </c>
      <c r="G86" s="44">
        <f t="shared" si="9"/>
        <v>179359</v>
      </c>
      <c r="H86" s="10">
        <f t="shared" si="14"/>
        <v>96813.601025641008</v>
      </c>
      <c r="I86" s="34">
        <f t="shared" si="10"/>
        <v>82545.398974358992</v>
      </c>
      <c r="J86" s="2">
        <f t="shared" si="15"/>
        <v>-58471.249114004422</v>
      </c>
      <c r="K86" s="15">
        <v>30796</v>
      </c>
      <c r="L86" s="10">
        <f t="shared" si="16"/>
        <v>12101.700128205126</v>
      </c>
      <c r="M86" s="15">
        <f t="shared" si="11"/>
        <v>18694.299871794872</v>
      </c>
      <c r="N86" s="2">
        <f t="shared" si="17"/>
        <v>-13242.156175841625</v>
      </c>
      <c r="O86" s="199">
        <f t="shared" si="12"/>
        <v>-71713.40528984605</v>
      </c>
      <c r="P86" s="419">
        <f t="shared" si="13"/>
        <v>-5.9258950833449786</v>
      </c>
      <c r="Q86" s="192"/>
    </row>
    <row r="87" spans="1:17" x14ac:dyDescent="0.25">
      <c r="A87" s="190">
        <f>'A) Base RI'!A89</f>
        <v>5533</v>
      </c>
      <c r="B87" s="35" t="str">
        <f>'A) Base RI'!B89</f>
        <v>Poliez-Pittet</v>
      </c>
      <c r="C87" s="34">
        <f>'D) Ecrêtage'!M87</f>
        <v>27045.170985915491</v>
      </c>
      <c r="D87" s="34">
        <v>140656</v>
      </c>
      <c r="E87" s="10">
        <v>25944</v>
      </c>
      <c r="F87" s="44">
        <v>80167</v>
      </c>
      <c r="G87" s="44">
        <f t="shared" si="9"/>
        <v>246767</v>
      </c>
      <c r="H87" s="10">
        <f t="shared" si="14"/>
        <v>216361.36788732393</v>
      </c>
      <c r="I87" s="34">
        <f t="shared" si="10"/>
        <v>30405.632112676074</v>
      </c>
      <c r="J87" s="2">
        <f t="shared" si="15"/>
        <v>-21537.908978807031</v>
      </c>
      <c r="K87" s="15">
        <v>45843</v>
      </c>
      <c r="L87" s="10">
        <f t="shared" si="16"/>
        <v>27045.170985915491</v>
      </c>
      <c r="M87" s="15">
        <f t="shared" si="11"/>
        <v>18797.829014084509</v>
      </c>
      <c r="N87" s="2">
        <f t="shared" si="17"/>
        <v>-13315.491314378625</v>
      </c>
      <c r="O87" s="199">
        <f t="shared" si="12"/>
        <v>-34853.400293185652</v>
      </c>
      <c r="P87" s="419">
        <f t="shared" si="13"/>
        <v>-1.2887106652546774</v>
      </c>
      <c r="Q87" s="192"/>
    </row>
    <row r="88" spans="1:17" x14ac:dyDescent="0.25">
      <c r="A88" s="190">
        <f>'A) Base RI'!A90</f>
        <v>5534</v>
      </c>
      <c r="B88" s="35" t="str">
        <f>'A) Base RI'!B90</f>
        <v>Rueyres</v>
      </c>
      <c r="C88" s="34">
        <f>'D) Ecrêtage'!M88</f>
        <v>10934.157945205479</v>
      </c>
      <c r="D88" s="34">
        <v>111712</v>
      </c>
      <c r="E88" s="10">
        <v>16871</v>
      </c>
      <c r="F88" s="44">
        <v>26066</v>
      </c>
      <c r="G88" s="44">
        <f t="shared" si="9"/>
        <v>154649</v>
      </c>
      <c r="H88" s="10">
        <f t="shared" si="14"/>
        <v>87473.263561643835</v>
      </c>
      <c r="I88" s="34">
        <f t="shared" si="10"/>
        <v>67175.736438356165</v>
      </c>
      <c r="J88" s="2">
        <f t="shared" si="15"/>
        <v>-47584.108484640456</v>
      </c>
      <c r="K88" s="15">
        <v>11359</v>
      </c>
      <c r="L88" s="10">
        <f t="shared" si="16"/>
        <v>10934.157945205479</v>
      </c>
      <c r="M88" s="15">
        <f t="shared" si="11"/>
        <v>424.84205479452066</v>
      </c>
      <c r="N88" s="2">
        <f t="shared" si="17"/>
        <v>-300.93797993165299</v>
      </c>
      <c r="O88" s="199">
        <f t="shared" si="12"/>
        <v>-47885.046464572108</v>
      </c>
      <c r="P88" s="419">
        <f t="shared" si="13"/>
        <v>-4.3793995572900268</v>
      </c>
      <c r="Q88" s="192"/>
    </row>
    <row r="89" spans="1:17" x14ac:dyDescent="0.25">
      <c r="A89" s="190">
        <f>'A) Base RI'!A91</f>
        <v>5535</v>
      </c>
      <c r="B89" s="35" t="str">
        <f>'A) Base RI'!B91</f>
        <v>Saint-Barthélemy</v>
      </c>
      <c r="C89" s="34">
        <f>'D) Ecrêtage'!M89</f>
        <v>20697.547200000001</v>
      </c>
      <c r="D89" s="34">
        <v>39906</v>
      </c>
      <c r="E89" s="10">
        <v>24894</v>
      </c>
      <c r="F89" s="44">
        <v>76921</v>
      </c>
      <c r="G89" s="44">
        <f t="shared" si="9"/>
        <v>141721</v>
      </c>
      <c r="H89" s="10">
        <f t="shared" si="14"/>
        <v>165580.37760000001</v>
      </c>
      <c r="I89" s="34">
        <f t="shared" si="10"/>
        <v>0</v>
      </c>
      <c r="J89" s="2">
        <f t="shared" si="15"/>
        <v>0</v>
      </c>
      <c r="K89" s="15">
        <v>13084</v>
      </c>
      <c r="L89" s="10">
        <f t="shared" si="16"/>
        <v>20697.547200000001</v>
      </c>
      <c r="M89" s="15">
        <f t="shared" si="11"/>
        <v>0</v>
      </c>
      <c r="N89" s="2">
        <f t="shared" si="17"/>
        <v>0</v>
      </c>
      <c r="O89" s="199">
        <f t="shared" si="12"/>
        <v>0</v>
      </c>
      <c r="P89" s="419">
        <f t="shared" si="13"/>
        <v>0</v>
      </c>
      <c r="Q89" s="192"/>
    </row>
    <row r="90" spans="1:17" x14ac:dyDescent="0.25">
      <c r="A90" s="190">
        <f>'A) Base RI'!A92</f>
        <v>5537</v>
      </c>
      <c r="B90" s="35" t="str">
        <f>'A) Base RI'!B92</f>
        <v>Villars-le-Terroir</v>
      </c>
      <c r="C90" s="34">
        <f>'D) Ecrêtage'!M90</f>
        <v>30041.138287671231</v>
      </c>
      <c r="D90" s="34">
        <v>209586</v>
      </c>
      <c r="E90" s="10">
        <v>49326</v>
      </c>
      <c r="F90" s="44">
        <v>101610</v>
      </c>
      <c r="G90" s="44">
        <f t="shared" si="9"/>
        <v>360522</v>
      </c>
      <c r="H90" s="10">
        <f t="shared" si="14"/>
        <v>240329.10630136984</v>
      </c>
      <c r="I90" s="34">
        <f t="shared" si="10"/>
        <v>120192.89369863016</v>
      </c>
      <c r="J90" s="2">
        <f t="shared" si="15"/>
        <v>-85138.950401932205</v>
      </c>
      <c r="K90" s="15">
        <v>-7914</v>
      </c>
      <c r="L90" s="10">
        <f t="shared" si="16"/>
        <v>30041.138287671231</v>
      </c>
      <c r="M90" s="15">
        <f t="shared" si="11"/>
        <v>0</v>
      </c>
      <c r="N90" s="2">
        <f t="shared" si="17"/>
        <v>0</v>
      </c>
      <c r="O90" s="199">
        <f t="shared" si="12"/>
        <v>-85138.950401932205</v>
      </c>
      <c r="P90" s="419">
        <f t="shared" si="13"/>
        <v>-2.8340787085578882</v>
      </c>
      <c r="Q90" s="192"/>
    </row>
    <row r="91" spans="1:17" x14ac:dyDescent="0.25">
      <c r="A91" s="190">
        <f>'A) Base RI'!A93</f>
        <v>5539</v>
      </c>
      <c r="B91" s="35" t="str">
        <f>'A) Base RI'!B93</f>
        <v>Vuarrens</v>
      </c>
      <c r="C91" s="34">
        <f>'D) Ecrêtage'!M91</f>
        <v>22727.031566666661</v>
      </c>
      <c r="D91" s="34">
        <v>412148</v>
      </c>
      <c r="E91" s="10">
        <v>44646</v>
      </c>
      <c r="F91" s="44">
        <v>98364</v>
      </c>
      <c r="G91" s="44">
        <f t="shared" si="9"/>
        <v>555158</v>
      </c>
      <c r="H91" s="10">
        <f t="shared" si="14"/>
        <v>181816.25253333329</v>
      </c>
      <c r="I91" s="34">
        <f t="shared" si="10"/>
        <v>373341.74746666674</v>
      </c>
      <c r="J91" s="2">
        <f t="shared" si="15"/>
        <v>-264457.6026286112</v>
      </c>
      <c r="K91" s="15">
        <v>73091</v>
      </c>
      <c r="L91" s="10">
        <f t="shared" si="16"/>
        <v>22727.031566666661</v>
      </c>
      <c r="M91" s="15">
        <f t="shared" si="11"/>
        <v>50363.968433333343</v>
      </c>
      <c r="N91" s="2">
        <f t="shared" si="17"/>
        <v>-35675.44867703702</v>
      </c>
      <c r="O91" s="199">
        <f t="shared" si="12"/>
        <v>-300133.05130564823</v>
      </c>
      <c r="P91" s="419">
        <f t="shared" si="13"/>
        <v>-13.205994387135368</v>
      </c>
      <c r="Q91" s="192"/>
    </row>
    <row r="92" spans="1:17" x14ac:dyDescent="0.25">
      <c r="A92" s="190">
        <f>'A) Base RI'!A94</f>
        <v>5540</v>
      </c>
      <c r="B92" s="35" t="str">
        <f>'A) Base RI'!B94</f>
        <v>Montilliez</v>
      </c>
      <c r="C92" s="34">
        <f>'D) Ecrêtage'!M92</f>
        <v>54875.674391891895</v>
      </c>
      <c r="D92" s="34">
        <v>404215</v>
      </c>
      <c r="E92" s="34">
        <v>131790</v>
      </c>
      <c r="F92" s="15">
        <v>162891</v>
      </c>
      <c r="G92" s="44">
        <f t="shared" si="9"/>
        <v>698896</v>
      </c>
      <c r="H92" s="10">
        <f t="shared" si="14"/>
        <v>439005.39513513516</v>
      </c>
      <c r="I92" s="34">
        <f>IF(G92&gt;H92,G92-H92,0)</f>
        <v>259890.60486486484</v>
      </c>
      <c r="J92" s="2">
        <f t="shared" si="15"/>
        <v>-184094.18923716343</v>
      </c>
      <c r="K92" s="15">
        <v>60810</v>
      </c>
      <c r="L92" s="10">
        <f t="shared" si="16"/>
        <v>54875.674391891895</v>
      </c>
      <c r="M92" s="15">
        <f>IF(K92&gt;L92,K92-L92,0)</f>
        <v>5934.3256081081054</v>
      </c>
      <c r="N92" s="2">
        <f t="shared" si="17"/>
        <v>-4203.5950551658152</v>
      </c>
      <c r="O92" s="199">
        <f>N92+J92</f>
        <v>-188297.78429232925</v>
      </c>
      <c r="P92" s="419">
        <f>O92/C92</f>
        <v>-3.4313525324100804</v>
      </c>
      <c r="Q92" s="192"/>
    </row>
    <row r="93" spans="1:17" x14ac:dyDescent="0.25">
      <c r="A93" s="190">
        <f>'A) Base RI'!A95</f>
        <v>5541</v>
      </c>
      <c r="B93" s="35" t="str">
        <f>'A) Base RI'!B95</f>
        <v>Goumoëns</v>
      </c>
      <c r="C93" s="34">
        <f>'D) Ecrêtage'!M93</f>
        <v>32498.070519480509</v>
      </c>
      <c r="D93" s="34">
        <v>221676</v>
      </c>
      <c r="E93" s="34">
        <v>33584</v>
      </c>
      <c r="F93" s="15">
        <v>103774</v>
      </c>
      <c r="G93" s="44">
        <f t="shared" si="9"/>
        <v>359034</v>
      </c>
      <c r="H93" s="10">
        <f t="shared" si="14"/>
        <v>259984.56415584407</v>
      </c>
      <c r="I93" s="34">
        <f>IF(G93&gt;H93,G93-H93,0)</f>
        <v>99049.435844155931</v>
      </c>
      <c r="J93" s="2">
        <f t="shared" si="15"/>
        <v>-70161.926767647732</v>
      </c>
      <c r="K93" s="15">
        <v>7315</v>
      </c>
      <c r="L93" s="10">
        <f t="shared" si="16"/>
        <v>32498.070519480509</v>
      </c>
      <c r="M93" s="15">
        <f>IF(K93&gt;L93,K93-L93,0)</f>
        <v>0</v>
      </c>
      <c r="N93" s="2">
        <f t="shared" si="17"/>
        <v>0</v>
      </c>
      <c r="O93" s="199">
        <f>N93+J93</f>
        <v>-70161.926767647732</v>
      </c>
      <c r="P93" s="419">
        <f>O93/C93</f>
        <v>-2.1589566902315065</v>
      </c>
      <c r="Q93" s="192"/>
    </row>
    <row r="94" spans="1:17" x14ac:dyDescent="0.25">
      <c r="A94" s="190">
        <f>'A) Base RI'!A96</f>
        <v>5551</v>
      </c>
      <c r="B94" s="35" t="str">
        <f>'A) Base RI'!B96</f>
        <v>Bonvillars</v>
      </c>
      <c r="C94" s="34">
        <f>'D) Ecrêtage'!M94</f>
        <v>19291.965896103895</v>
      </c>
      <c r="D94" s="34">
        <v>110555</v>
      </c>
      <c r="E94" s="10">
        <v>30492</v>
      </c>
      <c r="F94" s="44">
        <v>66456</v>
      </c>
      <c r="G94" s="44">
        <f t="shared" si="9"/>
        <v>207503</v>
      </c>
      <c r="H94" s="10">
        <f t="shared" si="14"/>
        <v>154335.72716883116</v>
      </c>
      <c r="I94" s="34">
        <f t="shared" si="10"/>
        <v>53167.272831168841</v>
      </c>
      <c r="J94" s="2">
        <f t="shared" si="15"/>
        <v>-37661.176674295108</v>
      </c>
      <c r="K94" s="15">
        <v>58632</v>
      </c>
      <c r="L94" s="10">
        <f t="shared" si="16"/>
        <v>19291.965896103895</v>
      </c>
      <c r="M94" s="15">
        <f t="shared" si="11"/>
        <v>39340.034103896105</v>
      </c>
      <c r="N94" s="2">
        <f t="shared" si="17"/>
        <v>-27866.61598130826</v>
      </c>
      <c r="O94" s="199">
        <f t="shared" si="12"/>
        <v>-65527.792655603364</v>
      </c>
      <c r="P94" s="419">
        <f t="shared" si="13"/>
        <v>-3.3966363515517624</v>
      </c>
      <c r="Q94" s="192"/>
    </row>
    <row r="95" spans="1:17" x14ac:dyDescent="0.25">
      <c r="A95" s="190">
        <f>'A) Base RI'!A97</f>
        <v>5552</v>
      </c>
      <c r="B95" s="35" t="str">
        <f>'A) Base RI'!B97</f>
        <v>Bullet</v>
      </c>
      <c r="C95" s="34">
        <f>'D) Ecrêtage'!M95</f>
        <v>15735.537571428569</v>
      </c>
      <c r="D95" s="34">
        <v>295943</v>
      </c>
      <c r="E95" s="10">
        <v>24345</v>
      </c>
      <c r="F95" s="44">
        <v>46812</v>
      </c>
      <c r="G95" s="44">
        <f t="shared" si="9"/>
        <v>367100</v>
      </c>
      <c r="H95" s="10">
        <f t="shared" si="14"/>
        <v>125884.30057142855</v>
      </c>
      <c r="I95" s="34">
        <f t="shared" si="10"/>
        <v>241215.69942857145</v>
      </c>
      <c r="J95" s="2">
        <f t="shared" si="15"/>
        <v>-170865.77116040091</v>
      </c>
      <c r="K95" s="15">
        <v>33820</v>
      </c>
      <c r="L95" s="10">
        <f t="shared" si="16"/>
        <v>15735.537571428569</v>
      </c>
      <c r="M95" s="15">
        <f t="shared" si="11"/>
        <v>18084.462428571431</v>
      </c>
      <c r="N95" s="2">
        <f t="shared" si="17"/>
        <v>-12810.176228990296</v>
      </c>
      <c r="O95" s="199">
        <f t="shared" si="12"/>
        <v>-183675.94738939119</v>
      </c>
      <c r="P95" s="419">
        <f t="shared" si="13"/>
        <v>-11.672683348479715</v>
      </c>
      <c r="Q95" s="192"/>
    </row>
    <row r="96" spans="1:17" x14ac:dyDescent="0.25">
      <c r="A96" s="190">
        <f>'A) Base RI'!A98</f>
        <v>5553</v>
      </c>
      <c r="B96" s="35" t="str">
        <f>'A) Base RI'!B98</f>
        <v>Champagne</v>
      </c>
      <c r="C96" s="34">
        <f>'D) Ecrêtage'!M96</f>
        <v>33369.783650793652</v>
      </c>
      <c r="D96" s="34">
        <v>515353</v>
      </c>
      <c r="E96" s="10">
        <v>63153</v>
      </c>
      <c r="F96" s="44">
        <v>150249</v>
      </c>
      <c r="G96" s="44">
        <f t="shared" si="9"/>
        <v>728755</v>
      </c>
      <c r="H96" s="10">
        <f t="shared" si="14"/>
        <v>266958.26920634921</v>
      </c>
      <c r="I96" s="34">
        <f t="shared" si="10"/>
        <v>461796.73079365079</v>
      </c>
      <c r="J96" s="2">
        <f t="shared" si="15"/>
        <v>-327114.92126479332</v>
      </c>
      <c r="K96" s="15">
        <v>36853</v>
      </c>
      <c r="L96" s="10">
        <f t="shared" si="16"/>
        <v>33369.783650793652</v>
      </c>
      <c r="M96" s="15">
        <f t="shared" si="11"/>
        <v>3483.2163492063482</v>
      </c>
      <c r="N96" s="2">
        <f t="shared" si="17"/>
        <v>-2467.3454051107392</v>
      </c>
      <c r="O96" s="199">
        <f t="shared" si="12"/>
        <v>-329582.26666990406</v>
      </c>
      <c r="P96" s="419">
        <f t="shared" si="13"/>
        <v>-9.8766677698273124</v>
      </c>
      <c r="Q96" s="192"/>
    </row>
    <row r="97" spans="1:17" x14ac:dyDescent="0.25">
      <c r="A97" s="190">
        <f>'A) Base RI'!A99</f>
        <v>5554</v>
      </c>
      <c r="B97" s="35" t="str">
        <f>'A) Base RI'!B99</f>
        <v>Concise</v>
      </c>
      <c r="C97" s="34">
        <f>'D) Ecrêtage'!M97</f>
        <v>28986.7088</v>
      </c>
      <c r="D97" s="34">
        <v>180405</v>
      </c>
      <c r="E97" s="10">
        <v>76652</v>
      </c>
      <c r="F97" s="44">
        <v>114131</v>
      </c>
      <c r="G97" s="44">
        <f t="shared" si="9"/>
        <v>371188</v>
      </c>
      <c r="H97" s="10">
        <f t="shared" si="14"/>
        <v>231893.6704</v>
      </c>
      <c r="I97" s="34">
        <f t="shared" si="10"/>
        <v>139294.3296</v>
      </c>
      <c r="J97" s="2">
        <f t="shared" si="15"/>
        <v>-98669.502448462634</v>
      </c>
      <c r="K97" s="15">
        <v>24684</v>
      </c>
      <c r="L97" s="10">
        <f t="shared" si="16"/>
        <v>28986.7088</v>
      </c>
      <c r="M97" s="15">
        <f t="shared" si="11"/>
        <v>0</v>
      </c>
      <c r="N97" s="2">
        <f t="shared" si="17"/>
        <v>0</v>
      </c>
      <c r="O97" s="199">
        <f t="shared" si="12"/>
        <v>-98669.502448462634</v>
      </c>
      <c r="P97" s="419">
        <f t="shared" si="13"/>
        <v>-3.4039567282113321</v>
      </c>
      <c r="Q97" s="192"/>
    </row>
    <row r="98" spans="1:17" x14ac:dyDescent="0.25">
      <c r="A98" s="190">
        <f>'A) Base RI'!A100</f>
        <v>5555</v>
      </c>
      <c r="B98" s="35" t="str">
        <f>'A) Base RI'!B100</f>
        <v>Corcelles-près-Concise</v>
      </c>
      <c r="C98" s="34">
        <f>'D) Ecrêtage'!M98</f>
        <v>11040.372394366199</v>
      </c>
      <c r="D98" s="34">
        <v>137499</v>
      </c>
      <c r="E98" s="10">
        <v>20308</v>
      </c>
      <c r="F98" s="44">
        <v>43341</v>
      </c>
      <c r="G98" s="44">
        <f t="shared" si="9"/>
        <v>201148</v>
      </c>
      <c r="H98" s="10">
        <f t="shared" si="14"/>
        <v>88322.979154929591</v>
      </c>
      <c r="I98" s="34">
        <f t="shared" si="10"/>
        <v>112825.02084507041</v>
      </c>
      <c r="J98" s="2">
        <f t="shared" si="15"/>
        <v>-79919.898408560359</v>
      </c>
      <c r="K98" s="15">
        <v>36361</v>
      </c>
      <c r="L98" s="10">
        <f t="shared" si="16"/>
        <v>11040.372394366199</v>
      </c>
      <c r="M98" s="15">
        <f t="shared" si="11"/>
        <v>25320.627605633803</v>
      </c>
      <c r="N98" s="2">
        <f t="shared" si="17"/>
        <v>-17935.932745468304</v>
      </c>
      <c r="O98" s="199">
        <f t="shared" si="12"/>
        <v>-97855.831154028667</v>
      </c>
      <c r="P98" s="419">
        <f t="shared" si="13"/>
        <v>-8.863453845448511</v>
      </c>
      <c r="Q98" s="192"/>
    </row>
    <row r="99" spans="1:17" x14ac:dyDescent="0.25">
      <c r="A99" s="190">
        <f>'A) Base RI'!A101</f>
        <v>5556</v>
      </c>
      <c r="B99" s="35" t="str">
        <f>'A) Base RI'!B101</f>
        <v>Fiez</v>
      </c>
      <c r="C99" s="34">
        <f>'D) Ecrêtage'!M99</f>
        <v>12472.754202898552</v>
      </c>
      <c r="D99" s="34">
        <v>54646</v>
      </c>
      <c r="E99" s="10">
        <v>16913</v>
      </c>
      <c r="F99" s="44">
        <v>75518</v>
      </c>
      <c r="G99" s="44">
        <f t="shared" si="9"/>
        <v>147077</v>
      </c>
      <c r="H99" s="10">
        <f t="shared" si="14"/>
        <v>99782.033623188414</v>
      </c>
      <c r="I99" s="34">
        <f t="shared" si="10"/>
        <v>47294.966376811586</v>
      </c>
      <c r="J99" s="2">
        <f t="shared" si="15"/>
        <v>-33501.513048789384</v>
      </c>
      <c r="K99" s="15">
        <v>17782</v>
      </c>
      <c r="L99" s="10">
        <f t="shared" si="16"/>
        <v>12472.754202898552</v>
      </c>
      <c r="M99" s="15">
        <f t="shared" si="11"/>
        <v>5309.2457971014483</v>
      </c>
      <c r="N99" s="2">
        <f t="shared" si="17"/>
        <v>-3760.8181372559711</v>
      </c>
      <c r="O99" s="199">
        <f t="shared" si="12"/>
        <v>-37262.331186045354</v>
      </c>
      <c r="P99" s="419">
        <f t="shared" si="13"/>
        <v>-2.9874982365471401</v>
      </c>
      <c r="Q99" s="192"/>
    </row>
    <row r="100" spans="1:17" x14ac:dyDescent="0.25">
      <c r="A100" s="190">
        <f>'A) Base RI'!A102</f>
        <v>5557</v>
      </c>
      <c r="B100" s="35" t="str">
        <f>'A) Base RI'!B102</f>
        <v>Fontaines-sur-Grandson</v>
      </c>
      <c r="C100" s="34">
        <f>'D) Ecrêtage'!M100</f>
        <v>4030.2872463768117</v>
      </c>
      <c r="D100" s="34">
        <v>18728</v>
      </c>
      <c r="E100" s="10">
        <v>7673</v>
      </c>
      <c r="F100" s="44">
        <v>33950</v>
      </c>
      <c r="G100" s="44">
        <f t="shared" si="9"/>
        <v>60351</v>
      </c>
      <c r="H100" s="10">
        <f t="shared" si="14"/>
        <v>32242.297971014494</v>
      </c>
      <c r="I100" s="34">
        <f t="shared" si="10"/>
        <v>28108.702028985506</v>
      </c>
      <c r="J100" s="2">
        <f t="shared" si="15"/>
        <v>-19910.872550493914</v>
      </c>
      <c r="K100" s="15">
        <v>24986</v>
      </c>
      <c r="L100" s="10">
        <f t="shared" si="16"/>
        <v>4030.2872463768117</v>
      </c>
      <c r="M100" s="15">
        <f t="shared" si="11"/>
        <v>20955.712753623189</v>
      </c>
      <c r="N100" s="2">
        <f t="shared" si="17"/>
        <v>-14844.033901383613</v>
      </c>
      <c r="O100" s="199">
        <f t="shared" si="12"/>
        <v>-34754.906451877527</v>
      </c>
      <c r="P100" s="419">
        <f t="shared" si="13"/>
        <v>-8.6234316134964928</v>
      </c>
      <c r="Q100" s="192"/>
    </row>
    <row r="101" spans="1:17" x14ac:dyDescent="0.25">
      <c r="A101" s="190">
        <f>'A) Base RI'!A103</f>
        <v>5559</v>
      </c>
      <c r="B101" s="35" t="str">
        <f>'A) Base RI'!B103</f>
        <v>Giez</v>
      </c>
      <c r="C101" s="34">
        <f>'D) Ecrêtage'!M101</f>
        <v>18149.138484848489</v>
      </c>
      <c r="D101" s="34">
        <v>61944</v>
      </c>
      <c r="E101" s="10">
        <v>15627</v>
      </c>
      <c r="F101" s="44">
        <v>62768</v>
      </c>
      <c r="G101" s="44">
        <f t="shared" si="9"/>
        <v>140339</v>
      </c>
      <c r="H101" s="10">
        <f t="shared" si="14"/>
        <v>145193.10787878791</v>
      </c>
      <c r="I101" s="34">
        <f t="shared" si="10"/>
        <v>0</v>
      </c>
      <c r="J101" s="2">
        <f t="shared" si="15"/>
        <v>0</v>
      </c>
      <c r="K101" s="15">
        <v>8740</v>
      </c>
      <c r="L101" s="10">
        <f t="shared" si="16"/>
        <v>18149.138484848489</v>
      </c>
      <c r="M101" s="15">
        <f t="shared" si="11"/>
        <v>0</v>
      </c>
      <c r="N101" s="2">
        <f t="shared" si="17"/>
        <v>0</v>
      </c>
      <c r="O101" s="199">
        <f t="shared" si="12"/>
        <v>0</v>
      </c>
      <c r="P101" s="419">
        <f t="shared" si="13"/>
        <v>0</v>
      </c>
      <c r="Q101" s="192"/>
    </row>
    <row r="102" spans="1:17" x14ac:dyDescent="0.25">
      <c r="A102" s="190">
        <f>'A) Base RI'!A104</f>
        <v>5560</v>
      </c>
      <c r="B102" s="35" t="str">
        <f>'A) Base RI'!B104</f>
        <v>Grandevent</v>
      </c>
      <c r="C102" s="34">
        <f>'D) Ecrêtage'!M102</f>
        <v>6446.6273529411765</v>
      </c>
      <c r="D102" s="34">
        <v>31887</v>
      </c>
      <c r="E102" s="10">
        <v>9320</v>
      </c>
      <c r="F102" s="44">
        <v>24560</v>
      </c>
      <c r="G102" s="44">
        <f t="shared" si="9"/>
        <v>65767</v>
      </c>
      <c r="H102" s="10">
        <f t="shared" si="14"/>
        <v>51573.018823529412</v>
      </c>
      <c r="I102" s="34">
        <f t="shared" si="10"/>
        <v>14193.981176470588</v>
      </c>
      <c r="J102" s="2">
        <f t="shared" si="15"/>
        <v>-10054.343665438031</v>
      </c>
      <c r="K102" s="15">
        <v>17754</v>
      </c>
      <c r="L102" s="10">
        <f t="shared" si="16"/>
        <v>6446.6273529411765</v>
      </c>
      <c r="M102" s="15">
        <f t="shared" si="11"/>
        <v>11307.372647058823</v>
      </c>
      <c r="N102" s="2">
        <f t="shared" si="17"/>
        <v>-8009.6069688442649</v>
      </c>
      <c r="O102" s="199">
        <f t="shared" si="12"/>
        <v>-18063.950634282297</v>
      </c>
      <c r="P102" s="419">
        <f t="shared" si="13"/>
        <v>-2.8020776826879703</v>
      </c>
      <c r="Q102" s="192"/>
    </row>
    <row r="103" spans="1:17" x14ac:dyDescent="0.25">
      <c r="A103" s="190">
        <f>'A) Base RI'!A105</f>
        <v>5561</v>
      </c>
      <c r="B103" s="35" t="str">
        <f>'A) Base RI'!B105</f>
        <v>Grandson</v>
      </c>
      <c r="C103" s="34">
        <f>'D) Ecrêtage'!M103</f>
        <v>115170.40130434782</v>
      </c>
      <c r="D103" s="34">
        <v>1194029</v>
      </c>
      <c r="E103" s="10">
        <v>331735</v>
      </c>
      <c r="F103" s="44">
        <v>419138</v>
      </c>
      <c r="G103" s="44">
        <f t="shared" si="9"/>
        <v>1944902</v>
      </c>
      <c r="H103" s="10">
        <f t="shared" si="14"/>
        <v>921363.21043478255</v>
      </c>
      <c r="I103" s="34">
        <f t="shared" si="10"/>
        <v>1023538.7895652174</v>
      </c>
      <c r="J103" s="2">
        <f t="shared" si="15"/>
        <v>-725026.37683179392</v>
      </c>
      <c r="K103" s="15">
        <v>40099</v>
      </c>
      <c r="L103" s="10">
        <f t="shared" si="16"/>
        <v>115170.40130434782</v>
      </c>
      <c r="M103" s="15">
        <f t="shared" si="11"/>
        <v>0</v>
      </c>
      <c r="N103" s="2">
        <f t="shared" si="17"/>
        <v>0</v>
      </c>
      <c r="O103" s="199">
        <f t="shared" si="12"/>
        <v>-725026.37683179392</v>
      </c>
      <c r="P103" s="419">
        <f t="shared" si="13"/>
        <v>-6.2952492013624974</v>
      </c>
      <c r="Q103" s="192"/>
    </row>
    <row r="104" spans="1:17" x14ac:dyDescent="0.25">
      <c r="A104" s="190">
        <f>'A) Base RI'!A106</f>
        <v>5562</v>
      </c>
      <c r="B104" s="35" t="str">
        <f>'A) Base RI'!B106</f>
        <v>Mauborget</v>
      </c>
      <c r="C104" s="34">
        <f>'D) Ecrêtage'!M104</f>
        <v>3662.5545714285713</v>
      </c>
      <c r="D104" s="34">
        <v>33113</v>
      </c>
      <c r="E104" s="10">
        <v>4781</v>
      </c>
      <c r="F104" s="44">
        <v>10076</v>
      </c>
      <c r="G104" s="44">
        <f t="shared" si="9"/>
        <v>47970</v>
      </c>
      <c r="H104" s="10">
        <f t="shared" si="14"/>
        <v>29300.43657142857</v>
      </c>
      <c r="I104" s="34">
        <f t="shared" si="10"/>
        <v>18669.56342857143</v>
      </c>
      <c r="J104" s="2">
        <f t="shared" si="15"/>
        <v>-13224.634051630175</v>
      </c>
      <c r="K104" s="15">
        <v>12205</v>
      </c>
      <c r="L104" s="10">
        <f t="shared" si="16"/>
        <v>3662.5545714285713</v>
      </c>
      <c r="M104" s="15">
        <f t="shared" si="11"/>
        <v>8542.4454285714291</v>
      </c>
      <c r="N104" s="2">
        <f t="shared" si="17"/>
        <v>-6051.0635468845894</v>
      </c>
      <c r="O104" s="199">
        <f t="shared" si="12"/>
        <v>-19275.697598514766</v>
      </c>
      <c r="P104" s="419">
        <f t="shared" si="13"/>
        <v>-5.2629106877706731</v>
      </c>
      <c r="Q104" s="192"/>
    </row>
    <row r="105" spans="1:17" x14ac:dyDescent="0.25">
      <c r="A105" s="190">
        <f>'A) Base RI'!A107</f>
        <v>5563</v>
      </c>
      <c r="B105" s="35" t="str">
        <f>'A) Base RI'!B107</f>
        <v>Mutrux</v>
      </c>
      <c r="C105" s="34">
        <f>'D) Ecrêtage'!M105</f>
        <v>4275.1686624203812</v>
      </c>
      <c r="D105" s="34">
        <v>25660</v>
      </c>
      <c r="E105" s="10">
        <v>6147</v>
      </c>
      <c r="F105" s="44">
        <v>20948</v>
      </c>
      <c r="G105" s="44">
        <f t="shared" si="9"/>
        <v>52755</v>
      </c>
      <c r="H105" s="10">
        <f t="shared" si="14"/>
        <v>34201.34929936305</v>
      </c>
      <c r="I105" s="34">
        <f t="shared" si="10"/>
        <v>18553.65070063695</v>
      </c>
      <c r="J105" s="2">
        <f t="shared" si="15"/>
        <v>-13142.526967834432</v>
      </c>
      <c r="K105" s="15">
        <v>15368</v>
      </c>
      <c r="L105" s="10">
        <f t="shared" si="16"/>
        <v>4275.1686624203812</v>
      </c>
      <c r="M105" s="15">
        <f t="shared" si="11"/>
        <v>11092.831337579619</v>
      </c>
      <c r="N105" s="2">
        <f t="shared" si="17"/>
        <v>-7857.6360715238707</v>
      </c>
      <c r="O105" s="199">
        <f t="shared" si="12"/>
        <v>-21000.163039358304</v>
      </c>
      <c r="P105" s="419">
        <f t="shared" si="13"/>
        <v>-4.9121250405753791</v>
      </c>
      <c r="Q105" s="192"/>
    </row>
    <row r="106" spans="1:17" x14ac:dyDescent="0.25">
      <c r="A106" s="190">
        <f>'A) Base RI'!A108</f>
        <v>5564</v>
      </c>
      <c r="B106" s="35" t="str">
        <f>'A) Base RI'!B108</f>
        <v>Novalles</v>
      </c>
      <c r="C106" s="34">
        <f>'D) Ecrêtage'!M106</f>
        <v>2063.0078618421053</v>
      </c>
      <c r="D106" s="34">
        <v>4380</v>
      </c>
      <c r="E106" s="10">
        <v>4097</v>
      </c>
      <c r="F106" s="44">
        <v>16614</v>
      </c>
      <c r="G106" s="44">
        <f t="shared" si="9"/>
        <v>25091</v>
      </c>
      <c r="H106" s="10">
        <f t="shared" si="14"/>
        <v>16504.062894736842</v>
      </c>
      <c r="I106" s="34">
        <f t="shared" si="10"/>
        <v>8586.9371052631577</v>
      </c>
      <c r="J106" s="2">
        <f t="shared" si="15"/>
        <v>-6082.579342357938</v>
      </c>
      <c r="K106" s="15">
        <v>6785</v>
      </c>
      <c r="L106" s="10">
        <f t="shared" si="16"/>
        <v>2063.0078618421053</v>
      </c>
      <c r="M106" s="15">
        <f t="shared" si="11"/>
        <v>4721.9921381578952</v>
      </c>
      <c r="N106" s="2">
        <f t="shared" si="17"/>
        <v>-3344.835473026978</v>
      </c>
      <c r="O106" s="199">
        <f t="shared" si="12"/>
        <v>-9427.4148153849164</v>
      </c>
      <c r="P106" s="419">
        <f t="shared" si="13"/>
        <v>-4.5697425539459502</v>
      </c>
      <c r="Q106" s="192"/>
    </row>
    <row r="107" spans="1:17" x14ac:dyDescent="0.25">
      <c r="A107" s="190">
        <f>'A) Base RI'!A109</f>
        <v>5565</v>
      </c>
      <c r="B107" s="35" t="str">
        <f>'A) Base RI'!B109</f>
        <v>Onnens</v>
      </c>
      <c r="C107" s="34">
        <f>'D) Ecrêtage'!M107</f>
        <v>17902.806410256413</v>
      </c>
      <c r="D107" s="34">
        <v>98084</v>
      </c>
      <c r="E107" s="10">
        <v>29709</v>
      </c>
      <c r="F107" s="44">
        <v>74402</v>
      </c>
      <c r="G107" s="44">
        <f t="shared" si="9"/>
        <v>202195</v>
      </c>
      <c r="H107" s="10">
        <f t="shared" si="14"/>
        <v>143222.4512820513</v>
      </c>
      <c r="I107" s="34">
        <f t="shared" si="10"/>
        <v>58972.548717948695</v>
      </c>
      <c r="J107" s="2">
        <f t="shared" si="15"/>
        <v>-41773.359022058285</v>
      </c>
      <c r="K107" s="15">
        <v>40022</v>
      </c>
      <c r="L107" s="10">
        <f t="shared" si="16"/>
        <v>17902.806410256413</v>
      </c>
      <c r="M107" s="15">
        <f t="shared" si="11"/>
        <v>22119.193589743587</v>
      </c>
      <c r="N107" s="2">
        <f t="shared" si="17"/>
        <v>-15668.188592662022</v>
      </c>
      <c r="O107" s="199">
        <f t="shared" si="12"/>
        <v>-57441.547614720308</v>
      </c>
      <c r="P107" s="419">
        <f t="shared" si="13"/>
        <v>-3.2085219656853567</v>
      </c>
      <c r="Q107" s="192"/>
    </row>
    <row r="108" spans="1:17" x14ac:dyDescent="0.25">
      <c r="A108" s="190">
        <f>'A) Base RI'!A110</f>
        <v>5566</v>
      </c>
      <c r="B108" s="35" t="str">
        <f>'A) Base RI'!B110</f>
        <v>Provence</v>
      </c>
      <c r="C108" s="34">
        <f>'D) Ecrêtage'!M108</f>
        <v>8605.0976954732487</v>
      </c>
      <c r="D108" s="34">
        <v>181248</v>
      </c>
      <c r="E108" s="10">
        <v>15467</v>
      </c>
      <c r="F108" s="44">
        <v>33228</v>
      </c>
      <c r="G108" s="44">
        <f t="shared" si="9"/>
        <v>229943</v>
      </c>
      <c r="H108" s="10">
        <f t="shared" si="14"/>
        <v>68840.781563785989</v>
      </c>
      <c r="I108" s="34">
        <f t="shared" si="10"/>
        <v>161102.21843621403</v>
      </c>
      <c r="J108" s="2">
        <f t="shared" si="15"/>
        <v>-114117.17750529869</v>
      </c>
      <c r="K108" s="15">
        <v>23413</v>
      </c>
      <c r="L108" s="10">
        <f t="shared" si="16"/>
        <v>8605.0976954732487</v>
      </c>
      <c r="M108" s="15">
        <f t="shared" si="11"/>
        <v>14807.902304526751</v>
      </c>
      <c r="N108" s="2">
        <f t="shared" si="17"/>
        <v>-10489.216301114226</v>
      </c>
      <c r="O108" s="199">
        <f t="shared" si="12"/>
        <v>-124606.39380641292</v>
      </c>
      <c r="P108" s="419">
        <f t="shared" si="13"/>
        <v>-14.480532146888081</v>
      </c>
      <c r="Q108" s="192"/>
    </row>
    <row r="109" spans="1:17" x14ac:dyDescent="0.25">
      <c r="A109" s="190">
        <f>'A) Base RI'!A111</f>
        <v>5568</v>
      </c>
      <c r="B109" s="35" t="str">
        <f>'A) Base RI'!B111</f>
        <v>Sainte-Croix</v>
      </c>
      <c r="C109" s="34">
        <f>'D) Ecrêtage'!M109</f>
        <v>96229.339714285714</v>
      </c>
      <c r="D109" s="34">
        <v>1519882</v>
      </c>
      <c r="E109" s="10">
        <v>478369</v>
      </c>
      <c r="F109" s="44">
        <v>165766</v>
      </c>
      <c r="G109" s="44">
        <f t="shared" si="9"/>
        <v>2164017</v>
      </c>
      <c r="H109" s="10">
        <f t="shared" si="14"/>
        <v>769834.71771428571</v>
      </c>
      <c r="I109" s="34">
        <f t="shared" si="10"/>
        <v>1394182.2822857143</v>
      </c>
      <c r="J109" s="2">
        <f t="shared" si="15"/>
        <v>-987572.66365847469</v>
      </c>
      <c r="K109" s="15">
        <v>-71518</v>
      </c>
      <c r="L109" s="10">
        <f t="shared" si="16"/>
        <v>96229.339714285714</v>
      </c>
      <c r="M109" s="15">
        <f t="shared" si="11"/>
        <v>0</v>
      </c>
      <c r="N109" s="2">
        <f t="shared" si="17"/>
        <v>0</v>
      </c>
      <c r="O109" s="199">
        <f t="shared" si="12"/>
        <v>-987572.66365847469</v>
      </c>
      <c r="P109" s="419">
        <f t="shared" si="13"/>
        <v>-10.262698118792814</v>
      </c>
      <c r="Q109" s="192"/>
    </row>
    <row r="110" spans="1:17" x14ac:dyDescent="0.25">
      <c r="A110" s="190">
        <f>'A) Base RI'!A112</f>
        <v>5571</v>
      </c>
      <c r="B110" s="35" t="str">
        <f>'A) Base RI'!B112</f>
        <v>Tévenon</v>
      </c>
      <c r="C110" s="34">
        <f>'D) Ecrêtage'!M110</f>
        <v>20963.465799086756</v>
      </c>
      <c r="D110" s="6">
        <v>177483</v>
      </c>
      <c r="E110" s="10">
        <v>32580</v>
      </c>
      <c r="F110" s="6">
        <v>101851</v>
      </c>
      <c r="G110" s="44">
        <f t="shared" si="9"/>
        <v>311914</v>
      </c>
      <c r="H110" s="10">
        <f t="shared" si="14"/>
        <v>167707.72639269405</v>
      </c>
      <c r="I110" s="34">
        <f t="shared" si="10"/>
        <v>144206.27360730595</v>
      </c>
      <c r="J110" s="2">
        <f t="shared" si="15"/>
        <v>-102148.89082448154</v>
      </c>
      <c r="K110" s="15">
        <v>55881</v>
      </c>
      <c r="L110" s="10">
        <f t="shared" si="16"/>
        <v>20963.465799086756</v>
      </c>
      <c r="M110" s="15">
        <f t="shared" si="11"/>
        <v>34917.534200913244</v>
      </c>
      <c r="N110" s="2">
        <f t="shared" si="17"/>
        <v>-24733.926615856206</v>
      </c>
      <c r="O110" s="199">
        <f t="shared" si="12"/>
        <v>-126882.81744033775</v>
      </c>
      <c r="P110" s="419">
        <f t="shared" si="13"/>
        <v>-6.0525687239113495</v>
      </c>
      <c r="Q110" s="192"/>
    </row>
    <row r="111" spans="1:17" x14ac:dyDescent="0.25">
      <c r="A111" s="190">
        <f>'A) Base RI'!A113</f>
        <v>5581</v>
      </c>
      <c r="B111" s="35" t="str">
        <f>'A) Base RI'!B113</f>
        <v>Belmont-sur-Lausanne</v>
      </c>
      <c r="C111" s="34">
        <f>'D) Ecrêtage'!M111</f>
        <v>187042.91923261393</v>
      </c>
      <c r="D111" s="34">
        <v>926198</v>
      </c>
      <c r="E111" s="10">
        <v>1150828</v>
      </c>
      <c r="F111" s="44">
        <v>241166</v>
      </c>
      <c r="G111" s="44">
        <f t="shared" si="9"/>
        <v>2318192</v>
      </c>
      <c r="H111" s="10">
        <f t="shared" si="14"/>
        <v>1496343.3538609114</v>
      </c>
      <c r="I111" s="34">
        <f t="shared" si="10"/>
        <v>821848.64613908855</v>
      </c>
      <c r="J111" s="2">
        <f t="shared" si="15"/>
        <v>-582158.63657443889</v>
      </c>
      <c r="K111" s="15">
        <v>7753</v>
      </c>
      <c r="L111" s="10">
        <f t="shared" si="16"/>
        <v>187042.91923261393</v>
      </c>
      <c r="M111" s="15">
        <f t="shared" si="11"/>
        <v>0</v>
      </c>
      <c r="N111" s="2">
        <f t="shared" si="17"/>
        <v>0</v>
      </c>
      <c r="O111" s="199">
        <f t="shared" si="12"/>
        <v>-582158.63657443889</v>
      </c>
      <c r="P111" s="419">
        <f t="shared" si="13"/>
        <v>-3.1124334402118881</v>
      </c>
      <c r="Q111" s="192"/>
    </row>
    <row r="112" spans="1:17" x14ac:dyDescent="0.25">
      <c r="A112" s="190">
        <f>'A) Base RI'!A114</f>
        <v>5582</v>
      </c>
      <c r="B112" s="35" t="str">
        <f>'A) Base RI'!B114</f>
        <v>Cheseaux-sur-Lausanne</v>
      </c>
      <c r="C112" s="34">
        <f>'D) Ecrêtage'!M112</f>
        <v>203617.184295302</v>
      </c>
      <c r="D112" s="34">
        <v>1111017</v>
      </c>
      <c r="E112" s="10">
        <v>395512</v>
      </c>
      <c r="F112" s="44">
        <v>205354</v>
      </c>
      <c r="G112" s="44">
        <f t="shared" si="9"/>
        <v>1711883</v>
      </c>
      <c r="H112" s="10">
        <f t="shared" si="14"/>
        <v>1628937.474362416</v>
      </c>
      <c r="I112" s="34">
        <f t="shared" si="10"/>
        <v>82945.52563758404</v>
      </c>
      <c r="J112" s="2">
        <f t="shared" si="15"/>
        <v>-58754.679881718737</v>
      </c>
      <c r="K112" s="15">
        <v>119828</v>
      </c>
      <c r="L112" s="10">
        <f t="shared" si="16"/>
        <v>203617.184295302</v>
      </c>
      <c r="M112" s="15">
        <f t="shared" si="11"/>
        <v>0</v>
      </c>
      <c r="N112" s="2">
        <f t="shared" si="17"/>
        <v>0</v>
      </c>
      <c r="O112" s="199">
        <f t="shared" si="12"/>
        <v>-58754.679881718737</v>
      </c>
      <c r="P112" s="419">
        <f t="shared" si="13"/>
        <v>-0.28855462315257235</v>
      </c>
      <c r="Q112" s="192"/>
    </row>
    <row r="113" spans="1:17" x14ac:dyDescent="0.25">
      <c r="A113" s="190">
        <f>'A) Base RI'!A115</f>
        <v>5583</v>
      </c>
      <c r="B113" s="35" t="str">
        <f>'A) Base RI'!B115</f>
        <v>Crissier</v>
      </c>
      <c r="C113" s="34">
        <f>'D) Ecrêtage'!M113</f>
        <v>311741.22092307697</v>
      </c>
      <c r="D113" s="34">
        <v>2305291</v>
      </c>
      <c r="E113" s="10">
        <v>2870273</v>
      </c>
      <c r="F113" s="44">
        <v>282704</v>
      </c>
      <c r="G113" s="44">
        <f t="shared" si="9"/>
        <v>5458268</v>
      </c>
      <c r="H113" s="10">
        <f t="shared" si="14"/>
        <v>2493929.7673846157</v>
      </c>
      <c r="I113" s="34">
        <f t="shared" si="10"/>
        <v>2964338.2326153843</v>
      </c>
      <c r="J113" s="2">
        <f t="shared" si="15"/>
        <v>-2099796.7350216894</v>
      </c>
      <c r="K113" s="15">
        <v>101405</v>
      </c>
      <c r="L113" s="10">
        <f t="shared" si="16"/>
        <v>311741.22092307697</v>
      </c>
      <c r="M113" s="15">
        <f t="shared" si="11"/>
        <v>0</v>
      </c>
      <c r="N113" s="2">
        <f t="shared" si="17"/>
        <v>0</v>
      </c>
      <c r="O113" s="199">
        <f t="shared" si="12"/>
        <v>-2099796.7350216894</v>
      </c>
      <c r="P113" s="419">
        <f t="shared" si="13"/>
        <v>-6.7357044692521439</v>
      </c>
      <c r="Q113" s="192"/>
    </row>
    <row r="114" spans="1:17" x14ac:dyDescent="0.25">
      <c r="A114" s="190">
        <f>'A) Base RI'!A116</f>
        <v>5584</v>
      </c>
      <c r="B114" s="35" t="str">
        <f>'A) Base RI'!B116</f>
        <v>Epalinges</v>
      </c>
      <c r="C114" s="34">
        <f>'D) Ecrêtage'!M114</f>
        <v>455692.51</v>
      </c>
      <c r="D114" s="34">
        <v>3960458</v>
      </c>
      <c r="E114" s="10">
        <v>3085863</v>
      </c>
      <c r="F114" s="44">
        <v>693905</v>
      </c>
      <c r="G114" s="44">
        <f t="shared" si="9"/>
        <v>7740226</v>
      </c>
      <c r="H114" s="10">
        <f t="shared" si="14"/>
        <v>3645540.08</v>
      </c>
      <c r="I114" s="34">
        <f t="shared" si="10"/>
        <v>4094685.92</v>
      </c>
      <c r="J114" s="2">
        <f t="shared" si="15"/>
        <v>-2900481.4737923509</v>
      </c>
      <c r="K114" s="15">
        <v>372718</v>
      </c>
      <c r="L114" s="10">
        <f t="shared" si="16"/>
        <v>455692.51</v>
      </c>
      <c r="M114" s="15">
        <f t="shared" si="11"/>
        <v>0</v>
      </c>
      <c r="N114" s="2">
        <f t="shared" si="17"/>
        <v>0</v>
      </c>
      <c r="O114" s="199">
        <f t="shared" si="12"/>
        <v>-2900481.4737923509</v>
      </c>
      <c r="P114" s="419">
        <f t="shared" si="13"/>
        <v>-6.364997032302222</v>
      </c>
      <c r="Q114" s="192"/>
    </row>
    <row r="115" spans="1:17" x14ac:dyDescent="0.25">
      <c r="A115" s="190">
        <f>'A) Base RI'!A117</f>
        <v>5585</v>
      </c>
      <c r="B115" s="35" t="str">
        <f>'A) Base RI'!B117</f>
        <v>Jouxtens-Mézery</v>
      </c>
      <c r="C115" s="34">
        <f>'D) Ecrêtage'!M115</f>
        <v>141606.14993641613</v>
      </c>
      <c r="D115" s="34">
        <v>621626</v>
      </c>
      <c r="E115" s="10">
        <v>111815</v>
      </c>
      <c r="F115" s="44">
        <v>70616</v>
      </c>
      <c r="G115" s="44">
        <f t="shared" si="9"/>
        <v>804057</v>
      </c>
      <c r="H115" s="10">
        <f t="shared" si="14"/>
        <v>1132849.199491329</v>
      </c>
      <c r="I115" s="34">
        <f t="shared" si="10"/>
        <v>0</v>
      </c>
      <c r="J115" s="2">
        <f t="shared" si="15"/>
        <v>0</v>
      </c>
      <c r="K115" s="15">
        <v>25679</v>
      </c>
      <c r="L115" s="10">
        <f t="shared" si="16"/>
        <v>141606.14993641613</v>
      </c>
      <c r="M115" s="15">
        <f t="shared" si="11"/>
        <v>0</v>
      </c>
      <c r="N115" s="2">
        <f t="shared" si="17"/>
        <v>0</v>
      </c>
      <c r="O115" s="199">
        <f t="shared" si="12"/>
        <v>0</v>
      </c>
      <c r="P115" s="419">
        <f t="shared" si="13"/>
        <v>0</v>
      </c>
      <c r="Q115" s="192"/>
    </row>
    <row r="116" spans="1:17" x14ac:dyDescent="0.25">
      <c r="A116" s="190">
        <f>'A) Base RI'!A118</f>
        <v>5586</v>
      </c>
      <c r="B116" s="35" t="str">
        <f>'A) Base RI'!B118</f>
        <v>Lausanne</v>
      </c>
      <c r="C116" s="34">
        <f>'D) Ecrêtage'!M116</f>
        <v>6075429.3645991571</v>
      </c>
      <c r="D116" s="34">
        <v>58371636</v>
      </c>
      <c r="E116" s="10">
        <v>49822045</v>
      </c>
      <c r="F116" s="44">
        <v>2221192</v>
      </c>
      <c r="G116" s="44">
        <f t="shared" ref="G116:G169" si="18">D116+E116+F116</f>
        <v>110414873</v>
      </c>
      <c r="H116" s="10">
        <f t="shared" si="14"/>
        <v>48603434.916793257</v>
      </c>
      <c r="I116" s="34">
        <f t="shared" ref="I116:I169" si="19">IF(G116&gt;H116,G116-H116,0)</f>
        <v>61811438.083206743</v>
      </c>
      <c r="J116" s="2">
        <f t="shared" si="15"/>
        <v>-43784293.723999262</v>
      </c>
      <c r="K116" s="15">
        <v>2758194</v>
      </c>
      <c r="L116" s="10">
        <f t="shared" si="16"/>
        <v>6075429.3645991571</v>
      </c>
      <c r="M116" s="15">
        <f t="shared" ref="M116:M169" si="20">IF(K116&gt;L116,K116-L116,0)</f>
        <v>0</v>
      </c>
      <c r="N116" s="2">
        <f t="shared" si="17"/>
        <v>0</v>
      </c>
      <c r="O116" s="199">
        <f t="shared" ref="O116:O169" si="21">N116+J116</f>
        <v>-43784293.723999262</v>
      </c>
      <c r="P116" s="419">
        <f t="shared" ref="P116:P169" si="22">O116/C116</f>
        <v>-7.2067817921026966</v>
      </c>
      <c r="Q116" s="192"/>
    </row>
    <row r="117" spans="1:17" x14ac:dyDescent="0.25">
      <c r="A117" s="190">
        <f>'A) Base RI'!A119</f>
        <v>5587</v>
      </c>
      <c r="B117" s="35" t="str">
        <f>'A) Base RI'!B119</f>
        <v>Le Mont-sur-Lausanne</v>
      </c>
      <c r="C117" s="34">
        <f>'D) Ecrêtage'!M117</f>
        <v>413343.80273333337</v>
      </c>
      <c r="D117" s="34">
        <v>3677450</v>
      </c>
      <c r="E117" s="10">
        <v>1961780</v>
      </c>
      <c r="F117" s="44">
        <v>635749</v>
      </c>
      <c r="G117" s="44">
        <f t="shared" si="18"/>
        <v>6274979</v>
      </c>
      <c r="H117" s="10">
        <f t="shared" si="14"/>
        <v>3306750.421866667</v>
      </c>
      <c r="I117" s="34">
        <f t="shared" si="19"/>
        <v>2968228.578133333</v>
      </c>
      <c r="J117" s="2">
        <f t="shared" si="15"/>
        <v>-2102552.4714376</v>
      </c>
      <c r="K117" s="15">
        <v>31628</v>
      </c>
      <c r="L117" s="10">
        <f t="shared" si="16"/>
        <v>413343.80273333337</v>
      </c>
      <c r="M117" s="15">
        <f t="shared" si="20"/>
        <v>0</v>
      </c>
      <c r="N117" s="2">
        <f t="shared" si="17"/>
        <v>0</v>
      </c>
      <c r="O117" s="199">
        <f t="shared" si="21"/>
        <v>-2102552.4714376</v>
      </c>
      <c r="P117" s="419">
        <f t="shared" si="22"/>
        <v>-5.0866916536161328</v>
      </c>
      <c r="Q117" s="192"/>
    </row>
    <row r="118" spans="1:17" x14ac:dyDescent="0.25">
      <c r="A118" s="190">
        <f>'A) Base RI'!A120</f>
        <v>5588</v>
      </c>
      <c r="B118" s="35" t="str">
        <f>'A) Base RI'!B120</f>
        <v>Paudex</v>
      </c>
      <c r="C118" s="34">
        <f>'D) Ecrêtage'!M118</f>
        <v>124239.86682322888</v>
      </c>
      <c r="D118" s="34">
        <v>138828</v>
      </c>
      <c r="E118" s="10">
        <v>457588</v>
      </c>
      <c r="F118" s="44">
        <v>26983</v>
      </c>
      <c r="G118" s="44">
        <f t="shared" si="18"/>
        <v>623399</v>
      </c>
      <c r="H118" s="10">
        <f t="shared" si="14"/>
        <v>993918.93458583101</v>
      </c>
      <c r="I118" s="34">
        <f t="shared" si="19"/>
        <v>0</v>
      </c>
      <c r="J118" s="2">
        <f t="shared" si="15"/>
        <v>0</v>
      </c>
      <c r="K118" s="15">
        <v>5533</v>
      </c>
      <c r="L118" s="10">
        <f t="shared" si="16"/>
        <v>124239.86682322888</v>
      </c>
      <c r="M118" s="15">
        <f t="shared" si="20"/>
        <v>0</v>
      </c>
      <c r="N118" s="2">
        <f t="shared" si="17"/>
        <v>0</v>
      </c>
      <c r="O118" s="199">
        <f t="shared" si="21"/>
        <v>0</v>
      </c>
      <c r="P118" s="419">
        <f t="shared" si="22"/>
        <v>0</v>
      </c>
      <c r="Q118" s="192"/>
    </row>
    <row r="119" spans="1:17" x14ac:dyDescent="0.25">
      <c r="A119" s="190">
        <f>'A) Base RI'!A121</f>
        <v>5589</v>
      </c>
      <c r="B119" s="35" t="str">
        <f>'A) Base RI'!B121</f>
        <v>Prilly</v>
      </c>
      <c r="C119" s="34">
        <f>'D) Ecrêtage'!M119</f>
        <v>437574.2323809524</v>
      </c>
      <c r="D119" s="34">
        <v>2549219</v>
      </c>
      <c r="E119" s="10">
        <v>3366952</v>
      </c>
      <c r="F119" s="44">
        <v>77756</v>
      </c>
      <c r="G119" s="44">
        <f t="shared" si="18"/>
        <v>5993927</v>
      </c>
      <c r="H119" s="10">
        <f t="shared" si="14"/>
        <v>3500593.8590476192</v>
      </c>
      <c r="I119" s="34">
        <f t="shared" si="19"/>
        <v>2493333.1409523808</v>
      </c>
      <c r="J119" s="2">
        <f t="shared" si="15"/>
        <v>-1766159.0472670179</v>
      </c>
      <c r="K119" s="15">
        <v>27942</v>
      </c>
      <c r="L119" s="10">
        <f t="shared" si="16"/>
        <v>437574.2323809524</v>
      </c>
      <c r="M119" s="15">
        <f t="shared" si="20"/>
        <v>0</v>
      </c>
      <c r="N119" s="2">
        <f t="shared" si="17"/>
        <v>0</v>
      </c>
      <c r="O119" s="199">
        <f t="shared" si="21"/>
        <v>-1766159.0472670179</v>
      </c>
      <c r="P119" s="419">
        <f t="shared" si="22"/>
        <v>-4.0362501184242463</v>
      </c>
      <c r="Q119" s="192"/>
    </row>
    <row r="120" spans="1:17" x14ac:dyDescent="0.25">
      <c r="A120" s="190">
        <f>'A) Base RI'!A122</f>
        <v>5590</v>
      </c>
      <c r="B120" s="35" t="str">
        <f>'A) Base RI'!B122</f>
        <v>Pully</v>
      </c>
      <c r="C120" s="34">
        <f>'D) Ecrêtage'!M120</f>
        <v>1257122.2124035268</v>
      </c>
      <c r="D120" s="34">
        <v>5393266</v>
      </c>
      <c r="E120" s="10">
        <v>6808817</v>
      </c>
      <c r="F120" s="44">
        <v>329043</v>
      </c>
      <c r="G120" s="44">
        <f t="shared" si="18"/>
        <v>12531126</v>
      </c>
      <c r="H120" s="10">
        <f t="shared" si="14"/>
        <v>10056977.699228214</v>
      </c>
      <c r="I120" s="34">
        <f t="shared" si="19"/>
        <v>2474148.3007717859</v>
      </c>
      <c r="J120" s="2">
        <f t="shared" si="15"/>
        <v>-1752569.415581303</v>
      </c>
      <c r="K120" s="15">
        <v>590431</v>
      </c>
      <c r="L120" s="10">
        <f t="shared" si="16"/>
        <v>1257122.2124035268</v>
      </c>
      <c r="M120" s="15">
        <f t="shared" si="20"/>
        <v>0</v>
      </c>
      <c r="N120" s="2">
        <f t="shared" si="17"/>
        <v>0</v>
      </c>
      <c r="O120" s="199">
        <f t="shared" si="21"/>
        <v>-1752569.415581303</v>
      </c>
      <c r="P120" s="419">
        <f t="shared" si="22"/>
        <v>-1.3941122018920635</v>
      </c>
      <c r="Q120" s="192"/>
    </row>
    <row r="121" spans="1:17" x14ac:dyDescent="0.25">
      <c r="A121" s="190">
        <f>'A) Base RI'!A123</f>
        <v>5591</v>
      </c>
      <c r="B121" s="35" t="str">
        <f>'A) Base RI'!B123</f>
        <v>Renens</v>
      </c>
      <c r="C121" s="34">
        <f>'D) Ecrêtage'!M121</f>
        <v>529647.11015468603</v>
      </c>
      <c r="D121" s="34">
        <v>4227793</v>
      </c>
      <c r="E121" s="10">
        <v>7273455</v>
      </c>
      <c r="F121" s="44">
        <v>186558</v>
      </c>
      <c r="G121" s="44">
        <f t="shared" si="18"/>
        <v>11687806</v>
      </c>
      <c r="H121" s="10">
        <f t="shared" si="14"/>
        <v>4237176.8812374882</v>
      </c>
      <c r="I121" s="34">
        <f t="shared" si="19"/>
        <v>7450629.1187625118</v>
      </c>
      <c r="J121" s="2">
        <f t="shared" si="15"/>
        <v>-5277672.6101298863</v>
      </c>
      <c r="K121" s="15">
        <v>33608</v>
      </c>
      <c r="L121" s="10">
        <f t="shared" si="16"/>
        <v>529647.11015468603</v>
      </c>
      <c r="M121" s="15">
        <f t="shared" si="20"/>
        <v>0</v>
      </c>
      <c r="N121" s="2">
        <f t="shared" si="17"/>
        <v>0</v>
      </c>
      <c r="O121" s="199">
        <f t="shared" si="21"/>
        <v>-5277672.6101298863</v>
      </c>
      <c r="P121" s="419">
        <f t="shared" si="22"/>
        <v>-9.9645075163131089</v>
      </c>
      <c r="Q121" s="192"/>
    </row>
    <row r="122" spans="1:17" x14ac:dyDescent="0.25">
      <c r="A122" s="190">
        <f>'A) Base RI'!A124</f>
        <v>5592</v>
      </c>
      <c r="B122" s="35" t="str">
        <f>'A) Base RI'!B124</f>
        <v>Romanel-sur-Lausanne</v>
      </c>
      <c r="C122" s="34">
        <f>'D) Ecrêtage'!M122</f>
        <v>116555.94314285714</v>
      </c>
      <c r="D122" s="34">
        <v>900305</v>
      </c>
      <c r="E122" s="10">
        <v>266685</v>
      </c>
      <c r="F122" s="44">
        <v>30902</v>
      </c>
      <c r="G122" s="44">
        <f t="shared" si="18"/>
        <v>1197892</v>
      </c>
      <c r="H122" s="10">
        <f t="shared" si="14"/>
        <v>932447.54514285713</v>
      </c>
      <c r="I122" s="34">
        <f t="shared" si="19"/>
        <v>265444.45485714287</v>
      </c>
      <c r="J122" s="2">
        <f t="shared" si="15"/>
        <v>-188028.2733953995</v>
      </c>
      <c r="K122" s="15">
        <v>14366</v>
      </c>
      <c r="L122" s="10">
        <f t="shared" si="16"/>
        <v>116555.94314285714</v>
      </c>
      <c r="M122" s="15">
        <f t="shared" si="20"/>
        <v>0</v>
      </c>
      <c r="N122" s="2">
        <f t="shared" si="17"/>
        <v>0</v>
      </c>
      <c r="O122" s="199">
        <f t="shared" si="21"/>
        <v>-188028.2733953995</v>
      </c>
      <c r="P122" s="419">
        <f t="shared" si="22"/>
        <v>-1.6132019382738989</v>
      </c>
      <c r="Q122" s="192"/>
    </row>
    <row r="123" spans="1:17" x14ac:dyDescent="0.25">
      <c r="A123" s="190">
        <f>'A) Base RI'!A125</f>
        <v>5601</v>
      </c>
      <c r="B123" s="35" t="str">
        <f>'A) Base RI'!B125</f>
        <v>Chexbres</v>
      </c>
      <c r="C123" s="34">
        <f>'D) Ecrêtage'!M123</f>
        <v>99746.160000000018</v>
      </c>
      <c r="D123" s="34">
        <v>692456</v>
      </c>
      <c r="E123" s="10">
        <v>166485</v>
      </c>
      <c r="F123" s="44">
        <v>220469</v>
      </c>
      <c r="G123" s="44">
        <f t="shared" si="18"/>
        <v>1079410</v>
      </c>
      <c r="H123" s="10">
        <f t="shared" si="14"/>
        <v>797969.28000000014</v>
      </c>
      <c r="I123" s="34">
        <f t="shared" si="19"/>
        <v>281440.71999999986</v>
      </c>
      <c r="J123" s="2">
        <f t="shared" si="15"/>
        <v>-199359.26961909203</v>
      </c>
      <c r="K123" s="15">
        <v>47709</v>
      </c>
      <c r="L123" s="10">
        <f t="shared" si="16"/>
        <v>99746.160000000018</v>
      </c>
      <c r="M123" s="15">
        <f t="shared" si="20"/>
        <v>0</v>
      </c>
      <c r="N123" s="2">
        <f t="shared" si="17"/>
        <v>0</v>
      </c>
      <c r="O123" s="199">
        <f t="shared" si="21"/>
        <v>-199359.26961909203</v>
      </c>
      <c r="P123" s="419">
        <f t="shared" si="22"/>
        <v>-1.9986661102451662</v>
      </c>
      <c r="Q123" s="192"/>
    </row>
    <row r="124" spans="1:17" x14ac:dyDescent="0.25">
      <c r="A124" s="190">
        <f>'A) Base RI'!A126</f>
        <v>5604</v>
      </c>
      <c r="B124" s="35" t="str">
        <f>'A) Base RI'!B126</f>
        <v>Forel (Lavaux)</v>
      </c>
      <c r="C124" s="34">
        <f>'D) Ecrêtage'!M124</f>
        <v>71240.347352941171</v>
      </c>
      <c r="D124" s="34">
        <v>584136</v>
      </c>
      <c r="E124" s="10">
        <v>99559</v>
      </c>
      <c r="F124" s="44">
        <v>246578</v>
      </c>
      <c r="G124" s="44">
        <f t="shared" si="18"/>
        <v>930273</v>
      </c>
      <c r="H124" s="10">
        <f t="shared" si="14"/>
        <v>569922.77882352937</v>
      </c>
      <c r="I124" s="34">
        <f t="shared" si="19"/>
        <v>360350.22117647063</v>
      </c>
      <c r="J124" s="2">
        <f t="shared" si="15"/>
        <v>-255255.02102474545</v>
      </c>
      <c r="K124" s="15">
        <v>38128</v>
      </c>
      <c r="L124" s="10">
        <f t="shared" si="16"/>
        <v>71240.347352941171</v>
      </c>
      <c r="M124" s="15">
        <f t="shared" si="20"/>
        <v>0</v>
      </c>
      <c r="N124" s="2">
        <f t="shared" si="17"/>
        <v>0</v>
      </c>
      <c r="O124" s="199">
        <f t="shared" si="21"/>
        <v>-255255.02102474545</v>
      </c>
      <c r="P124" s="419">
        <f t="shared" si="22"/>
        <v>-3.5830120221081039</v>
      </c>
      <c r="Q124" s="192"/>
    </row>
    <row r="125" spans="1:17" x14ac:dyDescent="0.25">
      <c r="A125" s="190">
        <f>'A) Base RI'!A127</f>
        <v>5606</v>
      </c>
      <c r="B125" s="35" t="str">
        <f>'A) Base RI'!B127</f>
        <v>Lutry</v>
      </c>
      <c r="C125" s="34">
        <f>'D) Ecrêtage'!M125</f>
        <v>685132.52802278637</v>
      </c>
      <c r="D125" s="34">
        <v>4194827</v>
      </c>
      <c r="E125" s="10">
        <v>2898916</v>
      </c>
      <c r="F125" s="44">
        <v>1464611</v>
      </c>
      <c r="G125" s="44">
        <f t="shared" si="18"/>
        <v>8558354</v>
      </c>
      <c r="H125" s="10">
        <f t="shared" si="14"/>
        <v>5481060.224182291</v>
      </c>
      <c r="I125" s="34">
        <f t="shared" si="19"/>
        <v>3077293.775817709</v>
      </c>
      <c r="J125" s="2">
        <f t="shared" si="15"/>
        <v>-2179809.0892831595</v>
      </c>
      <c r="K125" s="15">
        <v>311693</v>
      </c>
      <c r="L125" s="10">
        <f t="shared" si="16"/>
        <v>685132.52802278637</v>
      </c>
      <c r="M125" s="15">
        <f t="shared" si="20"/>
        <v>0</v>
      </c>
      <c r="N125" s="2">
        <f t="shared" si="17"/>
        <v>0</v>
      </c>
      <c r="O125" s="199">
        <f t="shared" si="21"/>
        <v>-2179809.0892831595</v>
      </c>
      <c r="P125" s="419">
        <f t="shared" si="22"/>
        <v>-3.1815875033314178</v>
      </c>
      <c r="Q125" s="192"/>
    </row>
    <row r="126" spans="1:17" x14ac:dyDescent="0.25">
      <c r="A126" s="190">
        <f>'A) Base RI'!A128</f>
        <v>5607</v>
      </c>
      <c r="B126" s="35" t="str">
        <f>'A) Base RI'!B128</f>
        <v>Puidoux</v>
      </c>
      <c r="C126" s="34">
        <f>'D) Ecrêtage'!M126</f>
        <v>97147.534937888209</v>
      </c>
      <c r="D126" s="34">
        <v>990168</v>
      </c>
      <c r="E126" s="10">
        <v>268154</v>
      </c>
      <c r="F126" s="44">
        <v>647928</v>
      </c>
      <c r="G126" s="44">
        <f t="shared" si="18"/>
        <v>1906250</v>
      </c>
      <c r="H126" s="10">
        <f t="shared" si="14"/>
        <v>777180.27950310567</v>
      </c>
      <c r="I126" s="34">
        <f t="shared" si="19"/>
        <v>1129069.7204968943</v>
      </c>
      <c r="J126" s="2">
        <f t="shared" si="15"/>
        <v>-799779.48758549709</v>
      </c>
      <c r="K126" s="15">
        <v>71333</v>
      </c>
      <c r="L126" s="10">
        <f t="shared" si="16"/>
        <v>97147.534937888209</v>
      </c>
      <c r="M126" s="15">
        <f t="shared" si="20"/>
        <v>0</v>
      </c>
      <c r="N126" s="2">
        <f t="shared" si="17"/>
        <v>0</v>
      </c>
      <c r="O126" s="199">
        <f t="shared" si="21"/>
        <v>-799779.48758549709</v>
      </c>
      <c r="P126" s="419">
        <f t="shared" si="22"/>
        <v>-8.2326277048289533</v>
      </c>
      <c r="Q126" s="192"/>
    </row>
    <row r="127" spans="1:17" x14ac:dyDescent="0.25">
      <c r="A127" s="190">
        <f>'A) Base RI'!A129</f>
        <v>5609</v>
      </c>
      <c r="B127" s="35" t="str">
        <f>'A) Base RI'!B129</f>
        <v>Rivaz</v>
      </c>
      <c r="C127" s="34">
        <f>'D) Ecrêtage'!M127</f>
        <v>16888.91165354331</v>
      </c>
      <c r="D127" s="34">
        <v>133239</v>
      </c>
      <c r="E127" s="10">
        <v>33777</v>
      </c>
      <c r="F127" s="44">
        <v>52301</v>
      </c>
      <c r="G127" s="44">
        <f t="shared" si="18"/>
        <v>219317</v>
      </c>
      <c r="H127" s="10">
        <f t="shared" si="14"/>
        <v>135111.29322834648</v>
      </c>
      <c r="I127" s="34">
        <f t="shared" si="19"/>
        <v>84205.706771653524</v>
      </c>
      <c r="J127" s="2">
        <f t="shared" si="15"/>
        <v>-59647.332481796831</v>
      </c>
      <c r="K127" s="15">
        <v>31137</v>
      </c>
      <c r="L127" s="10">
        <f t="shared" si="16"/>
        <v>16888.91165354331</v>
      </c>
      <c r="M127" s="15">
        <f t="shared" si="20"/>
        <v>14248.08834645669</v>
      </c>
      <c r="N127" s="2">
        <f t="shared" si="17"/>
        <v>-10092.670620718651</v>
      </c>
      <c r="O127" s="199">
        <f t="shared" si="21"/>
        <v>-69740.003102515475</v>
      </c>
      <c r="P127" s="419">
        <f t="shared" si="22"/>
        <v>-4.1293367230021572</v>
      </c>
      <c r="Q127" s="192"/>
    </row>
    <row r="128" spans="1:17" x14ac:dyDescent="0.25">
      <c r="A128" s="190">
        <f>'A) Base RI'!A130</f>
        <v>5610</v>
      </c>
      <c r="B128" s="35" t="str">
        <f>'A) Base RI'!B130</f>
        <v>St-Saphorin (Lavaux)</v>
      </c>
      <c r="C128" s="34">
        <f>'D) Ecrêtage'!M128</f>
        <v>20007.714179104478</v>
      </c>
      <c r="D128" s="34">
        <v>146845</v>
      </c>
      <c r="E128" s="10">
        <v>35935</v>
      </c>
      <c r="F128" s="44">
        <v>88699</v>
      </c>
      <c r="G128" s="44">
        <f t="shared" si="18"/>
        <v>271479</v>
      </c>
      <c r="H128" s="10">
        <f t="shared" si="14"/>
        <v>160061.71343283582</v>
      </c>
      <c r="I128" s="34">
        <f t="shared" si="19"/>
        <v>111417.28656716418</v>
      </c>
      <c r="J128" s="2">
        <f t="shared" si="15"/>
        <v>-78922.726153382973</v>
      </c>
      <c r="K128" s="15">
        <v>-19</v>
      </c>
      <c r="L128" s="10">
        <f t="shared" si="16"/>
        <v>20007.714179104478</v>
      </c>
      <c r="M128" s="15">
        <f t="shared" si="20"/>
        <v>0</v>
      </c>
      <c r="N128" s="2">
        <f t="shared" si="17"/>
        <v>0</v>
      </c>
      <c r="O128" s="199">
        <f t="shared" si="21"/>
        <v>-78922.726153382973</v>
      </c>
      <c r="P128" s="419">
        <f t="shared" si="22"/>
        <v>-3.9446148344026106</v>
      </c>
      <c r="Q128" s="192"/>
    </row>
    <row r="129" spans="1:17" x14ac:dyDescent="0.25">
      <c r="A129" s="190">
        <f>'A) Base RI'!A131</f>
        <v>5611</v>
      </c>
      <c r="B129" s="35" t="str">
        <f>'A) Base RI'!B131</f>
        <v>Savigny</v>
      </c>
      <c r="C129" s="34">
        <f>'D) Ecrêtage'!M129</f>
        <v>115537.42516908211</v>
      </c>
      <c r="D129" s="34">
        <v>1023425</v>
      </c>
      <c r="E129" s="10">
        <v>157767</v>
      </c>
      <c r="F129" s="44">
        <v>363199</v>
      </c>
      <c r="G129" s="44">
        <f t="shared" si="18"/>
        <v>1544391</v>
      </c>
      <c r="H129" s="10">
        <f t="shared" si="14"/>
        <v>924299.40135265689</v>
      </c>
      <c r="I129" s="34">
        <f t="shared" si="19"/>
        <v>620091.59864734311</v>
      </c>
      <c r="J129" s="2">
        <f t="shared" si="15"/>
        <v>-439243.50464733585</v>
      </c>
      <c r="K129" s="15">
        <v>58841</v>
      </c>
      <c r="L129" s="10">
        <f t="shared" si="16"/>
        <v>115537.42516908211</v>
      </c>
      <c r="M129" s="15">
        <f t="shared" si="20"/>
        <v>0</v>
      </c>
      <c r="N129" s="2">
        <f t="shared" si="17"/>
        <v>0</v>
      </c>
      <c r="O129" s="199">
        <f t="shared" si="21"/>
        <v>-439243.50464733585</v>
      </c>
      <c r="P129" s="419">
        <f t="shared" si="22"/>
        <v>-3.801742197426758</v>
      </c>
      <c r="Q129" s="192"/>
    </row>
    <row r="130" spans="1:17" x14ac:dyDescent="0.25">
      <c r="A130" s="190">
        <f>'A) Base RI'!A132</f>
        <v>5613</v>
      </c>
      <c r="B130" s="35" t="str">
        <f>'A) Base RI'!B132</f>
        <v>Bourg-en-Lavaux</v>
      </c>
      <c r="C130" s="34">
        <f>'D) Ecrêtage'!M130</f>
        <v>300134.21856717777</v>
      </c>
      <c r="D130" s="34">
        <v>1663137</v>
      </c>
      <c r="E130" s="10">
        <v>417575</v>
      </c>
      <c r="F130" s="44">
        <v>696082</v>
      </c>
      <c r="G130" s="44">
        <f t="shared" si="18"/>
        <v>2776794</v>
      </c>
      <c r="H130" s="10">
        <f t="shared" si="14"/>
        <v>2401073.7485374222</v>
      </c>
      <c r="I130" s="34">
        <f t="shared" si="19"/>
        <v>375720.25146257784</v>
      </c>
      <c r="J130" s="2">
        <f t="shared" si="15"/>
        <v>-266142.42215085705</v>
      </c>
      <c r="K130" s="15">
        <v>174088</v>
      </c>
      <c r="L130" s="10">
        <f t="shared" si="16"/>
        <v>300134.21856717777</v>
      </c>
      <c r="M130" s="15">
        <f t="shared" si="20"/>
        <v>0</v>
      </c>
      <c r="N130" s="2">
        <f t="shared" si="17"/>
        <v>0</v>
      </c>
      <c r="O130" s="199">
        <f t="shared" si="21"/>
        <v>-266142.42215085705</v>
      </c>
      <c r="P130" s="419">
        <f t="shared" si="22"/>
        <v>-0.88674468183402921</v>
      </c>
      <c r="Q130" s="192"/>
    </row>
    <row r="131" spans="1:17" x14ac:dyDescent="0.25">
      <c r="A131" s="190">
        <f>'A) Base RI'!A133</f>
        <v>5621</v>
      </c>
      <c r="B131" s="35" t="str">
        <f>'A) Base RI'!B133</f>
        <v>Aclens</v>
      </c>
      <c r="C131" s="34">
        <f>'D) Ecrêtage'!M131</f>
        <v>26820.105850439882</v>
      </c>
      <c r="D131" s="34">
        <v>196971</v>
      </c>
      <c r="E131" s="10">
        <v>18652</v>
      </c>
      <c r="F131" s="44">
        <v>42073</v>
      </c>
      <c r="G131" s="44">
        <f t="shared" si="18"/>
        <v>257696</v>
      </c>
      <c r="H131" s="10">
        <f t="shared" si="14"/>
        <v>214560.84680351906</v>
      </c>
      <c r="I131" s="34">
        <f t="shared" si="19"/>
        <v>43135.15319648094</v>
      </c>
      <c r="J131" s="2">
        <f t="shared" si="15"/>
        <v>-30554.898509917428</v>
      </c>
      <c r="K131" s="15">
        <v>24759</v>
      </c>
      <c r="L131" s="10">
        <f t="shared" si="16"/>
        <v>26820.105850439882</v>
      </c>
      <c r="M131" s="15">
        <f t="shared" si="20"/>
        <v>0</v>
      </c>
      <c r="N131" s="2">
        <f t="shared" si="17"/>
        <v>0</v>
      </c>
      <c r="O131" s="199">
        <f t="shared" si="21"/>
        <v>-30554.898509917428</v>
      </c>
      <c r="P131" s="419">
        <f t="shared" si="22"/>
        <v>-1.1392534645576833</v>
      </c>
      <c r="Q131" s="192"/>
    </row>
    <row r="132" spans="1:17" x14ac:dyDescent="0.25">
      <c r="A132" s="190">
        <f>'A) Base RI'!A134</f>
        <v>5622</v>
      </c>
      <c r="B132" s="35" t="str">
        <f>'A) Base RI'!B134</f>
        <v>Bremblens</v>
      </c>
      <c r="C132" s="34">
        <f>'D) Ecrêtage'!M132</f>
        <v>31335.32030656391</v>
      </c>
      <c r="D132" s="34">
        <v>117347</v>
      </c>
      <c r="E132" s="10">
        <v>18052</v>
      </c>
      <c r="F132" s="44">
        <v>47431</v>
      </c>
      <c r="G132" s="44">
        <f t="shared" si="18"/>
        <v>182830</v>
      </c>
      <c r="H132" s="10">
        <f t="shared" si="14"/>
        <v>250682.56245251128</v>
      </c>
      <c r="I132" s="34">
        <f t="shared" si="19"/>
        <v>0</v>
      </c>
      <c r="J132" s="2">
        <f t="shared" si="15"/>
        <v>0</v>
      </c>
      <c r="K132" s="15">
        <v>25854</v>
      </c>
      <c r="L132" s="10">
        <f t="shared" si="16"/>
        <v>31335.32030656391</v>
      </c>
      <c r="M132" s="15">
        <f t="shared" si="20"/>
        <v>0</v>
      </c>
      <c r="N132" s="2">
        <f t="shared" si="17"/>
        <v>0</v>
      </c>
      <c r="O132" s="199">
        <f t="shared" si="21"/>
        <v>0</v>
      </c>
      <c r="P132" s="419">
        <f t="shared" si="22"/>
        <v>0</v>
      </c>
      <c r="Q132" s="192"/>
    </row>
    <row r="133" spans="1:17" x14ac:dyDescent="0.25">
      <c r="A133" s="190">
        <f>'A) Base RI'!A135</f>
        <v>5623</v>
      </c>
      <c r="B133" s="35" t="str">
        <f>'A) Base RI'!B135</f>
        <v>Buchillon</v>
      </c>
      <c r="C133" s="34">
        <f>'D) Ecrêtage'!M133</f>
        <v>58516.615294914322</v>
      </c>
      <c r="D133" s="34">
        <v>71089</v>
      </c>
      <c r="E133" s="10">
        <v>60406</v>
      </c>
      <c r="F133" s="44">
        <v>64854</v>
      </c>
      <c r="G133" s="44">
        <f t="shared" si="18"/>
        <v>196349</v>
      </c>
      <c r="H133" s="10">
        <f t="shared" si="14"/>
        <v>468132.92235931457</v>
      </c>
      <c r="I133" s="34">
        <f t="shared" si="19"/>
        <v>0</v>
      </c>
      <c r="J133" s="2">
        <f t="shared" si="15"/>
        <v>0</v>
      </c>
      <c r="K133" s="15">
        <v>12350</v>
      </c>
      <c r="L133" s="10">
        <f t="shared" si="16"/>
        <v>58516.615294914322</v>
      </c>
      <c r="M133" s="15">
        <f t="shared" si="20"/>
        <v>0</v>
      </c>
      <c r="N133" s="2">
        <f t="shared" si="17"/>
        <v>0</v>
      </c>
      <c r="O133" s="199">
        <f t="shared" si="21"/>
        <v>0</v>
      </c>
      <c r="P133" s="419">
        <f t="shared" si="22"/>
        <v>0</v>
      </c>
      <c r="Q133" s="192"/>
    </row>
    <row r="134" spans="1:17" x14ac:dyDescent="0.25">
      <c r="A134" s="190">
        <f>'A) Base RI'!A136</f>
        <v>5624</v>
      </c>
      <c r="B134" s="35" t="str">
        <f>'A) Base RI'!B136</f>
        <v>Bussigny</v>
      </c>
      <c r="C134" s="34">
        <f>'D) Ecrêtage'!M134</f>
        <v>334130.13322580641</v>
      </c>
      <c r="D134" s="34">
        <v>1269135</v>
      </c>
      <c r="E134" s="10">
        <v>2438305</v>
      </c>
      <c r="F134" s="44">
        <v>251516</v>
      </c>
      <c r="G134" s="44">
        <f t="shared" si="18"/>
        <v>3958956</v>
      </c>
      <c r="H134" s="10">
        <f t="shared" ref="H134:H197" si="23">C134*I$4</f>
        <v>2673041.0658064513</v>
      </c>
      <c r="I134" s="34">
        <f t="shared" si="19"/>
        <v>1285914.9341935487</v>
      </c>
      <c r="J134" s="2">
        <f t="shared" ref="J134:J197" si="24">-I134*J$4</f>
        <v>-910881.20465691248</v>
      </c>
      <c r="K134" s="15">
        <v>213436</v>
      </c>
      <c r="L134" s="10">
        <f t="shared" ref="L134:L197" si="25">C134*M$4</f>
        <v>334130.13322580641</v>
      </c>
      <c r="M134" s="15">
        <f t="shared" si="20"/>
        <v>0</v>
      </c>
      <c r="N134" s="2">
        <f t="shared" ref="N134:N197" si="26">-M134*N$4</f>
        <v>0</v>
      </c>
      <c r="O134" s="199">
        <f t="shared" si="21"/>
        <v>-910881.20465691248</v>
      </c>
      <c r="P134" s="419">
        <f t="shared" si="22"/>
        <v>-2.7261270806764846</v>
      </c>
      <c r="Q134" s="192"/>
    </row>
    <row r="135" spans="1:17" x14ac:dyDescent="0.25">
      <c r="A135" s="190">
        <f>'A) Base RI'!A137</f>
        <v>5625</v>
      </c>
      <c r="B135" s="35" t="str">
        <f>'A) Base RI'!B137</f>
        <v>Bussy-Chardonney</v>
      </c>
      <c r="C135" s="34">
        <f>'D) Ecrêtage'!M135</f>
        <v>13745.926324786325</v>
      </c>
      <c r="D135" s="34">
        <v>89768</v>
      </c>
      <c r="E135" s="10">
        <v>33295</v>
      </c>
      <c r="F135" s="44">
        <v>51065</v>
      </c>
      <c r="G135" s="44">
        <f t="shared" si="18"/>
        <v>174128</v>
      </c>
      <c r="H135" s="10">
        <f t="shared" si="23"/>
        <v>109967.4105982906</v>
      </c>
      <c r="I135" s="34">
        <f t="shared" si="19"/>
        <v>64160.589401709396</v>
      </c>
      <c r="J135" s="2">
        <f t="shared" si="24"/>
        <v>-45448.321200483173</v>
      </c>
      <c r="K135" s="15">
        <v>2249</v>
      </c>
      <c r="L135" s="10">
        <f t="shared" si="25"/>
        <v>13745.926324786325</v>
      </c>
      <c r="M135" s="15">
        <f t="shared" si="20"/>
        <v>0</v>
      </c>
      <c r="N135" s="2">
        <f t="shared" si="26"/>
        <v>0</v>
      </c>
      <c r="O135" s="199">
        <f t="shared" si="21"/>
        <v>-45448.321200483173</v>
      </c>
      <c r="P135" s="419">
        <f t="shared" si="22"/>
        <v>-3.3063120030355355</v>
      </c>
      <c r="Q135" s="192"/>
    </row>
    <row r="136" spans="1:17" x14ac:dyDescent="0.25">
      <c r="A136" s="190">
        <f>'A) Base RI'!A138</f>
        <v>5627</v>
      </c>
      <c r="B136" s="35" t="str">
        <f>'A) Base RI'!B138</f>
        <v>Chavannes-près-Renens</v>
      </c>
      <c r="C136" s="34">
        <f>'D) Ecrêtage'!M136</f>
        <v>171770.86046413501</v>
      </c>
      <c r="D136" s="34">
        <v>871277</v>
      </c>
      <c r="E136" s="10">
        <v>2299399</v>
      </c>
      <c r="F136" s="44">
        <v>4131</v>
      </c>
      <c r="G136" s="44">
        <f t="shared" si="18"/>
        <v>3174807</v>
      </c>
      <c r="H136" s="10">
        <f t="shared" si="23"/>
        <v>1374166.8837130801</v>
      </c>
      <c r="I136" s="34">
        <f t="shared" si="19"/>
        <v>1800640.1162869199</v>
      </c>
      <c r="J136" s="2">
        <f t="shared" si="24"/>
        <v>-1275488.132739987</v>
      </c>
      <c r="K136" s="15">
        <v>8111</v>
      </c>
      <c r="L136" s="10">
        <f t="shared" si="25"/>
        <v>171770.86046413501</v>
      </c>
      <c r="M136" s="15">
        <f t="shared" si="20"/>
        <v>0</v>
      </c>
      <c r="N136" s="2">
        <f t="shared" si="26"/>
        <v>0</v>
      </c>
      <c r="O136" s="199">
        <f t="shared" si="21"/>
        <v>-1275488.132739987</v>
      </c>
      <c r="P136" s="419">
        <f t="shared" si="22"/>
        <v>-7.4255210068433186</v>
      </c>
      <c r="Q136" s="192"/>
    </row>
    <row r="137" spans="1:17" x14ac:dyDescent="0.25">
      <c r="A137" s="190">
        <f>'A) Base RI'!A139</f>
        <v>5628</v>
      </c>
      <c r="B137" s="35" t="str">
        <f>'A) Base RI'!B139</f>
        <v>Chigny</v>
      </c>
      <c r="C137" s="34">
        <f>'D) Ecrêtage'!M137</f>
        <v>19317.272281276957</v>
      </c>
      <c r="D137" s="34">
        <v>17625</v>
      </c>
      <c r="E137" s="10">
        <v>29233</v>
      </c>
      <c r="F137" s="44">
        <v>40130</v>
      </c>
      <c r="G137" s="44">
        <f t="shared" si="18"/>
        <v>86988</v>
      </c>
      <c r="H137" s="10">
        <f t="shared" si="23"/>
        <v>154538.17825021566</v>
      </c>
      <c r="I137" s="34">
        <f t="shared" si="19"/>
        <v>0</v>
      </c>
      <c r="J137" s="2">
        <f t="shared" si="24"/>
        <v>0</v>
      </c>
      <c r="K137" s="15">
        <v>3968</v>
      </c>
      <c r="L137" s="10">
        <f t="shared" si="25"/>
        <v>19317.272281276957</v>
      </c>
      <c r="M137" s="15">
        <f t="shared" si="20"/>
        <v>0</v>
      </c>
      <c r="N137" s="2">
        <f t="shared" si="26"/>
        <v>0</v>
      </c>
      <c r="O137" s="199">
        <f t="shared" si="21"/>
        <v>0</v>
      </c>
      <c r="P137" s="419">
        <f t="shared" si="22"/>
        <v>0</v>
      </c>
      <c r="Q137" s="192"/>
    </row>
    <row r="138" spans="1:17" x14ac:dyDescent="0.25">
      <c r="A138" s="190">
        <f>'A) Base RI'!A140</f>
        <v>5629</v>
      </c>
      <c r="B138" s="35" t="str">
        <f>'A) Base RI'!B140</f>
        <v>Clarmont</v>
      </c>
      <c r="C138" s="34">
        <f>'D) Ecrêtage'!M138</f>
        <v>7536.1791999999996</v>
      </c>
      <c r="D138" s="34">
        <v>118367</v>
      </c>
      <c r="E138" s="10">
        <v>5652</v>
      </c>
      <c r="F138" s="44">
        <v>20113</v>
      </c>
      <c r="G138" s="44">
        <f t="shared" si="18"/>
        <v>144132</v>
      </c>
      <c r="H138" s="10">
        <f t="shared" si="23"/>
        <v>60289.433599999997</v>
      </c>
      <c r="I138" s="34">
        <f t="shared" si="19"/>
        <v>83842.566400000011</v>
      </c>
      <c r="J138" s="2">
        <f t="shared" si="24"/>
        <v>-59390.101050389007</v>
      </c>
      <c r="K138" s="15">
        <v>227</v>
      </c>
      <c r="L138" s="10">
        <f t="shared" si="25"/>
        <v>7536.1791999999996</v>
      </c>
      <c r="M138" s="15">
        <f t="shared" si="20"/>
        <v>0</v>
      </c>
      <c r="N138" s="2">
        <f t="shared" si="26"/>
        <v>0</v>
      </c>
      <c r="O138" s="199">
        <f t="shared" si="21"/>
        <v>-59390.101050389007</v>
      </c>
      <c r="P138" s="419">
        <f t="shared" si="22"/>
        <v>-7.8806646543634482</v>
      </c>
      <c r="Q138" s="192"/>
    </row>
    <row r="139" spans="1:17" x14ac:dyDescent="0.25">
      <c r="A139" s="190">
        <f>'A) Base RI'!A141</f>
        <v>5631</v>
      </c>
      <c r="B139" s="35" t="str">
        <f>'A) Base RI'!B141</f>
        <v>Denens</v>
      </c>
      <c r="C139" s="34">
        <f>'D) Ecrêtage'!M139</f>
        <v>42221.936176470583</v>
      </c>
      <c r="D139" s="34">
        <v>81355</v>
      </c>
      <c r="E139" s="10">
        <v>31789</v>
      </c>
      <c r="F139" s="44">
        <v>72455</v>
      </c>
      <c r="G139" s="44">
        <f t="shared" si="18"/>
        <v>185599</v>
      </c>
      <c r="H139" s="10">
        <f t="shared" si="23"/>
        <v>337775.48941176466</v>
      </c>
      <c r="I139" s="34">
        <f t="shared" si="19"/>
        <v>0</v>
      </c>
      <c r="J139" s="2">
        <f t="shared" si="24"/>
        <v>0</v>
      </c>
      <c r="K139" s="15">
        <v>4879</v>
      </c>
      <c r="L139" s="10">
        <f t="shared" si="25"/>
        <v>42221.936176470583</v>
      </c>
      <c r="M139" s="15">
        <f t="shared" si="20"/>
        <v>0</v>
      </c>
      <c r="N139" s="2">
        <f t="shared" si="26"/>
        <v>0</v>
      </c>
      <c r="O139" s="199">
        <f t="shared" si="21"/>
        <v>0</v>
      </c>
      <c r="P139" s="419">
        <f t="shared" si="22"/>
        <v>0</v>
      </c>
      <c r="Q139" s="192"/>
    </row>
    <row r="140" spans="1:17" x14ac:dyDescent="0.25">
      <c r="A140" s="190">
        <f>'A) Base RI'!A142</f>
        <v>5632</v>
      </c>
      <c r="B140" s="35" t="str">
        <f>'A) Base RI'!B142</f>
        <v>Denges</v>
      </c>
      <c r="C140" s="34">
        <f>'D) Ecrêtage'!M140</f>
        <v>67310.066612903232</v>
      </c>
      <c r="D140" s="34">
        <v>66147</v>
      </c>
      <c r="E140" s="10">
        <v>336396</v>
      </c>
      <c r="F140" s="44">
        <v>62330</v>
      </c>
      <c r="G140" s="44">
        <f t="shared" si="18"/>
        <v>464873</v>
      </c>
      <c r="H140" s="10">
        <f t="shared" si="23"/>
        <v>538480.53290322586</v>
      </c>
      <c r="I140" s="34">
        <f t="shared" si="19"/>
        <v>0</v>
      </c>
      <c r="J140" s="2">
        <f t="shared" si="24"/>
        <v>0</v>
      </c>
      <c r="K140" s="15">
        <v>1512</v>
      </c>
      <c r="L140" s="10">
        <f t="shared" si="25"/>
        <v>67310.066612903232</v>
      </c>
      <c r="M140" s="15">
        <f t="shared" si="20"/>
        <v>0</v>
      </c>
      <c r="N140" s="2">
        <f t="shared" si="26"/>
        <v>0</v>
      </c>
      <c r="O140" s="199">
        <f t="shared" si="21"/>
        <v>0</v>
      </c>
      <c r="P140" s="419">
        <f t="shared" si="22"/>
        <v>0</v>
      </c>
      <c r="Q140" s="192"/>
    </row>
    <row r="141" spans="1:17" x14ac:dyDescent="0.25">
      <c r="A141" s="190">
        <f>'A) Base RI'!A143</f>
        <v>5633</v>
      </c>
      <c r="B141" s="35" t="str">
        <f>'A) Base RI'!B143</f>
        <v>Echandens</v>
      </c>
      <c r="C141" s="34">
        <f>'D) Ecrêtage'!M141</f>
        <v>139554.44612903227</v>
      </c>
      <c r="D141" s="34">
        <v>675703</v>
      </c>
      <c r="E141" s="10">
        <v>596254</v>
      </c>
      <c r="F141" s="44">
        <v>148811</v>
      </c>
      <c r="G141" s="44">
        <f t="shared" si="18"/>
        <v>1420768</v>
      </c>
      <c r="H141" s="10">
        <f t="shared" si="23"/>
        <v>1116435.5690322581</v>
      </c>
      <c r="I141" s="34">
        <f t="shared" si="19"/>
        <v>304332.43096774188</v>
      </c>
      <c r="J141" s="2">
        <f t="shared" si="24"/>
        <v>-215574.67291560298</v>
      </c>
      <c r="K141" s="15">
        <v>12980</v>
      </c>
      <c r="L141" s="10">
        <f t="shared" si="25"/>
        <v>139554.44612903227</v>
      </c>
      <c r="M141" s="15">
        <f t="shared" si="20"/>
        <v>0</v>
      </c>
      <c r="N141" s="2">
        <f t="shared" si="26"/>
        <v>0</v>
      </c>
      <c r="O141" s="199">
        <f t="shared" si="21"/>
        <v>-215574.67291560298</v>
      </c>
      <c r="P141" s="419">
        <f t="shared" si="22"/>
        <v>-1.5447352549146467</v>
      </c>
      <c r="Q141" s="192"/>
    </row>
    <row r="142" spans="1:17" x14ac:dyDescent="0.25">
      <c r="A142" s="190">
        <f>'A) Base RI'!A144</f>
        <v>5634</v>
      </c>
      <c r="B142" s="35" t="str">
        <f>'A) Base RI'!B144</f>
        <v>Echichens</v>
      </c>
      <c r="C142" s="34">
        <f>'D) Ecrêtage'!M142</f>
        <v>125699.21529411766</v>
      </c>
      <c r="D142" s="34">
        <v>242802</v>
      </c>
      <c r="E142" s="10">
        <v>254261</v>
      </c>
      <c r="F142" s="44">
        <v>187610</v>
      </c>
      <c r="G142" s="44">
        <f t="shared" si="18"/>
        <v>684673</v>
      </c>
      <c r="H142" s="10">
        <f t="shared" si="23"/>
        <v>1005593.7223529413</v>
      </c>
      <c r="I142" s="34">
        <f t="shared" si="19"/>
        <v>0</v>
      </c>
      <c r="J142" s="2">
        <f t="shared" si="24"/>
        <v>0</v>
      </c>
      <c r="K142" s="15">
        <v>16347</v>
      </c>
      <c r="L142" s="10">
        <f t="shared" si="25"/>
        <v>125699.21529411766</v>
      </c>
      <c r="M142" s="15">
        <f t="shared" si="20"/>
        <v>0</v>
      </c>
      <c r="N142" s="2">
        <f t="shared" si="26"/>
        <v>0</v>
      </c>
      <c r="O142" s="199">
        <f t="shared" si="21"/>
        <v>0</v>
      </c>
      <c r="P142" s="419">
        <f t="shared" si="22"/>
        <v>0</v>
      </c>
      <c r="Q142" s="192"/>
    </row>
    <row r="143" spans="1:17" x14ac:dyDescent="0.25">
      <c r="A143" s="190">
        <f>'A) Base RI'!A145</f>
        <v>5635</v>
      </c>
      <c r="B143" s="35" t="str">
        <f>'A) Base RI'!B145</f>
        <v>Ecublens</v>
      </c>
      <c r="C143" s="34">
        <f>'D) Ecrêtage'!M143</f>
        <v>424543.31159592536</v>
      </c>
      <c r="D143" s="34">
        <v>3329091</v>
      </c>
      <c r="E143" s="10">
        <v>3724693</v>
      </c>
      <c r="F143" s="44">
        <v>216721</v>
      </c>
      <c r="G143" s="44">
        <f t="shared" si="18"/>
        <v>7270505</v>
      </c>
      <c r="H143" s="10">
        <f t="shared" si="23"/>
        <v>3396346.4927674029</v>
      </c>
      <c r="I143" s="34">
        <f t="shared" si="19"/>
        <v>3874158.5072325971</v>
      </c>
      <c r="J143" s="2">
        <f t="shared" si="24"/>
        <v>-2744270.3045617663</v>
      </c>
      <c r="K143" s="15">
        <v>110296</v>
      </c>
      <c r="L143" s="10">
        <f t="shared" si="25"/>
        <v>424543.31159592536</v>
      </c>
      <c r="M143" s="15">
        <f t="shared" si="20"/>
        <v>0</v>
      </c>
      <c r="N143" s="2">
        <f t="shared" si="26"/>
        <v>0</v>
      </c>
      <c r="O143" s="199">
        <f t="shared" si="21"/>
        <v>-2744270.3045617663</v>
      </c>
      <c r="P143" s="419">
        <f t="shared" si="22"/>
        <v>-6.4640526174953052</v>
      </c>
      <c r="Q143" s="192"/>
    </row>
    <row r="144" spans="1:17" x14ac:dyDescent="0.25">
      <c r="A144" s="190">
        <f>'A) Base RI'!A146</f>
        <v>5636</v>
      </c>
      <c r="B144" s="35" t="str">
        <f>'A) Base RI'!B146</f>
        <v>Etoy</v>
      </c>
      <c r="C144" s="34">
        <f>'D) Ecrêtage'!M144</f>
        <v>150854.83475409835</v>
      </c>
      <c r="D144" s="34">
        <v>509354</v>
      </c>
      <c r="E144" s="10">
        <v>335620</v>
      </c>
      <c r="F144" s="44">
        <v>354719</v>
      </c>
      <c r="G144" s="44">
        <f t="shared" si="18"/>
        <v>1199693</v>
      </c>
      <c r="H144" s="10">
        <f t="shared" si="23"/>
        <v>1206838.6780327868</v>
      </c>
      <c r="I144" s="34">
        <f t="shared" si="19"/>
        <v>0</v>
      </c>
      <c r="J144" s="2">
        <f t="shared" si="24"/>
        <v>0</v>
      </c>
      <c r="K144" s="15">
        <v>10024</v>
      </c>
      <c r="L144" s="10">
        <f t="shared" si="25"/>
        <v>150854.83475409835</v>
      </c>
      <c r="M144" s="15">
        <f t="shared" si="20"/>
        <v>0</v>
      </c>
      <c r="N144" s="2">
        <f t="shared" si="26"/>
        <v>0</v>
      </c>
      <c r="O144" s="199">
        <f t="shared" si="21"/>
        <v>0</v>
      </c>
      <c r="P144" s="419">
        <f t="shared" si="22"/>
        <v>0</v>
      </c>
      <c r="Q144" s="192"/>
    </row>
    <row r="145" spans="1:17" x14ac:dyDescent="0.25">
      <c r="A145" s="190">
        <f>'A) Base RI'!A147</f>
        <v>5637</v>
      </c>
      <c r="B145" s="35" t="str">
        <f>'A) Base RI'!B147</f>
        <v>Lavigny</v>
      </c>
      <c r="C145" s="34">
        <f>'D) Ecrêtage'!M145</f>
        <v>35788.809619686814</v>
      </c>
      <c r="D145" s="34">
        <v>168516</v>
      </c>
      <c r="E145" s="10">
        <v>67368</v>
      </c>
      <c r="F145" s="44">
        <v>135735</v>
      </c>
      <c r="G145" s="44">
        <f t="shared" si="18"/>
        <v>371619</v>
      </c>
      <c r="H145" s="10">
        <f t="shared" si="23"/>
        <v>286310.47695749451</v>
      </c>
      <c r="I145" s="34">
        <f t="shared" si="19"/>
        <v>85308.523042505491</v>
      </c>
      <c r="J145" s="2">
        <f t="shared" si="24"/>
        <v>-60428.51526970719</v>
      </c>
      <c r="K145" s="15">
        <v>0</v>
      </c>
      <c r="L145" s="10">
        <f t="shared" si="25"/>
        <v>35788.809619686814</v>
      </c>
      <c r="M145" s="15">
        <f t="shared" si="20"/>
        <v>0</v>
      </c>
      <c r="N145" s="2">
        <f t="shared" si="26"/>
        <v>0</v>
      </c>
      <c r="O145" s="199">
        <f t="shared" si="21"/>
        <v>-60428.51526970719</v>
      </c>
      <c r="P145" s="419">
        <f t="shared" si="22"/>
        <v>-1.6884751382305405</v>
      </c>
      <c r="Q145" s="192"/>
    </row>
    <row r="146" spans="1:17" x14ac:dyDescent="0.25">
      <c r="A146" s="190">
        <f>'A) Base RI'!A148</f>
        <v>5638</v>
      </c>
      <c r="B146" s="35" t="str">
        <f>'A) Base RI'!B148</f>
        <v>Lonay</v>
      </c>
      <c r="C146" s="34">
        <f>'D) Ecrêtage'!M146</f>
        <v>147644.94143177712</v>
      </c>
      <c r="D146" s="34">
        <v>743405</v>
      </c>
      <c r="E146" s="10">
        <v>823831</v>
      </c>
      <c r="F146" s="44">
        <v>90640</v>
      </c>
      <c r="G146" s="44">
        <f t="shared" si="18"/>
        <v>1657876</v>
      </c>
      <c r="H146" s="10">
        <f t="shared" si="23"/>
        <v>1181159.5314542169</v>
      </c>
      <c r="I146" s="34">
        <f t="shared" si="19"/>
        <v>476716.46854578308</v>
      </c>
      <c r="J146" s="2">
        <f t="shared" si="24"/>
        <v>-337683.35649752541</v>
      </c>
      <c r="K146" s="15">
        <v>15927</v>
      </c>
      <c r="L146" s="10">
        <f t="shared" si="25"/>
        <v>147644.94143177712</v>
      </c>
      <c r="M146" s="15">
        <f t="shared" si="20"/>
        <v>0</v>
      </c>
      <c r="N146" s="2">
        <f t="shared" si="26"/>
        <v>0</v>
      </c>
      <c r="O146" s="199">
        <f t="shared" si="21"/>
        <v>-337683.35649752541</v>
      </c>
      <c r="P146" s="419">
        <f t="shared" si="22"/>
        <v>-2.2871312299823026</v>
      </c>
      <c r="Q146" s="192"/>
    </row>
    <row r="147" spans="1:17" x14ac:dyDescent="0.25">
      <c r="A147" s="190">
        <f>'A) Base RI'!A149</f>
        <v>5639</v>
      </c>
      <c r="B147" s="35" t="str">
        <f>'A) Base RI'!B149</f>
        <v>Lully</v>
      </c>
      <c r="C147" s="34">
        <f>'D) Ecrêtage'!M147</f>
        <v>41723.705573770494</v>
      </c>
      <c r="D147" s="34">
        <v>36280</v>
      </c>
      <c r="E147" s="10">
        <v>109637</v>
      </c>
      <c r="F147" s="44">
        <v>11829</v>
      </c>
      <c r="G147" s="44">
        <f t="shared" si="18"/>
        <v>157746</v>
      </c>
      <c r="H147" s="10">
        <f t="shared" si="23"/>
        <v>333789.64459016395</v>
      </c>
      <c r="I147" s="34">
        <f t="shared" si="19"/>
        <v>0</v>
      </c>
      <c r="J147" s="2">
        <f t="shared" si="24"/>
        <v>0</v>
      </c>
      <c r="K147" s="15">
        <v>22189</v>
      </c>
      <c r="L147" s="10">
        <f t="shared" si="25"/>
        <v>41723.705573770494</v>
      </c>
      <c r="M147" s="15">
        <f t="shared" si="20"/>
        <v>0</v>
      </c>
      <c r="N147" s="2">
        <f t="shared" si="26"/>
        <v>0</v>
      </c>
      <c r="O147" s="199">
        <f t="shared" si="21"/>
        <v>0</v>
      </c>
      <c r="P147" s="419">
        <f t="shared" si="22"/>
        <v>0</v>
      </c>
      <c r="Q147" s="192"/>
    </row>
    <row r="148" spans="1:17" x14ac:dyDescent="0.25">
      <c r="A148" s="190">
        <f>'A) Base RI'!A150</f>
        <v>5640</v>
      </c>
      <c r="B148" s="35" t="str">
        <f>'A) Base RI'!B150</f>
        <v>Lussy-sur-Morges</v>
      </c>
      <c r="C148" s="34">
        <f>'D) Ecrêtage'!M148</f>
        <v>46773.482488911992</v>
      </c>
      <c r="D148" s="34">
        <v>164050</v>
      </c>
      <c r="E148" s="10">
        <v>79318</v>
      </c>
      <c r="F148" s="44">
        <v>69325</v>
      </c>
      <c r="G148" s="44">
        <f t="shared" si="18"/>
        <v>312693</v>
      </c>
      <c r="H148" s="10">
        <f t="shared" si="23"/>
        <v>374187.85991129593</v>
      </c>
      <c r="I148" s="34">
        <f t="shared" si="19"/>
        <v>0</v>
      </c>
      <c r="J148" s="2">
        <f t="shared" si="24"/>
        <v>0</v>
      </c>
      <c r="K148" s="15">
        <v>-8401</v>
      </c>
      <c r="L148" s="10">
        <f t="shared" si="25"/>
        <v>46773.482488911992</v>
      </c>
      <c r="M148" s="15">
        <f t="shared" si="20"/>
        <v>0</v>
      </c>
      <c r="N148" s="2">
        <f t="shared" si="26"/>
        <v>0</v>
      </c>
      <c r="O148" s="199">
        <f t="shared" si="21"/>
        <v>0</v>
      </c>
      <c r="P148" s="419">
        <f t="shared" si="22"/>
        <v>0</v>
      </c>
      <c r="Q148" s="192"/>
    </row>
    <row r="149" spans="1:17" x14ac:dyDescent="0.25">
      <c r="A149" s="190">
        <f>'A) Base RI'!A151</f>
        <v>5642</v>
      </c>
      <c r="B149" s="35" t="str">
        <f>'A) Base RI'!B151</f>
        <v>Morges</v>
      </c>
      <c r="C149" s="34">
        <f>'D) Ecrêtage'!M149</f>
        <v>781778.61635036487</v>
      </c>
      <c r="D149" s="34">
        <v>3085470</v>
      </c>
      <c r="E149" s="10">
        <v>3433733</v>
      </c>
      <c r="F149" s="44">
        <v>86319</v>
      </c>
      <c r="G149" s="44">
        <f t="shared" si="18"/>
        <v>6605522</v>
      </c>
      <c r="H149" s="10">
        <f t="shared" si="23"/>
        <v>6254228.930802919</v>
      </c>
      <c r="I149" s="34">
        <f t="shared" si="19"/>
        <v>351293.06919708103</v>
      </c>
      <c r="J149" s="2">
        <f t="shared" si="24"/>
        <v>-248839.36374729025</v>
      </c>
      <c r="K149" s="15">
        <v>39825</v>
      </c>
      <c r="L149" s="10">
        <f t="shared" si="25"/>
        <v>781778.61635036487</v>
      </c>
      <c r="M149" s="15">
        <f t="shared" si="20"/>
        <v>0</v>
      </c>
      <c r="N149" s="2">
        <f t="shared" si="26"/>
        <v>0</v>
      </c>
      <c r="O149" s="199">
        <f t="shared" si="21"/>
        <v>-248839.36374729025</v>
      </c>
      <c r="P149" s="419">
        <f t="shared" si="22"/>
        <v>-0.31829901527489396</v>
      </c>
      <c r="Q149" s="192"/>
    </row>
    <row r="150" spans="1:17" x14ac:dyDescent="0.25">
      <c r="A150" s="190">
        <f>'A) Base RI'!A152</f>
        <v>5643</v>
      </c>
      <c r="B150" s="35" t="str">
        <f>'A) Base RI'!B152</f>
        <v>Préverenges</v>
      </c>
      <c r="C150" s="34">
        <f>'D) Ecrêtage'!M150</f>
        <v>262779.91921874997</v>
      </c>
      <c r="D150" s="34">
        <v>140341</v>
      </c>
      <c r="E150" s="10">
        <v>951560</v>
      </c>
      <c r="F150" s="44">
        <v>107232</v>
      </c>
      <c r="G150" s="44">
        <f t="shared" si="18"/>
        <v>1199133</v>
      </c>
      <c r="H150" s="10">
        <f t="shared" si="23"/>
        <v>2102239.3537499998</v>
      </c>
      <c r="I150" s="34">
        <f t="shared" si="19"/>
        <v>0</v>
      </c>
      <c r="J150" s="2">
        <f t="shared" si="24"/>
        <v>0</v>
      </c>
      <c r="K150" s="15">
        <v>150</v>
      </c>
      <c r="L150" s="10">
        <f t="shared" si="25"/>
        <v>262779.91921874997</v>
      </c>
      <c r="M150" s="15">
        <f t="shared" si="20"/>
        <v>0</v>
      </c>
      <c r="N150" s="2">
        <f t="shared" si="26"/>
        <v>0</v>
      </c>
      <c r="O150" s="199">
        <f t="shared" si="21"/>
        <v>0</v>
      </c>
      <c r="P150" s="419">
        <f t="shared" si="22"/>
        <v>0</v>
      </c>
      <c r="Q150" s="192"/>
    </row>
    <row r="151" spans="1:17" x14ac:dyDescent="0.25">
      <c r="A151" s="190">
        <f>'A) Base RI'!A153</f>
        <v>5644</v>
      </c>
      <c r="B151" s="35" t="str">
        <f>'A) Base RI'!B153</f>
        <v>Reverolle</v>
      </c>
      <c r="C151" s="34">
        <f>'D) Ecrêtage'!M151</f>
        <v>14128.860263157892</v>
      </c>
      <c r="D151" s="34">
        <v>106836</v>
      </c>
      <c r="E151" s="10">
        <v>25435</v>
      </c>
      <c r="F151" s="44">
        <v>45888</v>
      </c>
      <c r="G151" s="44">
        <f t="shared" si="18"/>
        <v>178159</v>
      </c>
      <c r="H151" s="10">
        <f t="shared" si="23"/>
        <v>113030.88210526314</v>
      </c>
      <c r="I151" s="34">
        <f t="shared" si="19"/>
        <v>65128.117894736861</v>
      </c>
      <c r="J151" s="2">
        <f t="shared" si="24"/>
        <v>-46133.672537367245</v>
      </c>
      <c r="K151" s="15">
        <v>5871</v>
      </c>
      <c r="L151" s="10">
        <f t="shared" si="25"/>
        <v>14128.860263157892</v>
      </c>
      <c r="M151" s="15">
        <f t="shared" si="20"/>
        <v>0</v>
      </c>
      <c r="N151" s="2">
        <f t="shared" si="26"/>
        <v>0</v>
      </c>
      <c r="O151" s="199">
        <f t="shared" si="21"/>
        <v>-46133.672537367245</v>
      </c>
      <c r="P151" s="419">
        <f t="shared" si="22"/>
        <v>-3.2652083521318702</v>
      </c>
      <c r="Q151" s="192"/>
    </row>
    <row r="152" spans="1:17" x14ac:dyDescent="0.25">
      <c r="A152" s="190">
        <f>'A) Base RI'!A154</f>
        <v>5645</v>
      </c>
      <c r="B152" s="35" t="str">
        <f>'A) Base RI'!B154</f>
        <v>Romanel-sur-Morges</v>
      </c>
      <c r="C152" s="34">
        <f>'D) Ecrêtage'!M152</f>
        <v>26355.884598214288</v>
      </c>
      <c r="D152" s="34">
        <v>75493</v>
      </c>
      <c r="E152" s="10">
        <v>16215</v>
      </c>
      <c r="F152" s="44">
        <v>46526</v>
      </c>
      <c r="G152" s="44">
        <f t="shared" si="18"/>
        <v>138234</v>
      </c>
      <c r="H152" s="10">
        <f t="shared" si="23"/>
        <v>210847.07678571431</v>
      </c>
      <c r="I152" s="34">
        <f t="shared" si="19"/>
        <v>0</v>
      </c>
      <c r="J152" s="2">
        <f t="shared" si="24"/>
        <v>0</v>
      </c>
      <c r="K152" s="15">
        <v>4172</v>
      </c>
      <c r="L152" s="10">
        <f t="shared" si="25"/>
        <v>26355.884598214288</v>
      </c>
      <c r="M152" s="15">
        <f t="shared" si="20"/>
        <v>0</v>
      </c>
      <c r="N152" s="2">
        <f t="shared" si="26"/>
        <v>0</v>
      </c>
      <c r="O152" s="199">
        <f t="shared" si="21"/>
        <v>0</v>
      </c>
      <c r="P152" s="419">
        <f t="shared" si="22"/>
        <v>0</v>
      </c>
      <c r="Q152" s="192"/>
    </row>
    <row r="153" spans="1:17" x14ac:dyDescent="0.25">
      <c r="A153" s="190">
        <f>'A) Base RI'!A155</f>
        <v>5646</v>
      </c>
      <c r="B153" s="35" t="str">
        <f>'A) Base RI'!B155</f>
        <v>Saint-Prex</v>
      </c>
      <c r="C153" s="34">
        <f>'D) Ecrêtage'!M153</f>
        <v>440016.87022919563</v>
      </c>
      <c r="D153" s="34">
        <v>881397</v>
      </c>
      <c r="E153" s="10">
        <v>494921</v>
      </c>
      <c r="F153" s="44">
        <v>175969</v>
      </c>
      <c r="G153" s="44">
        <f t="shared" si="18"/>
        <v>1552287</v>
      </c>
      <c r="H153" s="10">
        <f t="shared" si="23"/>
        <v>3520134.961833565</v>
      </c>
      <c r="I153" s="34">
        <f t="shared" si="19"/>
        <v>0</v>
      </c>
      <c r="J153" s="2">
        <f t="shared" si="24"/>
        <v>0</v>
      </c>
      <c r="K153" s="15">
        <v>8238</v>
      </c>
      <c r="L153" s="10">
        <f t="shared" si="25"/>
        <v>440016.87022919563</v>
      </c>
      <c r="M153" s="15">
        <f t="shared" si="20"/>
        <v>0</v>
      </c>
      <c r="N153" s="2">
        <f t="shared" si="26"/>
        <v>0</v>
      </c>
      <c r="O153" s="199">
        <f t="shared" si="21"/>
        <v>0</v>
      </c>
      <c r="P153" s="419">
        <f t="shared" si="22"/>
        <v>0</v>
      </c>
      <c r="Q153" s="192"/>
    </row>
    <row r="154" spans="1:17" x14ac:dyDescent="0.25">
      <c r="A154" s="190">
        <f>'A) Base RI'!A156</f>
        <v>5648</v>
      </c>
      <c r="B154" s="35" t="str">
        <f>'A) Base RI'!B156</f>
        <v>Saint-Sulpice</v>
      </c>
      <c r="C154" s="34">
        <f>'D) Ecrêtage'!M154</f>
        <v>285929.07649603003</v>
      </c>
      <c r="D154" s="34">
        <v>403233</v>
      </c>
      <c r="E154" s="10">
        <v>1853712</v>
      </c>
      <c r="F154" s="44">
        <v>45639</v>
      </c>
      <c r="G154" s="44">
        <f t="shared" si="18"/>
        <v>2302584</v>
      </c>
      <c r="H154" s="10">
        <f t="shared" si="23"/>
        <v>2287432.6119682402</v>
      </c>
      <c r="I154" s="34">
        <f t="shared" si="19"/>
        <v>15151.388031759765</v>
      </c>
      <c r="J154" s="2">
        <f t="shared" si="24"/>
        <v>-10732.525313775068</v>
      </c>
      <c r="K154" s="15">
        <v>29634</v>
      </c>
      <c r="L154" s="10">
        <f t="shared" si="25"/>
        <v>285929.07649603003</v>
      </c>
      <c r="M154" s="15">
        <f t="shared" si="20"/>
        <v>0</v>
      </c>
      <c r="N154" s="2">
        <f t="shared" si="26"/>
        <v>0</v>
      </c>
      <c r="O154" s="199">
        <f t="shared" si="21"/>
        <v>-10732.525313775068</v>
      </c>
      <c r="P154" s="419">
        <f t="shared" si="22"/>
        <v>-3.7535620529743789E-2</v>
      </c>
      <c r="Q154" s="192"/>
    </row>
    <row r="155" spans="1:17" x14ac:dyDescent="0.25">
      <c r="A155" s="190">
        <f>'A) Base RI'!A157</f>
        <v>5649</v>
      </c>
      <c r="B155" s="35" t="str">
        <f>'A) Base RI'!B157</f>
        <v>Tolochenaz</v>
      </c>
      <c r="C155" s="34">
        <f>'D) Ecrêtage'!M155</f>
        <v>78727.730769230766</v>
      </c>
      <c r="D155" s="34">
        <v>242940</v>
      </c>
      <c r="E155" s="10">
        <v>494435</v>
      </c>
      <c r="F155" s="44">
        <v>31510</v>
      </c>
      <c r="G155" s="44">
        <f t="shared" si="18"/>
        <v>768885</v>
      </c>
      <c r="H155" s="10">
        <f t="shared" si="23"/>
        <v>629821.84615384613</v>
      </c>
      <c r="I155" s="34">
        <f t="shared" si="19"/>
        <v>139063.15384615387</v>
      </c>
      <c r="J155" s="2">
        <f t="shared" si="24"/>
        <v>-98505.748498997156</v>
      </c>
      <c r="K155" s="15">
        <v>6168</v>
      </c>
      <c r="L155" s="10">
        <f t="shared" si="25"/>
        <v>78727.730769230766</v>
      </c>
      <c r="M155" s="15">
        <f t="shared" si="20"/>
        <v>0</v>
      </c>
      <c r="N155" s="2">
        <f t="shared" si="26"/>
        <v>0</v>
      </c>
      <c r="O155" s="199">
        <f t="shared" si="21"/>
        <v>-98505.748498997156</v>
      </c>
      <c r="P155" s="419">
        <f t="shared" si="22"/>
        <v>-1.2512204725897709</v>
      </c>
      <c r="Q155" s="192"/>
    </row>
    <row r="156" spans="1:17" x14ac:dyDescent="0.25">
      <c r="A156" s="190">
        <f>'A) Base RI'!A158</f>
        <v>5650</v>
      </c>
      <c r="B156" s="35" t="str">
        <f>'A) Base RI'!B158</f>
        <v>Vaux-sur-Morges</v>
      </c>
      <c r="C156" s="34">
        <f>'D) Ecrêtage'!M156</f>
        <v>97886.364459633754</v>
      </c>
      <c r="D156" s="34">
        <v>12757</v>
      </c>
      <c r="E156" s="10">
        <v>14343</v>
      </c>
      <c r="F156" s="44">
        <v>24004</v>
      </c>
      <c r="G156" s="44">
        <f t="shared" si="18"/>
        <v>51104</v>
      </c>
      <c r="H156" s="10">
        <f t="shared" si="23"/>
        <v>783090.91567707004</v>
      </c>
      <c r="I156" s="34">
        <f t="shared" si="19"/>
        <v>0</v>
      </c>
      <c r="J156" s="2">
        <f t="shared" si="24"/>
        <v>0</v>
      </c>
      <c r="K156" s="15">
        <v>841</v>
      </c>
      <c r="L156" s="10">
        <f t="shared" si="25"/>
        <v>97886.364459633754</v>
      </c>
      <c r="M156" s="15">
        <f t="shared" si="20"/>
        <v>0</v>
      </c>
      <c r="N156" s="2">
        <f t="shared" si="26"/>
        <v>0</v>
      </c>
      <c r="O156" s="199">
        <f t="shared" si="21"/>
        <v>0</v>
      </c>
      <c r="P156" s="419">
        <f t="shared" si="22"/>
        <v>0</v>
      </c>
      <c r="Q156" s="192"/>
    </row>
    <row r="157" spans="1:17" x14ac:dyDescent="0.25">
      <c r="A157" s="190">
        <f>'A) Base RI'!A159</f>
        <v>5651</v>
      </c>
      <c r="B157" s="35" t="str">
        <f>'A) Base RI'!B159</f>
        <v>Villars-Sainte-Croix</v>
      </c>
      <c r="C157" s="34">
        <f>'D) Ecrêtage'!M157</f>
        <v>39092.930338983046</v>
      </c>
      <c r="D157" s="34">
        <v>157702</v>
      </c>
      <c r="E157" s="10">
        <v>61945</v>
      </c>
      <c r="F157" s="44">
        <v>37161</v>
      </c>
      <c r="G157" s="44">
        <f t="shared" si="18"/>
        <v>256808</v>
      </c>
      <c r="H157" s="10">
        <f t="shared" si="23"/>
        <v>312743.44271186437</v>
      </c>
      <c r="I157" s="34">
        <f t="shared" si="19"/>
        <v>0</v>
      </c>
      <c r="J157" s="2">
        <f t="shared" si="24"/>
        <v>0</v>
      </c>
      <c r="K157" s="15">
        <v>27591</v>
      </c>
      <c r="L157" s="10">
        <f t="shared" si="25"/>
        <v>39092.930338983046</v>
      </c>
      <c r="M157" s="15">
        <f t="shared" si="20"/>
        <v>0</v>
      </c>
      <c r="N157" s="2">
        <f t="shared" si="26"/>
        <v>0</v>
      </c>
      <c r="O157" s="199">
        <f t="shared" si="21"/>
        <v>0</v>
      </c>
      <c r="P157" s="419">
        <f t="shared" si="22"/>
        <v>0</v>
      </c>
      <c r="Q157" s="192"/>
    </row>
    <row r="158" spans="1:17" x14ac:dyDescent="0.25">
      <c r="A158" s="190">
        <f>'A) Base RI'!A160</f>
        <v>5652</v>
      </c>
      <c r="B158" s="35" t="str">
        <f>'A) Base RI'!B160</f>
        <v>Villars-sous-Yens</v>
      </c>
      <c r="C158" s="34">
        <f>'D) Ecrêtage'!M158</f>
        <v>21921.455131578947</v>
      </c>
      <c r="D158" s="34">
        <v>261415</v>
      </c>
      <c r="E158" s="10">
        <v>46140</v>
      </c>
      <c r="F158" s="44">
        <v>59740</v>
      </c>
      <c r="G158" s="44">
        <f t="shared" si="18"/>
        <v>367295</v>
      </c>
      <c r="H158" s="10">
        <f t="shared" si="23"/>
        <v>175371.64105263157</v>
      </c>
      <c r="I158" s="34">
        <f t="shared" si="19"/>
        <v>191923.35894736843</v>
      </c>
      <c r="J158" s="2">
        <f t="shared" si="24"/>
        <v>-135949.41294419023</v>
      </c>
      <c r="K158" s="15">
        <v>19714</v>
      </c>
      <c r="L158" s="10">
        <f t="shared" si="25"/>
        <v>21921.455131578947</v>
      </c>
      <c r="M158" s="15">
        <f t="shared" si="20"/>
        <v>0</v>
      </c>
      <c r="N158" s="2">
        <f t="shared" si="26"/>
        <v>0</v>
      </c>
      <c r="O158" s="199">
        <f t="shared" si="21"/>
        <v>-135949.41294419023</v>
      </c>
      <c r="P158" s="419">
        <f t="shared" si="22"/>
        <v>-6.2016600690137738</v>
      </c>
      <c r="Q158" s="192"/>
    </row>
    <row r="159" spans="1:17" x14ac:dyDescent="0.25">
      <c r="A159" s="190">
        <f>'A) Base RI'!A161</f>
        <v>5653</v>
      </c>
      <c r="B159" s="35" t="str">
        <f>'A) Base RI'!B161</f>
        <v>Vufflens-le-Château</v>
      </c>
      <c r="C159" s="34">
        <f>'D) Ecrêtage'!M159</f>
        <v>55874.435849684494</v>
      </c>
      <c r="D159" s="34">
        <v>94350</v>
      </c>
      <c r="E159" s="10">
        <v>72507</v>
      </c>
      <c r="F159" s="44">
        <v>11220</v>
      </c>
      <c r="G159" s="44">
        <f t="shared" si="18"/>
        <v>178077</v>
      </c>
      <c r="H159" s="10">
        <f t="shared" si="23"/>
        <v>446995.48679747595</v>
      </c>
      <c r="I159" s="34">
        <f t="shared" si="19"/>
        <v>0</v>
      </c>
      <c r="J159" s="2">
        <f t="shared" si="24"/>
        <v>0</v>
      </c>
      <c r="K159" s="15">
        <v>10233</v>
      </c>
      <c r="L159" s="10">
        <f t="shared" si="25"/>
        <v>55874.435849684494</v>
      </c>
      <c r="M159" s="15">
        <f t="shared" si="20"/>
        <v>0</v>
      </c>
      <c r="N159" s="2">
        <f t="shared" si="26"/>
        <v>0</v>
      </c>
      <c r="O159" s="199">
        <f t="shared" si="21"/>
        <v>0</v>
      </c>
      <c r="P159" s="419">
        <f t="shared" si="22"/>
        <v>0</v>
      </c>
      <c r="Q159" s="192"/>
    </row>
    <row r="160" spans="1:17" x14ac:dyDescent="0.25">
      <c r="A160" s="190">
        <f>'A) Base RI'!A162</f>
        <v>5654</v>
      </c>
      <c r="B160" s="35" t="str">
        <f>'A) Base RI'!B162</f>
        <v>Vullierens</v>
      </c>
      <c r="C160" s="34">
        <f>'D) Ecrêtage'!M160</f>
        <v>17141.735000000001</v>
      </c>
      <c r="D160" s="34">
        <v>755543</v>
      </c>
      <c r="E160" s="10">
        <v>16250</v>
      </c>
      <c r="F160" s="44">
        <v>41409</v>
      </c>
      <c r="G160" s="44">
        <f t="shared" si="18"/>
        <v>813202</v>
      </c>
      <c r="H160" s="10">
        <f t="shared" si="23"/>
        <v>137133.88</v>
      </c>
      <c r="I160" s="34">
        <f t="shared" si="19"/>
        <v>676068.12</v>
      </c>
      <c r="J160" s="2">
        <f t="shared" si="24"/>
        <v>-478894.6198544146</v>
      </c>
      <c r="K160" s="15">
        <v>11444</v>
      </c>
      <c r="L160" s="10">
        <f t="shared" si="25"/>
        <v>17141.735000000001</v>
      </c>
      <c r="M160" s="15">
        <f t="shared" si="20"/>
        <v>0</v>
      </c>
      <c r="N160" s="2">
        <f t="shared" si="26"/>
        <v>0</v>
      </c>
      <c r="O160" s="199">
        <f t="shared" si="21"/>
        <v>-478894.6198544146</v>
      </c>
      <c r="P160" s="419">
        <f t="shared" si="22"/>
        <v>-27.937348223759997</v>
      </c>
      <c r="Q160" s="192"/>
    </row>
    <row r="161" spans="1:17" x14ac:dyDescent="0.25">
      <c r="A161" s="190">
        <f>'A) Base RI'!A163</f>
        <v>5655</v>
      </c>
      <c r="B161" s="35" t="str">
        <f>'A) Base RI'!B163</f>
        <v>Yens</v>
      </c>
      <c r="C161" s="34">
        <f>'D) Ecrêtage'!M161</f>
        <v>81517.852964189922</v>
      </c>
      <c r="D161" s="34">
        <v>322377</v>
      </c>
      <c r="E161" s="10">
        <v>124084</v>
      </c>
      <c r="F161" s="44">
        <v>148744</v>
      </c>
      <c r="G161" s="44">
        <f t="shared" si="18"/>
        <v>595205</v>
      </c>
      <c r="H161" s="10">
        <f t="shared" si="23"/>
        <v>652142.82371351938</v>
      </c>
      <c r="I161" s="34">
        <f t="shared" si="19"/>
        <v>0</v>
      </c>
      <c r="J161" s="2">
        <f t="shared" si="24"/>
        <v>0</v>
      </c>
      <c r="K161" s="15">
        <v>30284</v>
      </c>
      <c r="L161" s="10">
        <f t="shared" si="25"/>
        <v>81517.852964189922</v>
      </c>
      <c r="M161" s="15">
        <f t="shared" si="20"/>
        <v>0</v>
      </c>
      <c r="N161" s="2">
        <f t="shared" si="26"/>
        <v>0</v>
      </c>
      <c r="O161" s="199">
        <f t="shared" si="21"/>
        <v>0</v>
      </c>
      <c r="P161" s="419">
        <f t="shared" si="22"/>
        <v>0</v>
      </c>
      <c r="Q161" s="192"/>
    </row>
    <row r="162" spans="1:17" x14ac:dyDescent="0.25">
      <c r="A162" s="190">
        <f>'A) Base RI'!A164</f>
        <v>5661</v>
      </c>
      <c r="B162" s="35" t="str">
        <f>'A) Base RI'!B164</f>
        <v>Boulens</v>
      </c>
      <c r="C162" s="34">
        <f>'D) Ecrêtage'!M162</f>
        <v>9592.9711392405043</v>
      </c>
      <c r="D162" s="34">
        <v>8620</v>
      </c>
      <c r="E162" s="10">
        <v>9944</v>
      </c>
      <c r="F162" s="44">
        <v>31968</v>
      </c>
      <c r="G162" s="44">
        <f t="shared" si="18"/>
        <v>50532</v>
      </c>
      <c r="H162" s="10">
        <f t="shared" si="23"/>
        <v>76743.769113924034</v>
      </c>
      <c r="I162" s="34">
        <f t="shared" si="19"/>
        <v>0</v>
      </c>
      <c r="J162" s="2">
        <f t="shared" si="24"/>
        <v>0</v>
      </c>
      <c r="K162" s="15">
        <v>43100</v>
      </c>
      <c r="L162" s="10">
        <f t="shared" si="25"/>
        <v>9592.9711392405043</v>
      </c>
      <c r="M162" s="15">
        <f t="shared" si="20"/>
        <v>33507.028860759499</v>
      </c>
      <c r="N162" s="2">
        <f t="shared" si="26"/>
        <v>-23734.791471493019</v>
      </c>
      <c r="O162" s="199">
        <f t="shared" si="21"/>
        <v>-23734.791471493019</v>
      </c>
      <c r="P162" s="419">
        <f t="shared" si="22"/>
        <v>-2.4741856435285965</v>
      </c>
      <c r="Q162" s="192"/>
    </row>
    <row r="163" spans="1:17" x14ac:dyDescent="0.25">
      <c r="A163" s="190">
        <f>'A) Base RI'!A165</f>
        <v>5662</v>
      </c>
      <c r="B163" s="35" t="str">
        <f>'A) Base RI'!B165</f>
        <v>Brenles</v>
      </c>
      <c r="C163" s="34">
        <f>'D) Ecrêtage'!M163</f>
        <v>5126.068504273504</v>
      </c>
      <c r="D163" s="34">
        <v>53838</v>
      </c>
      <c r="E163" s="10">
        <v>4405</v>
      </c>
      <c r="F163" s="44">
        <v>6476</v>
      </c>
      <c r="G163" s="44">
        <f t="shared" si="18"/>
        <v>64719</v>
      </c>
      <c r="H163" s="10">
        <f t="shared" si="23"/>
        <v>41008.548034188032</v>
      </c>
      <c r="I163" s="34">
        <f t="shared" si="19"/>
        <v>23710.451965811968</v>
      </c>
      <c r="J163" s="2">
        <f t="shared" si="24"/>
        <v>-16795.360622453074</v>
      </c>
      <c r="K163" s="15">
        <v>2529</v>
      </c>
      <c r="L163" s="10">
        <f t="shared" si="25"/>
        <v>5126.068504273504</v>
      </c>
      <c r="M163" s="15">
        <f t="shared" si="20"/>
        <v>0</v>
      </c>
      <c r="N163" s="2">
        <f t="shared" si="26"/>
        <v>0</v>
      </c>
      <c r="O163" s="199">
        <f t="shared" si="21"/>
        <v>-16795.360622453074</v>
      </c>
      <c r="P163" s="419">
        <f t="shared" si="22"/>
        <v>-3.2764604313132195</v>
      </c>
      <c r="Q163" s="192"/>
    </row>
    <row r="164" spans="1:17" x14ac:dyDescent="0.25">
      <c r="A164" s="190">
        <f>'A) Base RI'!A166</f>
        <v>5663</v>
      </c>
      <c r="B164" s="35" t="str">
        <f>'A) Base RI'!B166</f>
        <v>Bussy-sur-Moudon</v>
      </c>
      <c r="C164" s="34">
        <f>'D) Ecrêtage'!M164</f>
        <v>5468.4132499999996</v>
      </c>
      <c r="D164" s="34">
        <v>49788</v>
      </c>
      <c r="E164" s="10">
        <v>6058</v>
      </c>
      <c r="F164" s="44">
        <v>13125</v>
      </c>
      <c r="G164" s="44">
        <f t="shared" si="18"/>
        <v>68971</v>
      </c>
      <c r="H164" s="10">
        <f t="shared" si="23"/>
        <v>43747.305999999997</v>
      </c>
      <c r="I164" s="34">
        <f t="shared" si="19"/>
        <v>25223.694000000003</v>
      </c>
      <c r="J164" s="2">
        <f t="shared" si="24"/>
        <v>-17867.269572560352</v>
      </c>
      <c r="K164" s="15">
        <v>46521</v>
      </c>
      <c r="L164" s="10">
        <f t="shared" si="25"/>
        <v>5468.4132499999996</v>
      </c>
      <c r="M164" s="15">
        <f t="shared" si="20"/>
        <v>41052.586750000002</v>
      </c>
      <c r="N164" s="2">
        <f t="shared" si="26"/>
        <v>-29079.707124308166</v>
      </c>
      <c r="O164" s="199">
        <f t="shared" si="21"/>
        <v>-46946.976696868514</v>
      </c>
      <c r="P164" s="419">
        <f t="shared" si="22"/>
        <v>-8.5851186716491323</v>
      </c>
      <c r="Q164" s="192"/>
    </row>
    <row r="165" spans="1:17" x14ac:dyDescent="0.25">
      <c r="A165" s="190">
        <f>'A) Base RI'!A167</f>
        <v>5665</v>
      </c>
      <c r="B165" s="35" t="str">
        <f>'A) Base RI'!B167</f>
        <v>Chavannes-sur-Moudon</v>
      </c>
      <c r="C165" s="34">
        <f>'D) Ecrêtage'!M165</f>
        <v>4982.8790410958891</v>
      </c>
      <c r="D165" s="34">
        <v>40090</v>
      </c>
      <c r="E165" s="10">
        <v>6854</v>
      </c>
      <c r="F165" s="44">
        <v>13893</v>
      </c>
      <c r="G165" s="44">
        <f t="shared" si="18"/>
        <v>60837</v>
      </c>
      <c r="H165" s="10">
        <f t="shared" si="23"/>
        <v>39863.032328767113</v>
      </c>
      <c r="I165" s="34">
        <f t="shared" si="19"/>
        <v>20973.967671232887</v>
      </c>
      <c r="J165" s="2">
        <f t="shared" si="24"/>
        <v>-14856.964819985677</v>
      </c>
      <c r="K165" s="15">
        <v>-14919</v>
      </c>
      <c r="L165" s="10">
        <f t="shared" si="25"/>
        <v>4982.8790410958891</v>
      </c>
      <c r="M165" s="15">
        <f t="shared" si="20"/>
        <v>0</v>
      </c>
      <c r="N165" s="2">
        <f t="shared" si="26"/>
        <v>0</v>
      </c>
      <c r="O165" s="199">
        <f t="shared" si="21"/>
        <v>-14856.964819985677</v>
      </c>
      <c r="P165" s="419">
        <f t="shared" si="22"/>
        <v>-2.9816025429182744</v>
      </c>
      <c r="Q165" s="192"/>
    </row>
    <row r="166" spans="1:17" x14ac:dyDescent="0.25">
      <c r="A166" s="190">
        <f>'A) Base RI'!A168</f>
        <v>5666</v>
      </c>
      <c r="B166" s="35" t="str">
        <f>'A) Base RI'!B168</f>
        <v>Chesalles-sur-Moudon</v>
      </c>
      <c r="C166" s="34">
        <f>'D) Ecrêtage'!M166</f>
        <v>3797.0531999999998</v>
      </c>
      <c r="D166" s="34">
        <v>14645</v>
      </c>
      <c r="E166" s="10">
        <v>3657</v>
      </c>
      <c r="F166" s="44">
        <v>12006</v>
      </c>
      <c r="G166" s="44">
        <f t="shared" si="18"/>
        <v>30308</v>
      </c>
      <c r="H166" s="10">
        <f t="shared" si="23"/>
        <v>30376.425599999999</v>
      </c>
      <c r="I166" s="34">
        <f t="shared" si="19"/>
        <v>0</v>
      </c>
      <c r="J166" s="2">
        <f t="shared" si="24"/>
        <v>0</v>
      </c>
      <c r="K166" s="15">
        <v>686</v>
      </c>
      <c r="L166" s="10">
        <f t="shared" si="25"/>
        <v>3797.0531999999998</v>
      </c>
      <c r="M166" s="15">
        <f t="shared" si="20"/>
        <v>0</v>
      </c>
      <c r="N166" s="2">
        <f t="shared" si="26"/>
        <v>0</v>
      </c>
      <c r="O166" s="199">
        <f t="shared" si="21"/>
        <v>0</v>
      </c>
      <c r="P166" s="419">
        <f t="shared" si="22"/>
        <v>0</v>
      </c>
      <c r="Q166" s="192"/>
    </row>
    <row r="167" spans="1:17" x14ac:dyDescent="0.25">
      <c r="A167" s="190">
        <f>'A) Base RI'!A169</f>
        <v>5668</v>
      </c>
      <c r="B167" s="35" t="str">
        <f>'A) Base RI'!B169</f>
        <v>Cremin</v>
      </c>
      <c r="C167" s="34">
        <f>'D) Ecrêtage'!M167</f>
        <v>1016.3289610389612</v>
      </c>
      <c r="D167" s="34">
        <v>5849</v>
      </c>
      <c r="E167" s="10">
        <v>1775</v>
      </c>
      <c r="F167" s="44">
        <v>3874</v>
      </c>
      <c r="G167" s="44">
        <f t="shared" si="18"/>
        <v>11498</v>
      </c>
      <c r="H167" s="10">
        <f t="shared" si="23"/>
        <v>8130.6316883116897</v>
      </c>
      <c r="I167" s="34">
        <f t="shared" si="19"/>
        <v>3367.3683116883103</v>
      </c>
      <c r="J167" s="2">
        <f t="shared" si="24"/>
        <v>-2385.2841449405651</v>
      </c>
      <c r="K167" s="15">
        <v>0</v>
      </c>
      <c r="L167" s="10">
        <f t="shared" si="25"/>
        <v>1016.3289610389612</v>
      </c>
      <c r="M167" s="15">
        <f t="shared" si="20"/>
        <v>0</v>
      </c>
      <c r="N167" s="2">
        <f t="shared" si="26"/>
        <v>0</v>
      </c>
      <c r="O167" s="199">
        <f t="shared" si="21"/>
        <v>-2385.2841449405651</v>
      </c>
      <c r="P167" s="419">
        <f t="shared" si="22"/>
        <v>-2.3469607148675209</v>
      </c>
      <c r="Q167" s="192"/>
    </row>
    <row r="168" spans="1:17" x14ac:dyDescent="0.25">
      <c r="A168" s="190">
        <f>'A) Base RI'!A170</f>
        <v>5669</v>
      </c>
      <c r="B168" s="35" t="str">
        <f>'A) Base RI'!B170</f>
        <v>Curtilles</v>
      </c>
      <c r="C168" s="34">
        <f>'D) Ecrêtage'!M168</f>
        <v>8279.174027777779</v>
      </c>
      <c r="D168" s="34">
        <v>70860</v>
      </c>
      <c r="E168" s="10">
        <v>19031</v>
      </c>
      <c r="F168" s="44">
        <v>19347</v>
      </c>
      <c r="G168" s="44">
        <f t="shared" si="18"/>
        <v>109238</v>
      </c>
      <c r="H168" s="10">
        <f t="shared" si="23"/>
        <v>66233.392222222232</v>
      </c>
      <c r="I168" s="34">
        <f t="shared" si="19"/>
        <v>43004.607777777768</v>
      </c>
      <c r="J168" s="2">
        <f t="shared" si="24"/>
        <v>-30462.426321369931</v>
      </c>
      <c r="K168" s="15">
        <v>372</v>
      </c>
      <c r="L168" s="10">
        <f t="shared" si="25"/>
        <v>8279.174027777779</v>
      </c>
      <c r="M168" s="15">
        <f t="shared" si="20"/>
        <v>0</v>
      </c>
      <c r="N168" s="2">
        <f t="shared" si="26"/>
        <v>0</v>
      </c>
      <c r="O168" s="199">
        <f t="shared" si="21"/>
        <v>-30462.426321369931</v>
      </c>
      <c r="P168" s="419">
        <f t="shared" si="22"/>
        <v>-3.6794040346493815</v>
      </c>
      <c r="Q168" s="192"/>
    </row>
    <row r="169" spans="1:17" x14ac:dyDescent="0.25">
      <c r="A169" s="190">
        <f>'A) Base RI'!A171</f>
        <v>5671</v>
      </c>
      <c r="B169" s="35" t="str">
        <f>'A) Base RI'!B171</f>
        <v>Dompierre</v>
      </c>
      <c r="C169" s="34">
        <f>'D) Ecrêtage'!M169</f>
        <v>6672.7971250000001</v>
      </c>
      <c r="D169" s="34">
        <v>86439</v>
      </c>
      <c r="E169" s="10">
        <v>7557</v>
      </c>
      <c r="F169" s="44">
        <v>29687</v>
      </c>
      <c r="G169" s="44">
        <f t="shared" si="18"/>
        <v>123683</v>
      </c>
      <c r="H169" s="10">
        <f t="shared" si="23"/>
        <v>53382.377</v>
      </c>
      <c r="I169" s="34">
        <f t="shared" si="19"/>
        <v>70300.622999999992</v>
      </c>
      <c r="J169" s="2">
        <f t="shared" si="24"/>
        <v>-49797.630048157742</v>
      </c>
      <c r="K169" s="15">
        <v>3942</v>
      </c>
      <c r="L169" s="10">
        <f t="shared" si="25"/>
        <v>6672.7971250000001</v>
      </c>
      <c r="M169" s="15">
        <f t="shared" si="20"/>
        <v>0</v>
      </c>
      <c r="N169" s="2">
        <f t="shared" si="26"/>
        <v>0</v>
      </c>
      <c r="O169" s="199">
        <f t="shared" si="21"/>
        <v>-49797.630048157742</v>
      </c>
      <c r="P169" s="419">
        <f t="shared" si="22"/>
        <v>-7.462781966139536</v>
      </c>
      <c r="Q169" s="192"/>
    </row>
    <row r="170" spans="1:17" x14ac:dyDescent="0.25">
      <c r="A170" s="190">
        <f>'A) Base RI'!A172</f>
        <v>5672</v>
      </c>
      <c r="B170" s="35" t="str">
        <f>'A) Base RI'!B172</f>
        <v>Forel-sur-Lucens</v>
      </c>
      <c r="C170" s="34">
        <f>'D) Ecrêtage'!M170</f>
        <v>4096.3695000000007</v>
      </c>
      <c r="D170" s="34">
        <v>33517</v>
      </c>
      <c r="E170" s="10">
        <v>4712</v>
      </c>
      <c r="F170" s="44">
        <v>8115</v>
      </c>
      <c r="G170" s="44">
        <f t="shared" ref="G170:G225" si="27">D170+E170+F170</f>
        <v>46344</v>
      </c>
      <c r="H170" s="10">
        <f t="shared" si="23"/>
        <v>32770.956000000006</v>
      </c>
      <c r="I170" s="34">
        <f t="shared" ref="I170:I225" si="28">IF(G170&gt;H170,G170-H170,0)</f>
        <v>13573.043999999994</v>
      </c>
      <c r="J170" s="2">
        <f t="shared" si="24"/>
        <v>-9614.5011935294933</v>
      </c>
      <c r="K170" s="15">
        <v>675</v>
      </c>
      <c r="L170" s="10">
        <f t="shared" si="25"/>
        <v>4096.3695000000007</v>
      </c>
      <c r="M170" s="15">
        <f t="shared" ref="M170:M225" si="29">IF(K170&gt;L170,K170-L170,0)</f>
        <v>0</v>
      </c>
      <c r="N170" s="2">
        <f t="shared" si="26"/>
        <v>0</v>
      </c>
      <c r="O170" s="199">
        <f t="shared" ref="O170:O225" si="30">N170+J170</f>
        <v>-9614.5011935294933</v>
      </c>
      <c r="P170" s="419">
        <f t="shared" ref="P170:P225" si="31">O170/C170</f>
        <v>-2.3470786005826603</v>
      </c>
      <c r="Q170" s="192"/>
    </row>
    <row r="171" spans="1:17" x14ac:dyDescent="0.25">
      <c r="A171" s="190">
        <f>'A) Base RI'!A173</f>
        <v>5673</v>
      </c>
      <c r="B171" s="35" t="str">
        <f>'A) Base RI'!B173</f>
        <v>Hermenches</v>
      </c>
      <c r="C171" s="34">
        <f>'D) Ecrêtage'!M171</f>
        <v>7873.3323555555571</v>
      </c>
      <c r="D171" s="34">
        <v>50939</v>
      </c>
      <c r="E171" s="10">
        <v>11688</v>
      </c>
      <c r="F171" s="44">
        <v>23825</v>
      </c>
      <c r="G171" s="44">
        <f t="shared" si="27"/>
        <v>86452</v>
      </c>
      <c r="H171" s="10">
        <f t="shared" si="23"/>
        <v>62986.658844444457</v>
      </c>
      <c r="I171" s="34">
        <f t="shared" si="28"/>
        <v>23465.341155555543</v>
      </c>
      <c r="J171" s="2">
        <f t="shared" si="24"/>
        <v>-16621.735739357035</v>
      </c>
      <c r="K171" s="15">
        <v>20150</v>
      </c>
      <c r="L171" s="10">
        <f t="shared" si="25"/>
        <v>7873.3323555555571</v>
      </c>
      <c r="M171" s="15">
        <f t="shared" si="29"/>
        <v>12276.667644444442</v>
      </c>
      <c r="N171" s="2">
        <f t="shared" si="26"/>
        <v>-8696.2096137075841</v>
      </c>
      <c r="O171" s="199">
        <f t="shared" si="30"/>
        <v>-25317.945353064621</v>
      </c>
      <c r="P171" s="419">
        <f t="shared" si="31"/>
        <v>-3.2156581495254479</v>
      </c>
      <c r="Q171" s="192"/>
    </row>
    <row r="172" spans="1:17" x14ac:dyDescent="0.25">
      <c r="A172" s="190">
        <f>'A) Base RI'!A174</f>
        <v>5674</v>
      </c>
      <c r="B172" s="35" t="str">
        <f>'A) Base RI'!B174</f>
        <v>Lovatens</v>
      </c>
      <c r="C172" s="34">
        <f>'D) Ecrêtage'!M172</f>
        <v>3776.8391809523814</v>
      </c>
      <c r="D172" s="34">
        <v>46894</v>
      </c>
      <c r="E172" s="10">
        <v>4620</v>
      </c>
      <c r="F172" s="44">
        <v>7993</v>
      </c>
      <c r="G172" s="44">
        <f t="shared" si="27"/>
        <v>59507</v>
      </c>
      <c r="H172" s="10">
        <f t="shared" si="23"/>
        <v>30214.713447619051</v>
      </c>
      <c r="I172" s="34">
        <f t="shared" si="28"/>
        <v>29292.286552380949</v>
      </c>
      <c r="J172" s="2">
        <f t="shared" si="24"/>
        <v>-20749.267741199001</v>
      </c>
      <c r="K172" s="15">
        <v>1836</v>
      </c>
      <c r="L172" s="10">
        <f t="shared" si="25"/>
        <v>3776.8391809523814</v>
      </c>
      <c r="M172" s="15">
        <f t="shared" si="29"/>
        <v>0</v>
      </c>
      <c r="N172" s="2">
        <f t="shared" si="26"/>
        <v>0</v>
      </c>
      <c r="O172" s="199">
        <f t="shared" si="30"/>
        <v>-20749.267741199001</v>
      </c>
      <c r="P172" s="419">
        <f t="shared" si="31"/>
        <v>-5.4938181762790306</v>
      </c>
      <c r="Q172" s="192"/>
    </row>
    <row r="173" spans="1:17" x14ac:dyDescent="0.25">
      <c r="A173" s="190">
        <f>'A) Base RI'!A175</f>
        <v>5675</v>
      </c>
      <c r="B173" s="35" t="str">
        <f>'A) Base RI'!B175</f>
        <v>Lucens</v>
      </c>
      <c r="C173" s="34">
        <f>'D) Ecrêtage'!M173</f>
        <v>77479.696914600558</v>
      </c>
      <c r="D173" s="6">
        <v>722239</v>
      </c>
      <c r="E173" s="10">
        <v>251278</v>
      </c>
      <c r="F173" s="6">
        <v>220881</v>
      </c>
      <c r="G173" s="44">
        <f t="shared" si="27"/>
        <v>1194398</v>
      </c>
      <c r="H173" s="10">
        <f t="shared" si="23"/>
        <v>619837.57531680446</v>
      </c>
      <c r="I173" s="34">
        <f t="shared" si="28"/>
        <v>574560.42468319554</v>
      </c>
      <c r="J173" s="2">
        <f t="shared" si="24"/>
        <v>-406991.37856411561</v>
      </c>
      <c r="K173" s="15">
        <v>74147</v>
      </c>
      <c r="L173" s="10">
        <f t="shared" si="25"/>
        <v>77479.696914600558</v>
      </c>
      <c r="M173" s="15">
        <f t="shared" si="29"/>
        <v>0</v>
      </c>
      <c r="N173" s="2">
        <f t="shared" si="26"/>
        <v>0</v>
      </c>
      <c r="O173" s="199">
        <f t="shared" si="30"/>
        <v>-406991.37856411561</v>
      </c>
      <c r="P173" s="419">
        <f t="shared" si="31"/>
        <v>-5.2528777831011455</v>
      </c>
      <c r="Q173" s="192"/>
    </row>
    <row r="174" spans="1:17" x14ac:dyDescent="0.25">
      <c r="A174" s="190">
        <f>'A) Base RI'!A176</f>
        <v>5678</v>
      </c>
      <c r="B174" s="35" t="str">
        <f>'A) Base RI'!B176</f>
        <v>Moudon</v>
      </c>
      <c r="C174" s="34">
        <f>'D) Ecrêtage'!M174</f>
        <v>123116.47720000001</v>
      </c>
      <c r="D174" s="34">
        <v>1713427</v>
      </c>
      <c r="E174" s="10">
        <v>441361</v>
      </c>
      <c r="F174" s="44">
        <v>404825</v>
      </c>
      <c r="G174" s="44">
        <f t="shared" si="27"/>
        <v>2559613</v>
      </c>
      <c r="H174" s="10">
        <f t="shared" si="23"/>
        <v>984931.81760000007</v>
      </c>
      <c r="I174" s="34">
        <f t="shared" si="28"/>
        <v>1574681.1823999998</v>
      </c>
      <c r="J174" s="2">
        <f t="shared" si="24"/>
        <v>-1115429.53132792</v>
      </c>
      <c r="K174" s="15">
        <v>380854</v>
      </c>
      <c r="L174" s="10">
        <f t="shared" si="25"/>
        <v>123116.47720000001</v>
      </c>
      <c r="M174" s="15">
        <f t="shared" si="29"/>
        <v>257737.52279999998</v>
      </c>
      <c r="N174" s="2">
        <f t="shared" si="26"/>
        <v>-182569.04792896388</v>
      </c>
      <c r="O174" s="199">
        <f t="shared" si="30"/>
        <v>-1297998.5792568838</v>
      </c>
      <c r="P174" s="419">
        <f t="shared" si="31"/>
        <v>-10.54285022424995</v>
      </c>
      <c r="Q174" s="192"/>
    </row>
    <row r="175" spans="1:17" s="410" customFormat="1" x14ac:dyDescent="0.25">
      <c r="A175" s="404">
        <f>'A) Base RI'!A177</f>
        <v>5680</v>
      </c>
      <c r="B175" s="405" t="str">
        <f>'A) Base RI'!B177</f>
        <v>Ogens</v>
      </c>
      <c r="C175" s="406">
        <f>'D) Ecrêtage'!M175</f>
        <v>8504.3488034188031</v>
      </c>
      <c r="D175" s="406">
        <v>45910</v>
      </c>
      <c r="E175" s="407">
        <v>11369</v>
      </c>
      <c r="F175" s="408">
        <v>29706</v>
      </c>
      <c r="G175" s="408">
        <f t="shared" si="27"/>
        <v>86985</v>
      </c>
      <c r="H175" s="407">
        <f t="shared" si="23"/>
        <v>68034.790427350425</v>
      </c>
      <c r="I175" s="406">
        <f t="shared" si="28"/>
        <v>18950.209572649575</v>
      </c>
      <c r="J175" s="2">
        <f t="shared" si="24"/>
        <v>-13423.430481318224</v>
      </c>
      <c r="K175" s="1">
        <v>17208</v>
      </c>
      <c r="L175" s="407">
        <f t="shared" si="25"/>
        <v>8504.3488034188031</v>
      </c>
      <c r="M175" s="1">
        <f t="shared" si="29"/>
        <v>8703.6511965811969</v>
      </c>
      <c r="N175" s="2">
        <f t="shared" si="26"/>
        <v>-6165.2540740009645</v>
      </c>
      <c r="O175" s="199">
        <f t="shared" si="30"/>
        <v>-19588.684555319189</v>
      </c>
      <c r="P175" s="420">
        <f t="shared" si="31"/>
        <v>-2.3033726635770644</v>
      </c>
      <c r="Q175" s="409"/>
    </row>
    <row r="176" spans="1:17" x14ac:dyDescent="0.25">
      <c r="A176" s="190">
        <f>'A) Base RI'!A178</f>
        <v>5683</v>
      </c>
      <c r="B176" s="35" t="str">
        <f>'A) Base RI'!B178</f>
        <v>Prévonloup</v>
      </c>
      <c r="C176" s="34">
        <f>'D) Ecrêtage'!M176</f>
        <v>4128.5685135135127</v>
      </c>
      <c r="D176" s="34">
        <v>39084</v>
      </c>
      <c r="E176" s="10">
        <v>7894</v>
      </c>
      <c r="F176" s="44">
        <v>12465</v>
      </c>
      <c r="G176" s="44">
        <f t="shared" si="27"/>
        <v>59443</v>
      </c>
      <c r="H176" s="10">
        <f t="shared" si="23"/>
        <v>33028.548108108102</v>
      </c>
      <c r="I176" s="34">
        <f t="shared" si="28"/>
        <v>26414.451891891898</v>
      </c>
      <c r="J176" s="2">
        <f t="shared" si="24"/>
        <v>-18710.746037589073</v>
      </c>
      <c r="K176" s="15">
        <v>1414</v>
      </c>
      <c r="L176" s="10">
        <f t="shared" si="25"/>
        <v>4128.5685135135127</v>
      </c>
      <c r="M176" s="15">
        <f t="shared" si="29"/>
        <v>0</v>
      </c>
      <c r="N176" s="2">
        <f t="shared" si="26"/>
        <v>0</v>
      </c>
      <c r="O176" s="199">
        <f t="shared" si="30"/>
        <v>-18710.746037589073</v>
      </c>
      <c r="P176" s="419">
        <f t="shared" si="31"/>
        <v>-4.5320178110998022</v>
      </c>
      <c r="Q176" s="192"/>
    </row>
    <row r="177" spans="1:17" x14ac:dyDescent="0.25">
      <c r="A177" s="190">
        <f>'A) Base RI'!A179</f>
        <v>5684</v>
      </c>
      <c r="B177" s="35" t="str">
        <f>'A) Base RI'!B179</f>
        <v>Rossenges</v>
      </c>
      <c r="C177" s="34">
        <f>'D) Ecrêtage'!M177</f>
        <v>2119.9519999999998</v>
      </c>
      <c r="D177" s="34">
        <v>4652</v>
      </c>
      <c r="E177" s="10">
        <v>1988</v>
      </c>
      <c r="F177" s="44">
        <v>3665</v>
      </c>
      <c r="G177" s="44">
        <f t="shared" si="27"/>
        <v>10305</v>
      </c>
      <c r="H177" s="10">
        <f t="shared" si="23"/>
        <v>16959.615999999998</v>
      </c>
      <c r="I177" s="34">
        <f t="shared" si="28"/>
        <v>0</v>
      </c>
      <c r="J177" s="2">
        <f t="shared" si="24"/>
        <v>0</v>
      </c>
      <c r="K177" s="15">
        <v>0</v>
      </c>
      <c r="L177" s="10">
        <f t="shared" si="25"/>
        <v>2119.9519999999998</v>
      </c>
      <c r="M177" s="15">
        <f t="shared" si="29"/>
        <v>0</v>
      </c>
      <c r="N177" s="2">
        <f t="shared" si="26"/>
        <v>0</v>
      </c>
      <c r="O177" s="199">
        <f t="shared" si="30"/>
        <v>0</v>
      </c>
      <c r="P177" s="419">
        <f t="shared" si="31"/>
        <v>0</v>
      </c>
      <c r="Q177" s="192"/>
    </row>
    <row r="178" spans="1:17" x14ac:dyDescent="0.25">
      <c r="A178" s="190">
        <f>'A) Base RI'!A180</f>
        <v>5686</v>
      </c>
      <c r="B178" s="35" t="str">
        <f>'A) Base RI'!B180</f>
        <v>Sarzens</v>
      </c>
      <c r="C178" s="34">
        <f>'D) Ecrêtage'!M178</f>
        <v>1678.3095945945947</v>
      </c>
      <c r="D178" s="34">
        <v>37222</v>
      </c>
      <c r="E178" s="10">
        <v>2448</v>
      </c>
      <c r="F178" s="44">
        <v>6320</v>
      </c>
      <c r="G178" s="44">
        <f t="shared" si="27"/>
        <v>45990</v>
      </c>
      <c r="H178" s="10">
        <f t="shared" si="23"/>
        <v>13426.476756756758</v>
      </c>
      <c r="I178" s="34">
        <f t="shared" si="28"/>
        <v>32563.523243243242</v>
      </c>
      <c r="J178" s="2">
        <f t="shared" si="24"/>
        <v>-23066.456801266366</v>
      </c>
      <c r="K178" s="15">
        <v>736</v>
      </c>
      <c r="L178" s="10">
        <f t="shared" si="25"/>
        <v>1678.3095945945947</v>
      </c>
      <c r="M178" s="15">
        <f t="shared" si="29"/>
        <v>0</v>
      </c>
      <c r="N178" s="2">
        <f t="shared" si="26"/>
        <v>0</v>
      </c>
      <c r="O178" s="199">
        <f t="shared" si="30"/>
        <v>-23066.456801266366</v>
      </c>
      <c r="P178" s="419">
        <f t="shared" si="31"/>
        <v>-13.743862798352291</v>
      </c>
      <c r="Q178" s="192"/>
    </row>
    <row r="179" spans="1:17" x14ac:dyDescent="0.25">
      <c r="A179" s="190">
        <f>'A) Base RI'!A181</f>
        <v>5688</v>
      </c>
      <c r="B179" s="35" t="str">
        <f>'A) Base RI'!B181</f>
        <v>Syens</v>
      </c>
      <c r="C179" s="34">
        <f>'D) Ecrêtage'!M179</f>
        <v>4845.4007936507942</v>
      </c>
      <c r="D179" s="34">
        <v>40947</v>
      </c>
      <c r="E179" s="10">
        <v>6379</v>
      </c>
      <c r="F179" s="44">
        <v>16554</v>
      </c>
      <c r="G179" s="44">
        <f t="shared" si="27"/>
        <v>63880</v>
      </c>
      <c r="H179" s="10">
        <f t="shared" si="23"/>
        <v>38763.206349206353</v>
      </c>
      <c r="I179" s="34">
        <f t="shared" si="28"/>
        <v>25116.793650793647</v>
      </c>
      <c r="J179" s="2">
        <f t="shared" si="24"/>
        <v>-17791.546430792503</v>
      </c>
      <c r="K179" s="15">
        <v>3879</v>
      </c>
      <c r="L179" s="10">
        <f t="shared" si="25"/>
        <v>4845.4007936507942</v>
      </c>
      <c r="M179" s="15">
        <f t="shared" si="29"/>
        <v>0</v>
      </c>
      <c r="N179" s="2">
        <f t="shared" si="26"/>
        <v>0</v>
      </c>
      <c r="O179" s="199">
        <f t="shared" si="30"/>
        <v>-17791.546430792503</v>
      </c>
      <c r="P179" s="419">
        <f t="shared" si="31"/>
        <v>-3.671842059815936</v>
      </c>
      <c r="Q179" s="192"/>
    </row>
    <row r="180" spans="1:17" x14ac:dyDescent="0.25">
      <c r="A180" s="190">
        <f>'A) Base RI'!A182</f>
        <v>5690</v>
      </c>
      <c r="B180" s="35" t="str">
        <f>'A) Base RI'!B182</f>
        <v>Villars-le-Comte</v>
      </c>
      <c r="C180" s="34">
        <f>'D) Ecrêtage'!M180</f>
        <v>3252.2851315789467</v>
      </c>
      <c r="D180" s="34">
        <v>45163</v>
      </c>
      <c r="E180" s="10">
        <v>4590</v>
      </c>
      <c r="F180" s="44">
        <v>9054</v>
      </c>
      <c r="G180" s="44">
        <f t="shared" si="27"/>
        <v>58807</v>
      </c>
      <c r="H180" s="10">
        <f t="shared" si="23"/>
        <v>26018.281052631573</v>
      </c>
      <c r="I180" s="34">
        <f t="shared" si="28"/>
        <v>32788.718947368427</v>
      </c>
      <c r="J180" s="2">
        <f t="shared" si="24"/>
        <v>-23225.974766881842</v>
      </c>
      <c r="K180" s="15">
        <v>4050</v>
      </c>
      <c r="L180" s="10">
        <f t="shared" si="25"/>
        <v>3252.2851315789467</v>
      </c>
      <c r="M180" s="15">
        <f t="shared" si="29"/>
        <v>797.71486842105332</v>
      </c>
      <c r="N180" s="2">
        <f t="shared" si="26"/>
        <v>-565.06341204894363</v>
      </c>
      <c r="O180" s="199">
        <f t="shared" si="30"/>
        <v>-23791.038178930787</v>
      </c>
      <c r="P180" s="419">
        <f t="shared" si="31"/>
        <v>-7.3151760120677096</v>
      </c>
      <c r="Q180" s="192"/>
    </row>
    <row r="181" spans="1:17" x14ac:dyDescent="0.25">
      <c r="A181" s="190">
        <f>'A) Base RI'!A183</f>
        <v>5692</v>
      </c>
      <c r="B181" s="35" t="str">
        <f>'A) Base RI'!B183</f>
        <v>Vucherens</v>
      </c>
      <c r="C181" s="34">
        <f>'D) Ecrêtage'!M181</f>
        <v>16993.232405063292</v>
      </c>
      <c r="D181" s="34">
        <v>91138</v>
      </c>
      <c r="E181" s="10">
        <v>24921</v>
      </c>
      <c r="F181" s="44">
        <v>63968</v>
      </c>
      <c r="G181" s="44">
        <f t="shared" si="27"/>
        <v>180027</v>
      </c>
      <c r="H181" s="10">
        <f t="shared" si="23"/>
        <v>135945.85924050634</v>
      </c>
      <c r="I181" s="34">
        <f t="shared" si="28"/>
        <v>44081.140759493661</v>
      </c>
      <c r="J181" s="2">
        <f t="shared" si="24"/>
        <v>-31224.991272723608</v>
      </c>
      <c r="K181" s="15">
        <v>32246</v>
      </c>
      <c r="L181" s="10">
        <f t="shared" si="25"/>
        <v>16993.232405063292</v>
      </c>
      <c r="M181" s="15">
        <f t="shared" si="29"/>
        <v>15252.767594936708</v>
      </c>
      <c r="N181" s="2">
        <f t="shared" si="26"/>
        <v>-10804.337792329194</v>
      </c>
      <c r="O181" s="199">
        <f t="shared" si="30"/>
        <v>-42029.3290650528</v>
      </c>
      <c r="P181" s="419">
        <f t="shared" si="31"/>
        <v>-2.4732980790946972</v>
      </c>
      <c r="Q181" s="192"/>
    </row>
    <row r="182" spans="1:17" x14ac:dyDescent="0.25">
      <c r="A182" s="190">
        <f>'A) Base RI'!A184</f>
        <v>5693</v>
      </c>
      <c r="B182" s="35" t="str">
        <f>'A) Base RI'!B184</f>
        <v>Montanaire</v>
      </c>
      <c r="C182" s="34">
        <f>'D) Ecrêtage'!M182</f>
        <v>63585.08152777778</v>
      </c>
      <c r="D182" s="34">
        <v>685087</v>
      </c>
      <c r="E182" s="10">
        <v>74075</v>
      </c>
      <c r="F182" s="44">
        <v>238139</v>
      </c>
      <c r="G182" s="44">
        <f t="shared" si="27"/>
        <v>997301</v>
      </c>
      <c r="H182" s="10">
        <f t="shared" si="23"/>
        <v>508680.65222222224</v>
      </c>
      <c r="I182" s="34">
        <f>IF(G182&gt;H182,G182-H182,0)</f>
        <v>488620.34777777776</v>
      </c>
      <c r="J182" s="2">
        <f t="shared" si="24"/>
        <v>-346115.50046490988</v>
      </c>
      <c r="K182" s="15">
        <v>154749</v>
      </c>
      <c r="L182" s="10">
        <f t="shared" si="25"/>
        <v>63585.08152777778</v>
      </c>
      <c r="M182" s="15">
        <f>IF(K182&gt;L182,K182-L182,0)</f>
        <v>91163.918472222227</v>
      </c>
      <c r="N182" s="2">
        <f t="shared" si="26"/>
        <v>-64576.199926708141</v>
      </c>
      <c r="O182" s="199">
        <f>N182+J182</f>
        <v>-410691.70039161801</v>
      </c>
      <c r="P182" s="419">
        <f>O182/C182</f>
        <v>-6.4589317261817651</v>
      </c>
      <c r="Q182" s="192"/>
    </row>
    <row r="183" spans="1:17" x14ac:dyDescent="0.25">
      <c r="A183" s="190">
        <f>'A) Base RI'!A185</f>
        <v>5701</v>
      </c>
      <c r="B183" s="35" t="str">
        <f>'A) Base RI'!B185</f>
        <v>Arnex-sur-Nyon</v>
      </c>
      <c r="C183" s="34">
        <f>'D) Ecrêtage'!M183</f>
        <v>14067.553176355004</v>
      </c>
      <c r="D183" s="34">
        <v>5970</v>
      </c>
      <c r="E183" s="10">
        <v>7619</v>
      </c>
      <c r="F183" s="44">
        <v>41188</v>
      </c>
      <c r="G183" s="44">
        <f t="shared" si="27"/>
        <v>54777</v>
      </c>
      <c r="H183" s="10">
        <f t="shared" si="23"/>
        <v>112540.42541084003</v>
      </c>
      <c r="I183" s="34">
        <f>IF(G183&gt;H183,G183-H183,0)</f>
        <v>0</v>
      </c>
      <c r="J183" s="2">
        <f t="shared" si="24"/>
        <v>0</v>
      </c>
      <c r="K183" s="15">
        <v>230</v>
      </c>
      <c r="L183" s="10">
        <f t="shared" si="25"/>
        <v>14067.553176355004</v>
      </c>
      <c r="M183" s="15">
        <f t="shared" si="29"/>
        <v>0</v>
      </c>
      <c r="N183" s="2">
        <f t="shared" si="26"/>
        <v>0</v>
      </c>
      <c r="O183" s="199">
        <f t="shared" si="30"/>
        <v>0</v>
      </c>
      <c r="P183" s="419">
        <f t="shared" si="31"/>
        <v>0</v>
      </c>
      <c r="Q183" s="192"/>
    </row>
    <row r="184" spans="1:17" x14ac:dyDescent="0.25">
      <c r="A184" s="190">
        <f>'A) Base RI'!A186</f>
        <v>5702</v>
      </c>
      <c r="B184" s="35" t="str">
        <f>'A) Base RI'!B186</f>
        <v>Arzier-Le Muids</v>
      </c>
      <c r="C184" s="34">
        <f>'D) Ecrêtage'!M184</f>
        <v>150270.74238965832</v>
      </c>
      <c r="D184" s="34">
        <v>647634</v>
      </c>
      <c r="E184" s="10">
        <v>154542</v>
      </c>
      <c r="F184" s="44">
        <v>91294</v>
      </c>
      <c r="G184" s="44">
        <f t="shared" si="27"/>
        <v>893470</v>
      </c>
      <c r="H184" s="10">
        <f t="shared" si="23"/>
        <v>1202165.9391172666</v>
      </c>
      <c r="I184" s="34">
        <f t="shared" si="28"/>
        <v>0</v>
      </c>
      <c r="J184" s="2">
        <f t="shared" si="24"/>
        <v>0</v>
      </c>
      <c r="K184" s="15">
        <v>464292</v>
      </c>
      <c r="L184" s="10">
        <f t="shared" si="25"/>
        <v>150270.74238965832</v>
      </c>
      <c r="M184" s="15">
        <f t="shared" si="29"/>
        <v>314021.25761034165</v>
      </c>
      <c r="N184" s="2">
        <f t="shared" si="26"/>
        <v>-222437.77859176346</v>
      </c>
      <c r="O184" s="199">
        <f t="shared" si="30"/>
        <v>-222437.77859176346</v>
      </c>
      <c r="P184" s="419">
        <f t="shared" si="31"/>
        <v>-1.4802467536559645</v>
      </c>
      <c r="Q184" s="192"/>
    </row>
    <row r="185" spans="1:17" x14ac:dyDescent="0.25">
      <c r="A185" s="190">
        <f>'A) Base RI'!A187</f>
        <v>5703</v>
      </c>
      <c r="B185" s="35" t="str">
        <f>'A) Base RI'!B187</f>
        <v>Bassins</v>
      </c>
      <c r="C185" s="34">
        <f>'D) Ecrêtage'!M185</f>
        <v>52372.205915492945</v>
      </c>
      <c r="D185" s="34">
        <v>194169</v>
      </c>
      <c r="E185" s="10">
        <v>138640</v>
      </c>
      <c r="F185" s="44">
        <v>152755</v>
      </c>
      <c r="G185" s="44">
        <f t="shared" si="27"/>
        <v>485564</v>
      </c>
      <c r="H185" s="10">
        <f t="shared" si="23"/>
        <v>418977.64732394356</v>
      </c>
      <c r="I185" s="34">
        <f t="shared" si="28"/>
        <v>66586.352676056442</v>
      </c>
      <c r="J185" s="2">
        <f t="shared" si="24"/>
        <v>-47166.616956131627</v>
      </c>
      <c r="K185" s="15">
        <v>260347</v>
      </c>
      <c r="L185" s="10">
        <f t="shared" si="25"/>
        <v>52372.205915492945</v>
      </c>
      <c r="M185" s="15">
        <f t="shared" si="29"/>
        <v>207974.79408450704</v>
      </c>
      <c r="N185" s="2">
        <f t="shared" si="26"/>
        <v>-147319.48897753106</v>
      </c>
      <c r="O185" s="199">
        <f t="shared" si="30"/>
        <v>-194486.10593366268</v>
      </c>
      <c r="P185" s="419">
        <f t="shared" si="31"/>
        <v>-3.7135366466610691</v>
      </c>
      <c r="Q185" s="192"/>
    </row>
    <row r="186" spans="1:17" x14ac:dyDescent="0.25">
      <c r="A186" s="190">
        <f>'A) Base RI'!A188</f>
        <v>5704</v>
      </c>
      <c r="B186" s="35" t="str">
        <f>'A) Base RI'!B188</f>
        <v>Begnins</v>
      </c>
      <c r="C186" s="34">
        <f>'D) Ecrêtage'!M186</f>
        <v>113192.44418268188</v>
      </c>
      <c r="D186" s="34">
        <v>523163</v>
      </c>
      <c r="E186" s="10">
        <v>71412</v>
      </c>
      <c r="F186" s="44">
        <v>184964</v>
      </c>
      <c r="G186" s="44">
        <f t="shared" si="27"/>
        <v>779539</v>
      </c>
      <c r="H186" s="10">
        <f t="shared" si="23"/>
        <v>905539.55346145504</v>
      </c>
      <c r="I186" s="34">
        <f t="shared" si="28"/>
        <v>0</v>
      </c>
      <c r="J186" s="2">
        <f t="shared" si="24"/>
        <v>0</v>
      </c>
      <c r="K186" s="15">
        <v>44756</v>
      </c>
      <c r="L186" s="10">
        <f t="shared" si="25"/>
        <v>113192.44418268188</v>
      </c>
      <c r="M186" s="15">
        <f t="shared" si="29"/>
        <v>0</v>
      </c>
      <c r="N186" s="2">
        <f t="shared" si="26"/>
        <v>0</v>
      </c>
      <c r="O186" s="199">
        <f t="shared" si="30"/>
        <v>0</v>
      </c>
      <c r="P186" s="419">
        <f t="shared" si="31"/>
        <v>0</v>
      </c>
      <c r="Q186" s="192"/>
    </row>
    <row r="187" spans="1:17" x14ac:dyDescent="0.25">
      <c r="A187" s="190">
        <f>'A) Base RI'!A189</f>
        <v>5705</v>
      </c>
      <c r="B187" s="35" t="str">
        <f>'A) Base RI'!B189</f>
        <v>Bogis-Bossey</v>
      </c>
      <c r="C187" s="34">
        <f>'D) Ecrêtage'!M187</f>
        <v>48449.495236014038</v>
      </c>
      <c r="D187" s="34">
        <v>169008</v>
      </c>
      <c r="E187" s="10">
        <v>30402</v>
      </c>
      <c r="F187" s="44">
        <v>59981</v>
      </c>
      <c r="G187" s="44">
        <f t="shared" si="27"/>
        <v>259391</v>
      </c>
      <c r="H187" s="10">
        <f t="shared" si="23"/>
        <v>387595.9618881123</v>
      </c>
      <c r="I187" s="34">
        <f t="shared" si="28"/>
        <v>0</v>
      </c>
      <c r="J187" s="2">
        <f t="shared" si="24"/>
        <v>0</v>
      </c>
      <c r="K187" s="15">
        <v>8431</v>
      </c>
      <c r="L187" s="10">
        <f t="shared" si="25"/>
        <v>48449.495236014038</v>
      </c>
      <c r="M187" s="15">
        <f t="shared" si="29"/>
        <v>0</v>
      </c>
      <c r="N187" s="2">
        <f t="shared" si="26"/>
        <v>0</v>
      </c>
      <c r="O187" s="199">
        <f t="shared" si="30"/>
        <v>0</v>
      </c>
      <c r="P187" s="419">
        <f t="shared" si="31"/>
        <v>0</v>
      </c>
      <c r="Q187" s="192"/>
    </row>
    <row r="188" spans="1:17" x14ac:dyDescent="0.25">
      <c r="A188" s="190">
        <f>'A) Base RI'!A190</f>
        <v>5706</v>
      </c>
      <c r="B188" s="35" t="str">
        <f>'A) Base RI'!B190</f>
        <v>Borex</v>
      </c>
      <c r="C188" s="34">
        <f>'D) Ecrêtage'!M188</f>
        <v>65845.984440258006</v>
      </c>
      <c r="D188" s="34">
        <v>206042</v>
      </c>
      <c r="E188" s="10">
        <v>38423</v>
      </c>
      <c r="F188" s="44">
        <v>170942</v>
      </c>
      <c r="G188" s="44">
        <f t="shared" si="27"/>
        <v>415407</v>
      </c>
      <c r="H188" s="10">
        <f t="shared" si="23"/>
        <v>526767.87552206405</v>
      </c>
      <c r="I188" s="34">
        <f t="shared" si="28"/>
        <v>0</v>
      </c>
      <c r="J188" s="2">
        <f t="shared" si="24"/>
        <v>0</v>
      </c>
      <c r="K188" s="15">
        <v>0</v>
      </c>
      <c r="L188" s="10">
        <f t="shared" si="25"/>
        <v>65845.984440258006</v>
      </c>
      <c r="M188" s="15">
        <f t="shared" si="29"/>
        <v>0</v>
      </c>
      <c r="N188" s="2">
        <f t="shared" si="26"/>
        <v>0</v>
      </c>
      <c r="O188" s="199">
        <f t="shared" si="30"/>
        <v>0</v>
      </c>
      <c r="P188" s="419">
        <f t="shared" si="31"/>
        <v>0</v>
      </c>
      <c r="Q188" s="192"/>
    </row>
    <row r="189" spans="1:17" x14ac:dyDescent="0.25">
      <c r="A189" s="190">
        <f>'A) Base RI'!A191</f>
        <v>5707</v>
      </c>
      <c r="B189" s="35" t="str">
        <f>'A) Base RI'!B191</f>
        <v>Chavannes-de-Bogis</v>
      </c>
      <c r="C189" s="34">
        <f>'D) Ecrêtage'!M189</f>
        <v>86046.443921995582</v>
      </c>
      <c r="D189" s="34">
        <v>68915</v>
      </c>
      <c r="E189" s="10">
        <v>45539</v>
      </c>
      <c r="F189" s="44">
        <v>75408</v>
      </c>
      <c r="G189" s="44">
        <f t="shared" si="27"/>
        <v>189862</v>
      </c>
      <c r="H189" s="10">
        <f t="shared" si="23"/>
        <v>688371.55137596466</v>
      </c>
      <c r="I189" s="34">
        <f t="shared" si="28"/>
        <v>0</v>
      </c>
      <c r="J189" s="2">
        <f t="shared" si="24"/>
        <v>0</v>
      </c>
      <c r="K189" s="15">
        <v>1734</v>
      </c>
      <c r="L189" s="10">
        <f t="shared" si="25"/>
        <v>86046.443921995582</v>
      </c>
      <c r="M189" s="15">
        <f t="shared" si="29"/>
        <v>0</v>
      </c>
      <c r="N189" s="2">
        <f t="shared" si="26"/>
        <v>0</v>
      </c>
      <c r="O189" s="199">
        <f t="shared" si="30"/>
        <v>0</v>
      </c>
      <c r="P189" s="419">
        <f t="shared" si="31"/>
        <v>0</v>
      </c>
      <c r="Q189" s="192"/>
    </row>
    <row r="190" spans="1:17" x14ac:dyDescent="0.25">
      <c r="A190" s="190">
        <f>'A) Base RI'!A192</f>
        <v>5708</v>
      </c>
      <c r="B190" s="35" t="str">
        <f>'A) Base RI'!B192</f>
        <v>Chavannes-des-Bois</v>
      </c>
      <c r="C190" s="34">
        <f>'D) Ecrêtage'!M190</f>
        <v>58804.562503992747</v>
      </c>
      <c r="D190" s="34">
        <v>106489</v>
      </c>
      <c r="E190" s="10">
        <v>169706</v>
      </c>
      <c r="F190" s="44">
        <v>64328</v>
      </c>
      <c r="G190" s="44">
        <f t="shared" si="27"/>
        <v>340523</v>
      </c>
      <c r="H190" s="10">
        <f t="shared" si="23"/>
        <v>470436.50003194198</v>
      </c>
      <c r="I190" s="34">
        <f t="shared" si="28"/>
        <v>0</v>
      </c>
      <c r="J190" s="2">
        <f t="shared" si="24"/>
        <v>0</v>
      </c>
      <c r="K190" s="15">
        <v>0</v>
      </c>
      <c r="L190" s="10">
        <f t="shared" si="25"/>
        <v>58804.562503992747</v>
      </c>
      <c r="M190" s="15">
        <f t="shared" si="29"/>
        <v>0</v>
      </c>
      <c r="N190" s="2">
        <f t="shared" si="26"/>
        <v>0</v>
      </c>
      <c r="O190" s="199">
        <f t="shared" si="30"/>
        <v>0</v>
      </c>
      <c r="P190" s="419">
        <f t="shared" si="31"/>
        <v>0</v>
      </c>
      <c r="Q190" s="192"/>
    </row>
    <row r="191" spans="1:17" x14ac:dyDescent="0.25">
      <c r="A191" s="190">
        <f>'A) Base RI'!A193</f>
        <v>5709</v>
      </c>
      <c r="B191" s="35" t="str">
        <f>'A) Base RI'!B193</f>
        <v>Chéserex</v>
      </c>
      <c r="C191" s="34">
        <f>'D) Ecrêtage'!M191</f>
        <v>107004.97322705205</v>
      </c>
      <c r="D191" s="34">
        <v>324857</v>
      </c>
      <c r="E191" s="10">
        <v>43002</v>
      </c>
      <c r="F191" s="44">
        <v>194333</v>
      </c>
      <c r="G191" s="44">
        <f t="shared" si="27"/>
        <v>562192</v>
      </c>
      <c r="H191" s="10">
        <f t="shared" si="23"/>
        <v>856039.78581641638</v>
      </c>
      <c r="I191" s="34">
        <f t="shared" si="28"/>
        <v>0</v>
      </c>
      <c r="J191" s="2">
        <f t="shared" si="24"/>
        <v>0</v>
      </c>
      <c r="K191" s="15">
        <v>51352</v>
      </c>
      <c r="L191" s="10">
        <f t="shared" si="25"/>
        <v>107004.97322705205</v>
      </c>
      <c r="M191" s="15">
        <f t="shared" si="29"/>
        <v>0</v>
      </c>
      <c r="N191" s="2">
        <f t="shared" si="26"/>
        <v>0</v>
      </c>
      <c r="O191" s="199">
        <f t="shared" si="30"/>
        <v>0</v>
      </c>
      <c r="P191" s="419">
        <f t="shared" si="31"/>
        <v>0</v>
      </c>
      <c r="Q191" s="192"/>
    </row>
    <row r="192" spans="1:17" x14ac:dyDescent="0.25">
      <c r="A192" s="190">
        <f>'A) Base RI'!A194</f>
        <v>5710</v>
      </c>
      <c r="B192" s="35" t="str">
        <f>'A) Base RI'!B194</f>
        <v>Coinsins</v>
      </c>
      <c r="C192" s="34">
        <f>'D) Ecrêtage'!M192</f>
        <v>51138.47250560869</v>
      </c>
      <c r="D192" s="34">
        <v>100451</v>
      </c>
      <c r="E192" s="10">
        <v>15933</v>
      </c>
      <c r="F192" s="44">
        <v>50684</v>
      </c>
      <c r="G192" s="44">
        <f t="shared" si="27"/>
        <v>167068</v>
      </c>
      <c r="H192" s="10">
        <f t="shared" si="23"/>
        <v>409107.78004486952</v>
      </c>
      <c r="I192" s="34">
        <f t="shared" si="28"/>
        <v>0</v>
      </c>
      <c r="J192" s="2">
        <f t="shared" si="24"/>
        <v>0</v>
      </c>
      <c r="K192" s="15">
        <v>8544</v>
      </c>
      <c r="L192" s="10">
        <f t="shared" si="25"/>
        <v>51138.47250560869</v>
      </c>
      <c r="M192" s="15">
        <f t="shared" si="29"/>
        <v>0</v>
      </c>
      <c r="N192" s="2">
        <f t="shared" si="26"/>
        <v>0</v>
      </c>
      <c r="O192" s="199">
        <f t="shared" si="30"/>
        <v>0</v>
      </c>
      <c r="P192" s="419">
        <f t="shared" si="31"/>
        <v>0</v>
      </c>
      <c r="Q192" s="192"/>
    </row>
    <row r="193" spans="1:17" x14ac:dyDescent="0.25">
      <c r="A193" s="190">
        <f>'A) Base RI'!A195</f>
        <v>5711</v>
      </c>
      <c r="B193" s="35" t="str">
        <f>'A) Base RI'!B195</f>
        <v>Commugny</v>
      </c>
      <c r="C193" s="34">
        <f>'D) Ecrêtage'!M193</f>
        <v>203440.68653397332</v>
      </c>
      <c r="D193" s="34">
        <v>4148</v>
      </c>
      <c r="E193" s="10">
        <v>130750</v>
      </c>
      <c r="F193" s="44">
        <v>168586</v>
      </c>
      <c r="G193" s="44">
        <f t="shared" si="27"/>
        <v>303484</v>
      </c>
      <c r="H193" s="10">
        <f t="shared" si="23"/>
        <v>1627525.4922717866</v>
      </c>
      <c r="I193" s="34">
        <f t="shared" si="28"/>
        <v>0</v>
      </c>
      <c r="J193" s="2">
        <f t="shared" si="24"/>
        <v>0</v>
      </c>
      <c r="K193" s="15">
        <v>0</v>
      </c>
      <c r="L193" s="10">
        <f t="shared" si="25"/>
        <v>203440.68653397332</v>
      </c>
      <c r="M193" s="15">
        <f t="shared" si="29"/>
        <v>0</v>
      </c>
      <c r="N193" s="2">
        <f t="shared" si="26"/>
        <v>0</v>
      </c>
      <c r="O193" s="199">
        <f t="shared" si="30"/>
        <v>0</v>
      </c>
      <c r="P193" s="419">
        <f t="shared" si="31"/>
        <v>0</v>
      </c>
      <c r="Q193" s="192"/>
    </row>
    <row r="194" spans="1:17" x14ac:dyDescent="0.25">
      <c r="A194" s="190">
        <f>'A) Base RI'!A196</f>
        <v>5712</v>
      </c>
      <c r="B194" s="35" t="str">
        <f>'A) Base RI'!B196</f>
        <v>Coppet</v>
      </c>
      <c r="C194" s="34">
        <f>'D) Ecrêtage'!M194</f>
        <v>246954.44437409952</v>
      </c>
      <c r="D194" s="34">
        <v>584859</v>
      </c>
      <c r="E194" s="10">
        <v>185291</v>
      </c>
      <c r="F194" s="44">
        <v>189408</v>
      </c>
      <c r="G194" s="44">
        <f t="shared" si="27"/>
        <v>959558</v>
      </c>
      <c r="H194" s="10">
        <f t="shared" si="23"/>
        <v>1975635.5549927962</v>
      </c>
      <c r="I194" s="34">
        <f t="shared" si="28"/>
        <v>0</v>
      </c>
      <c r="J194" s="2">
        <f t="shared" si="24"/>
        <v>0</v>
      </c>
      <c r="K194" s="15">
        <v>0</v>
      </c>
      <c r="L194" s="10">
        <f t="shared" si="25"/>
        <v>246954.44437409952</v>
      </c>
      <c r="M194" s="15">
        <f t="shared" si="29"/>
        <v>0</v>
      </c>
      <c r="N194" s="2">
        <f t="shared" si="26"/>
        <v>0</v>
      </c>
      <c r="O194" s="199">
        <f t="shared" si="30"/>
        <v>0</v>
      </c>
      <c r="P194" s="419">
        <f t="shared" si="31"/>
        <v>0</v>
      </c>
      <c r="Q194" s="192"/>
    </row>
    <row r="195" spans="1:17" x14ac:dyDescent="0.25">
      <c r="A195" s="190">
        <f>'A) Base RI'!A197</f>
        <v>5713</v>
      </c>
      <c r="B195" s="35" t="str">
        <f>'A) Base RI'!B197</f>
        <v>Crans-près-Céligny</v>
      </c>
      <c r="C195" s="34">
        <f>'D) Ecrêtage'!M195</f>
        <v>176144.21496097266</v>
      </c>
      <c r="D195" s="34">
        <v>1369890</v>
      </c>
      <c r="E195" s="10">
        <v>143442</v>
      </c>
      <c r="F195" s="44">
        <v>146640</v>
      </c>
      <c r="G195" s="44">
        <f>D195+E195+F195</f>
        <v>1659972</v>
      </c>
      <c r="H195" s="10">
        <f t="shared" si="23"/>
        <v>1409153.7196877813</v>
      </c>
      <c r="I195" s="34">
        <f t="shared" si="28"/>
        <v>250818.2803122187</v>
      </c>
      <c r="J195" s="2">
        <f t="shared" si="24"/>
        <v>-177667.78442778514</v>
      </c>
      <c r="K195" s="15">
        <v>10151</v>
      </c>
      <c r="L195" s="10">
        <f t="shared" si="25"/>
        <v>176144.21496097266</v>
      </c>
      <c r="M195" s="15">
        <f t="shared" si="29"/>
        <v>0</v>
      </c>
      <c r="N195" s="2">
        <f t="shared" si="26"/>
        <v>0</v>
      </c>
      <c r="O195" s="199">
        <f t="shared" si="30"/>
        <v>-177667.78442778514</v>
      </c>
      <c r="P195" s="419">
        <f t="shared" si="31"/>
        <v>-1.0086495572230405</v>
      </c>
      <c r="Q195" s="192"/>
    </row>
    <row r="196" spans="1:17" x14ac:dyDescent="0.25">
      <c r="A196" s="190">
        <f>'A) Base RI'!A198</f>
        <v>5714</v>
      </c>
      <c r="B196" s="35" t="str">
        <f>'A) Base RI'!B198</f>
        <v>Crassier</v>
      </c>
      <c r="C196" s="34">
        <f>'D) Ecrêtage'!M196</f>
        <v>76392.794864572061</v>
      </c>
      <c r="D196" s="34">
        <v>153267</v>
      </c>
      <c r="E196" s="10">
        <v>41793</v>
      </c>
      <c r="F196" s="44">
        <v>213145</v>
      </c>
      <c r="G196" s="44">
        <f t="shared" si="27"/>
        <v>408205</v>
      </c>
      <c r="H196" s="10">
        <f t="shared" si="23"/>
        <v>611142.35891657649</v>
      </c>
      <c r="I196" s="34">
        <f t="shared" si="28"/>
        <v>0</v>
      </c>
      <c r="J196" s="2">
        <f t="shared" si="24"/>
        <v>0</v>
      </c>
      <c r="K196" s="15">
        <v>0</v>
      </c>
      <c r="L196" s="10">
        <f t="shared" si="25"/>
        <v>76392.794864572061</v>
      </c>
      <c r="M196" s="15">
        <f t="shared" si="29"/>
        <v>0</v>
      </c>
      <c r="N196" s="2">
        <f t="shared" si="26"/>
        <v>0</v>
      </c>
      <c r="O196" s="199">
        <f t="shared" si="30"/>
        <v>0</v>
      </c>
      <c r="P196" s="419">
        <f t="shared" si="31"/>
        <v>0</v>
      </c>
      <c r="Q196" s="192"/>
    </row>
    <row r="197" spans="1:17" x14ac:dyDescent="0.25">
      <c r="A197" s="190">
        <f>'A) Base RI'!A199</f>
        <v>5715</v>
      </c>
      <c r="B197" s="35" t="str">
        <f>'A) Base RI'!B199</f>
        <v>Duillier</v>
      </c>
      <c r="C197" s="34">
        <f>'D) Ecrêtage'!M197</f>
        <v>62011.241183976788</v>
      </c>
      <c r="D197" s="34">
        <v>356704</v>
      </c>
      <c r="E197" s="10">
        <v>36555</v>
      </c>
      <c r="F197" s="44">
        <v>106636</v>
      </c>
      <c r="G197" s="44">
        <f t="shared" si="27"/>
        <v>499895</v>
      </c>
      <c r="H197" s="10">
        <f t="shared" si="23"/>
        <v>496089.92947181431</v>
      </c>
      <c r="I197" s="34">
        <f t="shared" si="28"/>
        <v>3805.0705281856935</v>
      </c>
      <c r="J197" s="2">
        <f t="shared" si="24"/>
        <v>-2695.3316540272958</v>
      </c>
      <c r="K197" s="15">
        <v>10496</v>
      </c>
      <c r="L197" s="10">
        <f t="shared" si="25"/>
        <v>62011.241183976788</v>
      </c>
      <c r="M197" s="15">
        <f t="shared" si="29"/>
        <v>0</v>
      </c>
      <c r="N197" s="2">
        <f t="shared" si="26"/>
        <v>0</v>
      </c>
      <c r="O197" s="199">
        <f t="shared" si="30"/>
        <v>-2695.3316540272958</v>
      </c>
      <c r="P197" s="419">
        <f t="shared" si="31"/>
        <v>-4.3465210541919423E-2</v>
      </c>
      <c r="Q197" s="192"/>
    </row>
    <row r="198" spans="1:17" x14ac:dyDescent="0.25">
      <c r="A198" s="190">
        <f>'A) Base RI'!A200</f>
        <v>5716</v>
      </c>
      <c r="B198" s="35" t="str">
        <f>'A) Base RI'!B200</f>
        <v>Eysins</v>
      </c>
      <c r="C198" s="34">
        <f>'D) Ecrêtage'!M198</f>
        <v>89610.115700910072</v>
      </c>
      <c r="D198" s="34">
        <v>297031</v>
      </c>
      <c r="E198" s="10">
        <v>57903</v>
      </c>
      <c r="F198" s="44">
        <v>280478</v>
      </c>
      <c r="G198" s="44">
        <f t="shared" si="27"/>
        <v>635412</v>
      </c>
      <c r="H198" s="10">
        <f t="shared" ref="H198:H261" si="32">C198*I$4</f>
        <v>716880.92560728057</v>
      </c>
      <c r="I198" s="34">
        <f t="shared" si="28"/>
        <v>0</v>
      </c>
      <c r="J198" s="2">
        <f t="shared" ref="J198:J261" si="33">-I198*J$4</f>
        <v>0</v>
      </c>
      <c r="K198" s="15">
        <v>1173</v>
      </c>
      <c r="L198" s="10">
        <f t="shared" ref="L198:L261" si="34">C198*M$4</f>
        <v>89610.115700910072</v>
      </c>
      <c r="M198" s="15">
        <f t="shared" si="29"/>
        <v>0</v>
      </c>
      <c r="N198" s="2">
        <f t="shared" ref="N198:N261" si="35">-M198*N$4</f>
        <v>0</v>
      </c>
      <c r="O198" s="199">
        <f t="shared" si="30"/>
        <v>0</v>
      </c>
      <c r="P198" s="419">
        <f t="shared" si="31"/>
        <v>0</v>
      </c>
      <c r="Q198" s="192"/>
    </row>
    <row r="199" spans="1:17" x14ac:dyDescent="0.25">
      <c r="A199" s="190">
        <f>'A) Base RI'!A201</f>
        <v>5717</v>
      </c>
      <c r="B199" s="35" t="str">
        <f>'A) Base RI'!B201</f>
        <v>Founex</v>
      </c>
      <c r="C199" s="34">
        <f>'D) Ecrêtage'!M199</f>
        <v>282900.94693533023</v>
      </c>
      <c r="D199" s="34">
        <v>1323122</v>
      </c>
      <c r="E199" s="10">
        <v>123512</v>
      </c>
      <c r="F199" s="44">
        <v>228559</v>
      </c>
      <c r="G199" s="44">
        <f t="shared" si="27"/>
        <v>1675193</v>
      </c>
      <c r="H199" s="10">
        <f t="shared" si="32"/>
        <v>2263207.5754826418</v>
      </c>
      <c r="I199" s="34">
        <f t="shared" si="28"/>
        <v>0</v>
      </c>
      <c r="J199" s="2">
        <f t="shared" si="33"/>
        <v>0</v>
      </c>
      <c r="K199" s="15">
        <v>11429</v>
      </c>
      <c r="L199" s="10">
        <f t="shared" si="34"/>
        <v>282900.94693533023</v>
      </c>
      <c r="M199" s="15">
        <f t="shared" si="29"/>
        <v>0</v>
      </c>
      <c r="N199" s="2">
        <f t="shared" si="35"/>
        <v>0</v>
      </c>
      <c r="O199" s="199">
        <f t="shared" si="30"/>
        <v>0</v>
      </c>
      <c r="P199" s="419">
        <f t="shared" si="31"/>
        <v>0</v>
      </c>
      <c r="Q199" s="192"/>
    </row>
    <row r="200" spans="1:17" x14ac:dyDescent="0.25">
      <c r="A200" s="190">
        <f>'A) Base RI'!A202</f>
        <v>5718</v>
      </c>
      <c r="B200" s="35" t="str">
        <f>'A) Base RI'!B202</f>
        <v>Genolier</v>
      </c>
      <c r="C200" s="34">
        <f>'D) Ecrêtage'!M200</f>
        <v>154866.84060804904</v>
      </c>
      <c r="D200" s="34">
        <v>363049</v>
      </c>
      <c r="E200" s="10">
        <v>118265</v>
      </c>
      <c r="F200" s="44">
        <v>105449</v>
      </c>
      <c r="G200" s="44">
        <f t="shared" si="27"/>
        <v>586763</v>
      </c>
      <c r="H200" s="10">
        <f t="shared" si="32"/>
        <v>1238934.7248643923</v>
      </c>
      <c r="I200" s="34">
        <f t="shared" si="28"/>
        <v>0</v>
      </c>
      <c r="J200" s="2">
        <f t="shared" si="33"/>
        <v>0</v>
      </c>
      <c r="K200" s="15">
        <v>74170</v>
      </c>
      <c r="L200" s="10">
        <f t="shared" si="34"/>
        <v>154866.84060804904</v>
      </c>
      <c r="M200" s="15">
        <f t="shared" si="29"/>
        <v>0</v>
      </c>
      <c r="N200" s="2">
        <f t="shared" si="35"/>
        <v>0</v>
      </c>
      <c r="O200" s="199">
        <f t="shared" si="30"/>
        <v>0</v>
      </c>
      <c r="P200" s="419">
        <f t="shared" si="31"/>
        <v>0</v>
      </c>
      <c r="Q200" s="192"/>
    </row>
    <row r="201" spans="1:17" s="410" customFormat="1" x14ac:dyDescent="0.25">
      <c r="A201" s="404">
        <f>'A) Base RI'!A203</f>
        <v>5719</v>
      </c>
      <c r="B201" s="405" t="str">
        <f>'A) Base RI'!B203</f>
        <v>Gingins</v>
      </c>
      <c r="C201" s="406">
        <f>'D) Ecrêtage'!M201</f>
        <v>81113.805335882309</v>
      </c>
      <c r="D201" s="406">
        <v>281516</v>
      </c>
      <c r="E201" s="407">
        <v>44100</v>
      </c>
      <c r="F201" s="408">
        <v>194925</v>
      </c>
      <c r="G201" s="408">
        <f t="shared" si="27"/>
        <v>520541</v>
      </c>
      <c r="H201" s="407">
        <f t="shared" si="32"/>
        <v>648910.44268705847</v>
      </c>
      <c r="I201" s="406">
        <f t="shared" si="28"/>
        <v>0</v>
      </c>
      <c r="J201" s="2">
        <f t="shared" si="33"/>
        <v>0</v>
      </c>
      <c r="K201" s="1">
        <v>64334</v>
      </c>
      <c r="L201" s="407">
        <f t="shared" si="34"/>
        <v>81113.805335882309</v>
      </c>
      <c r="M201" s="1">
        <f t="shared" si="29"/>
        <v>0</v>
      </c>
      <c r="N201" s="2">
        <f t="shared" si="35"/>
        <v>0</v>
      </c>
      <c r="O201" s="199">
        <f t="shared" si="30"/>
        <v>0</v>
      </c>
      <c r="P201" s="420">
        <f t="shared" si="31"/>
        <v>0</v>
      </c>
      <c r="Q201" s="409"/>
    </row>
    <row r="202" spans="1:17" x14ac:dyDescent="0.25">
      <c r="A202" s="190">
        <f>'A) Base RI'!A204</f>
        <v>5720</v>
      </c>
      <c r="B202" s="35" t="str">
        <f>'A) Base RI'!B204</f>
        <v>Givrins</v>
      </c>
      <c r="C202" s="34">
        <f>'D) Ecrêtage'!M202</f>
        <v>66963.805253491941</v>
      </c>
      <c r="D202" s="34">
        <v>365293</v>
      </c>
      <c r="E202" s="10">
        <v>59926</v>
      </c>
      <c r="F202" s="44">
        <v>57373</v>
      </c>
      <c r="G202" s="44">
        <f t="shared" si="27"/>
        <v>482592</v>
      </c>
      <c r="H202" s="10">
        <f t="shared" si="32"/>
        <v>535710.44202793553</v>
      </c>
      <c r="I202" s="34">
        <f t="shared" si="28"/>
        <v>0</v>
      </c>
      <c r="J202" s="2">
        <f t="shared" si="33"/>
        <v>0</v>
      </c>
      <c r="K202" s="15">
        <v>83831</v>
      </c>
      <c r="L202" s="10">
        <f t="shared" si="34"/>
        <v>66963.805253491941</v>
      </c>
      <c r="M202" s="15">
        <f t="shared" si="29"/>
        <v>16867.194746508059</v>
      </c>
      <c r="N202" s="2">
        <f t="shared" si="35"/>
        <v>-11947.921484804454</v>
      </c>
      <c r="O202" s="199">
        <f t="shared" si="30"/>
        <v>-11947.921484804454</v>
      </c>
      <c r="P202" s="419">
        <f t="shared" si="31"/>
        <v>-0.17842357434102671</v>
      </c>
      <c r="Q202" s="192"/>
    </row>
    <row r="203" spans="1:17" x14ac:dyDescent="0.25">
      <c r="A203" s="190">
        <f>'A) Base RI'!A205</f>
        <v>5721</v>
      </c>
      <c r="B203" s="35" t="str">
        <f>'A) Base RI'!B205</f>
        <v>Gland</v>
      </c>
      <c r="C203" s="34">
        <f>'D) Ecrêtage'!M203</f>
        <v>541149.08192000003</v>
      </c>
      <c r="D203" s="34">
        <v>1666795</v>
      </c>
      <c r="E203" s="10">
        <v>1352876</v>
      </c>
      <c r="F203" s="44">
        <v>46574</v>
      </c>
      <c r="G203" s="44">
        <f t="shared" si="27"/>
        <v>3066245</v>
      </c>
      <c r="H203" s="10">
        <f t="shared" si="32"/>
        <v>4329192.6553600002</v>
      </c>
      <c r="I203" s="34">
        <f t="shared" si="28"/>
        <v>0</v>
      </c>
      <c r="J203" s="2">
        <f t="shared" si="33"/>
        <v>0</v>
      </c>
      <c r="K203" s="15">
        <v>4561</v>
      </c>
      <c r="L203" s="10">
        <f t="shared" si="34"/>
        <v>541149.08192000003</v>
      </c>
      <c r="M203" s="15">
        <f t="shared" si="29"/>
        <v>0</v>
      </c>
      <c r="N203" s="2">
        <f t="shared" si="35"/>
        <v>0</v>
      </c>
      <c r="O203" s="199">
        <f t="shared" si="30"/>
        <v>0</v>
      </c>
      <c r="P203" s="419">
        <f t="shared" si="31"/>
        <v>0</v>
      </c>
      <c r="Q203" s="192"/>
    </row>
    <row r="204" spans="1:17" x14ac:dyDescent="0.25">
      <c r="A204" s="190">
        <f>'A) Base RI'!A206</f>
        <v>5722</v>
      </c>
      <c r="B204" s="35" t="str">
        <f>'A) Base RI'!B206</f>
        <v>Grens</v>
      </c>
      <c r="C204" s="34">
        <f>'D) Ecrêtage'!M204</f>
        <v>20499.342258064513</v>
      </c>
      <c r="D204" s="34">
        <v>59888</v>
      </c>
      <c r="E204" s="10">
        <v>16474</v>
      </c>
      <c r="F204" s="44">
        <v>63647</v>
      </c>
      <c r="G204" s="44">
        <f t="shared" si="27"/>
        <v>140009</v>
      </c>
      <c r="H204" s="10">
        <f t="shared" si="32"/>
        <v>163994.7380645161</v>
      </c>
      <c r="I204" s="34">
        <f t="shared" si="28"/>
        <v>0</v>
      </c>
      <c r="J204" s="2">
        <f t="shared" si="33"/>
        <v>0</v>
      </c>
      <c r="K204" s="15">
        <v>2494</v>
      </c>
      <c r="L204" s="10">
        <f t="shared" si="34"/>
        <v>20499.342258064513</v>
      </c>
      <c r="M204" s="15">
        <f t="shared" si="29"/>
        <v>0</v>
      </c>
      <c r="N204" s="2">
        <f t="shared" si="35"/>
        <v>0</v>
      </c>
      <c r="O204" s="199">
        <f t="shared" si="30"/>
        <v>0</v>
      </c>
      <c r="P204" s="419">
        <f t="shared" si="31"/>
        <v>0</v>
      </c>
      <c r="Q204" s="192"/>
    </row>
    <row r="205" spans="1:17" x14ac:dyDescent="0.25">
      <c r="A205" s="190">
        <f>'A) Base RI'!A207</f>
        <v>5723</v>
      </c>
      <c r="B205" s="35" t="str">
        <f>'A) Base RI'!B207</f>
        <v>Mies</v>
      </c>
      <c r="C205" s="34">
        <f>'D) Ecrêtage'!M205</f>
        <v>301906.44719252124</v>
      </c>
      <c r="D205" s="34">
        <v>161938</v>
      </c>
      <c r="E205" s="10">
        <v>113580</v>
      </c>
      <c r="F205" s="44">
        <v>115890</v>
      </c>
      <c r="G205" s="44">
        <f t="shared" si="27"/>
        <v>391408</v>
      </c>
      <c r="H205" s="10">
        <f t="shared" si="32"/>
        <v>2415251.5775401699</v>
      </c>
      <c r="I205" s="34">
        <f t="shared" si="28"/>
        <v>0</v>
      </c>
      <c r="J205" s="2">
        <f t="shared" si="33"/>
        <v>0</v>
      </c>
      <c r="K205" s="15">
        <v>0</v>
      </c>
      <c r="L205" s="10">
        <f t="shared" si="34"/>
        <v>301906.44719252124</v>
      </c>
      <c r="M205" s="15">
        <f t="shared" si="29"/>
        <v>0</v>
      </c>
      <c r="N205" s="2">
        <f t="shared" si="35"/>
        <v>0</v>
      </c>
      <c r="O205" s="199">
        <f t="shared" si="30"/>
        <v>0</v>
      </c>
      <c r="P205" s="419">
        <f t="shared" si="31"/>
        <v>0</v>
      </c>
      <c r="Q205" s="192"/>
    </row>
    <row r="206" spans="1:17" x14ac:dyDescent="0.25">
      <c r="A206" s="190">
        <f>'A) Base RI'!A208</f>
        <v>5724</v>
      </c>
      <c r="B206" s="35" t="str">
        <f>'A) Base RI'!B208</f>
        <v>Nyon</v>
      </c>
      <c r="C206" s="34">
        <f>'D) Ecrêtage'!M206</f>
        <v>1311421.5032813493</v>
      </c>
      <c r="D206" s="34">
        <v>6725524</v>
      </c>
      <c r="E206" s="10">
        <v>3722896</v>
      </c>
      <c r="F206" s="44">
        <v>172137</v>
      </c>
      <c r="G206" s="44">
        <f t="shared" si="27"/>
        <v>10620557</v>
      </c>
      <c r="H206" s="10">
        <f t="shared" si="32"/>
        <v>10491372.026250795</v>
      </c>
      <c r="I206" s="34">
        <f t="shared" si="28"/>
        <v>129184.97374920547</v>
      </c>
      <c r="J206" s="2">
        <f t="shared" si="33"/>
        <v>-91508.513808532021</v>
      </c>
      <c r="K206" s="15">
        <v>343822</v>
      </c>
      <c r="L206" s="10">
        <f t="shared" si="34"/>
        <v>1311421.5032813493</v>
      </c>
      <c r="M206" s="15">
        <f t="shared" si="29"/>
        <v>0</v>
      </c>
      <c r="N206" s="2">
        <f t="shared" si="35"/>
        <v>0</v>
      </c>
      <c r="O206" s="199">
        <f t="shared" si="30"/>
        <v>-91508.513808532021</v>
      </c>
      <c r="P206" s="419">
        <f t="shared" si="31"/>
        <v>-6.9778109920849762E-2</v>
      </c>
      <c r="Q206" s="192"/>
    </row>
    <row r="207" spans="1:17" x14ac:dyDescent="0.25">
      <c r="A207" s="190">
        <f>'A) Base RI'!A209</f>
        <v>5725</v>
      </c>
      <c r="B207" s="35" t="str">
        <f>'A) Base RI'!B209</f>
        <v>Prangins</v>
      </c>
      <c r="C207" s="34">
        <f>'D) Ecrêtage'!M207</f>
        <v>281824.78533760592</v>
      </c>
      <c r="D207" s="34">
        <v>712791</v>
      </c>
      <c r="E207" s="10">
        <v>1056246</v>
      </c>
      <c r="F207" s="44">
        <v>77363</v>
      </c>
      <c r="G207" s="44">
        <f t="shared" si="27"/>
        <v>1846400</v>
      </c>
      <c r="H207" s="10">
        <f t="shared" si="32"/>
        <v>2254598.2827008474</v>
      </c>
      <c r="I207" s="34">
        <f t="shared" si="28"/>
        <v>0</v>
      </c>
      <c r="J207" s="2">
        <f t="shared" si="33"/>
        <v>0</v>
      </c>
      <c r="K207" s="15">
        <v>49624</v>
      </c>
      <c r="L207" s="10">
        <f t="shared" si="34"/>
        <v>281824.78533760592</v>
      </c>
      <c r="M207" s="15">
        <f t="shared" si="29"/>
        <v>0</v>
      </c>
      <c r="N207" s="2">
        <f t="shared" si="35"/>
        <v>0</v>
      </c>
      <c r="O207" s="199">
        <f t="shared" si="30"/>
        <v>0</v>
      </c>
      <c r="P207" s="419">
        <f t="shared" si="31"/>
        <v>0</v>
      </c>
      <c r="Q207" s="192"/>
    </row>
    <row r="208" spans="1:17" x14ac:dyDescent="0.25">
      <c r="A208" s="190">
        <f>'A) Base RI'!A210</f>
        <v>5726</v>
      </c>
      <c r="B208" s="35" t="str">
        <f>'A) Base RI'!B210</f>
        <v>La Rippe</v>
      </c>
      <c r="C208" s="34">
        <f>'D) Ecrêtage'!M208</f>
        <v>62420.845692307696</v>
      </c>
      <c r="D208" s="34">
        <v>271655</v>
      </c>
      <c r="E208" s="10">
        <v>97194</v>
      </c>
      <c r="F208" s="44">
        <v>186408</v>
      </c>
      <c r="G208" s="44">
        <f t="shared" si="27"/>
        <v>555257</v>
      </c>
      <c r="H208" s="10">
        <f t="shared" si="32"/>
        <v>499366.76553846156</v>
      </c>
      <c r="I208" s="34">
        <f t="shared" si="28"/>
        <v>55890.234461538435</v>
      </c>
      <c r="J208" s="2">
        <f t="shared" si="33"/>
        <v>-39589.993662225264</v>
      </c>
      <c r="K208" s="15">
        <v>23359</v>
      </c>
      <c r="L208" s="10">
        <f t="shared" si="34"/>
        <v>62420.845692307696</v>
      </c>
      <c r="M208" s="15">
        <f t="shared" si="29"/>
        <v>0</v>
      </c>
      <c r="N208" s="2">
        <f t="shared" si="35"/>
        <v>0</v>
      </c>
      <c r="O208" s="199">
        <f t="shared" si="30"/>
        <v>-39589.993662225264</v>
      </c>
      <c r="P208" s="419">
        <f t="shared" si="31"/>
        <v>-0.63424314783200797</v>
      </c>
      <c r="Q208" s="192"/>
    </row>
    <row r="209" spans="1:17" x14ac:dyDescent="0.25">
      <c r="A209" s="190">
        <f>'A) Base RI'!A211</f>
        <v>5727</v>
      </c>
      <c r="B209" s="35" t="str">
        <f>'A) Base RI'!B211</f>
        <v>Saint-Cergue</v>
      </c>
      <c r="C209" s="34">
        <f>'D) Ecrêtage'!M209</f>
        <v>94126.01979797981</v>
      </c>
      <c r="D209" s="34">
        <v>801737</v>
      </c>
      <c r="E209" s="10">
        <v>148270</v>
      </c>
      <c r="F209" s="44">
        <v>75630</v>
      </c>
      <c r="G209" s="44">
        <f t="shared" si="27"/>
        <v>1025637</v>
      </c>
      <c r="H209" s="10">
        <f t="shared" si="32"/>
        <v>753008.15838383848</v>
      </c>
      <c r="I209" s="34">
        <f t="shared" si="28"/>
        <v>272628.84161616152</v>
      </c>
      <c r="J209" s="2">
        <f t="shared" si="33"/>
        <v>-193117.35253412198</v>
      </c>
      <c r="K209" s="15">
        <v>148770</v>
      </c>
      <c r="L209" s="10">
        <f t="shared" si="34"/>
        <v>94126.01979797981</v>
      </c>
      <c r="M209" s="15">
        <f t="shared" si="29"/>
        <v>54643.98020202019</v>
      </c>
      <c r="N209" s="2">
        <f t="shared" si="35"/>
        <v>-38707.206200136483</v>
      </c>
      <c r="O209" s="199">
        <f t="shared" si="30"/>
        <v>-231824.55873425846</v>
      </c>
      <c r="P209" s="419">
        <f t="shared" si="31"/>
        <v>-2.4629168345991617</v>
      </c>
      <c r="Q209" s="192"/>
    </row>
    <row r="210" spans="1:17" x14ac:dyDescent="0.25">
      <c r="A210" s="190">
        <f>'A) Base RI'!A212</f>
        <v>5728</v>
      </c>
      <c r="B210" s="35" t="str">
        <f>'A) Base RI'!B212</f>
        <v>Signy-Avenex</v>
      </c>
      <c r="C210" s="34">
        <f>'D) Ecrêtage'!M210</f>
        <v>31889.468936866939</v>
      </c>
      <c r="D210" s="34">
        <v>76429</v>
      </c>
      <c r="E210" s="10">
        <v>20455</v>
      </c>
      <c r="F210" s="44">
        <v>78310</v>
      </c>
      <c r="G210" s="44">
        <f t="shared" si="27"/>
        <v>175194</v>
      </c>
      <c r="H210" s="10">
        <f t="shared" si="32"/>
        <v>255115.75149493551</v>
      </c>
      <c r="I210" s="34">
        <f t="shared" si="28"/>
        <v>0</v>
      </c>
      <c r="J210" s="2">
        <f t="shared" si="33"/>
        <v>0</v>
      </c>
      <c r="K210" s="15">
        <v>0</v>
      </c>
      <c r="L210" s="10">
        <f t="shared" si="34"/>
        <v>31889.468936866939</v>
      </c>
      <c r="M210" s="15">
        <f t="shared" si="29"/>
        <v>0</v>
      </c>
      <c r="N210" s="2">
        <f t="shared" si="35"/>
        <v>0</v>
      </c>
      <c r="O210" s="199">
        <f t="shared" si="30"/>
        <v>0</v>
      </c>
      <c r="P210" s="419">
        <f t="shared" si="31"/>
        <v>0</v>
      </c>
      <c r="Q210" s="192"/>
    </row>
    <row r="211" spans="1:17" x14ac:dyDescent="0.25">
      <c r="A211" s="190">
        <f>'A) Base RI'!A213</f>
        <v>5729</v>
      </c>
      <c r="B211" s="35" t="str">
        <f>'A) Base RI'!B213</f>
        <v>Tannay</v>
      </c>
      <c r="C211" s="34">
        <f>'D) Ecrêtage'!M211</f>
        <v>114587.61782706507</v>
      </c>
      <c r="D211" s="34">
        <v>146576</v>
      </c>
      <c r="E211" s="10">
        <v>94026</v>
      </c>
      <c r="F211" s="44">
        <v>89731</v>
      </c>
      <c r="G211" s="44">
        <f t="shared" si="27"/>
        <v>330333</v>
      </c>
      <c r="H211" s="10">
        <f t="shared" si="32"/>
        <v>916700.94261652057</v>
      </c>
      <c r="I211" s="34">
        <f t="shared" si="28"/>
        <v>0</v>
      </c>
      <c r="J211" s="2">
        <f t="shared" si="33"/>
        <v>0</v>
      </c>
      <c r="K211" s="15">
        <v>0</v>
      </c>
      <c r="L211" s="10">
        <f t="shared" si="34"/>
        <v>114587.61782706507</v>
      </c>
      <c r="M211" s="15">
        <f t="shared" si="29"/>
        <v>0</v>
      </c>
      <c r="N211" s="2">
        <f t="shared" si="35"/>
        <v>0</v>
      </c>
      <c r="O211" s="199">
        <f t="shared" si="30"/>
        <v>0</v>
      </c>
      <c r="P211" s="419">
        <f t="shared" si="31"/>
        <v>0</v>
      </c>
      <c r="Q211" s="192"/>
    </row>
    <row r="212" spans="1:17" x14ac:dyDescent="0.25">
      <c r="A212" s="190">
        <f>'A) Base RI'!A214</f>
        <v>5730</v>
      </c>
      <c r="B212" s="35" t="str">
        <f>'A) Base RI'!B214</f>
        <v>Trélex</v>
      </c>
      <c r="C212" s="34">
        <f>'D) Ecrêtage'!M212</f>
        <v>106055.30707067228</v>
      </c>
      <c r="D212" s="34">
        <v>242518</v>
      </c>
      <c r="E212" s="10">
        <v>85101</v>
      </c>
      <c r="F212" s="44">
        <v>83643</v>
      </c>
      <c r="G212" s="44">
        <f t="shared" si="27"/>
        <v>411262</v>
      </c>
      <c r="H212" s="10">
        <f t="shared" si="32"/>
        <v>848442.45656537823</v>
      </c>
      <c r="I212" s="34">
        <f t="shared" si="28"/>
        <v>0</v>
      </c>
      <c r="J212" s="2">
        <f t="shared" si="33"/>
        <v>0</v>
      </c>
      <c r="K212" s="15">
        <v>47901</v>
      </c>
      <c r="L212" s="10">
        <f t="shared" si="34"/>
        <v>106055.30707067228</v>
      </c>
      <c r="M212" s="15">
        <f t="shared" si="29"/>
        <v>0</v>
      </c>
      <c r="N212" s="2">
        <f t="shared" si="35"/>
        <v>0</v>
      </c>
      <c r="O212" s="199">
        <f t="shared" si="30"/>
        <v>0</v>
      </c>
      <c r="P212" s="419">
        <f t="shared" si="31"/>
        <v>0</v>
      </c>
      <c r="Q212" s="192"/>
    </row>
    <row r="213" spans="1:17" x14ac:dyDescent="0.25">
      <c r="A213" s="190">
        <f>'A) Base RI'!A215</f>
        <v>5731</v>
      </c>
      <c r="B213" s="35" t="str">
        <f>'A) Base RI'!B215</f>
        <v>Le Vaud</v>
      </c>
      <c r="C213" s="34">
        <f>'D) Ecrêtage'!M213</f>
        <v>47266.974133333322</v>
      </c>
      <c r="D213" s="34">
        <v>325225</v>
      </c>
      <c r="E213" s="10">
        <v>45529</v>
      </c>
      <c r="F213" s="44">
        <v>152958</v>
      </c>
      <c r="G213" s="44">
        <f t="shared" si="27"/>
        <v>523712</v>
      </c>
      <c r="H213" s="10">
        <f t="shared" si="32"/>
        <v>378135.79306666658</v>
      </c>
      <c r="I213" s="34">
        <f t="shared" si="28"/>
        <v>145576.20693333342</v>
      </c>
      <c r="J213" s="2">
        <f t="shared" si="33"/>
        <v>-103119.28667659452</v>
      </c>
      <c r="K213" s="15">
        <v>34221</v>
      </c>
      <c r="L213" s="10">
        <f t="shared" si="34"/>
        <v>47266.974133333322</v>
      </c>
      <c r="M213" s="15">
        <f t="shared" si="29"/>
        <v>0</v>
      </c>
      <c r="N213" s="2">
        <f t="shared" si="35"/>
        <v>0</v>
      </c>
      <c r="O213" s="199">
        <f t="shared" si="30"/>
        <v>-103119.28667659452</v>
      </c>
      <c r="P213" s="419">
        <f t="shared" si="31"/>
        <v>-2.1816350330721379</v>
      </c>
      <c r="Q213" s="192"/>
    </row>
    <row r="214" spans="1:17" x14ac:dyDescent="0.25">
      <c r="A214" s="190">
        <f>'A) Base RI'!A216</f>
        <v>5732</v>
      </c>
      <c r="B214" s="35" t="str">
        <f>'A) Base RI'!B216</f>
        <v>Vich</v>
      </c>
      <c r="C214" s="34">
        <f>'D) Ecrêtage'!M214</f>
        <v>67286.05253974018</v>
      </c>
      <c r="D214" s="34">
        <v>201589</v>
      </c>
      <c r="E214" s="10">
        <v>51515</v>
      </c>
      <c r="F214" s="44">
        <v>92622</v>
      </c>
      <c r="G214" s="44">
        <f t="shared" si="27"/>
        <v>345726</v>
      </c>
      <c r="H214" s="10">
        <f t="shared" si="32"/>
        <v>538288.42031792144</v>
      </c>
      <c r="I214" s="34">
        <f t="shared" si="28"/>
        <v>0</v>
      </c>
      <c r="J214" s="2">
        <f t="shared" si="33"/>
        <v>0</v>
      </c>
      <c r="K214" s="15">
        <v>648</v>
      </c>
      <c r="L214" s="10">
        <f t="shared" si="34"/>
        <v>67286.05253974018</v>
      </c>
      <c r="M214" s="15">
        <f t="shared" si="29"/>
        <v>0</v>
      </c>
      <c r="N214" s="2">
        <f t="shared" si="35"/>
        <v>0</v>
      </c>
      <c r="O214" s="199">
        <f t="shared" si="30"/>
        <v>0</v>
      </c>
      <c r="P214" s="419">
        <f t="shared" si="31"/>
        <v>0</v>
      </c>
      <c r="Q214" s="192"/>
    </row>
    <row r="215" spans="1:17" x14ac:dyDescent="0.25">
      <c r="A215" s="190">
        <f>'A) Base RI'!A217</f>
        <v>5741</v>
      </c>
      <c r="B215" s="35" t="str">
        <f>'A) Base RI'!B217</f>
        <v>L'Abergement</v>
      </c>
      <c r="C215" s="34">
        <f>'D) Ecrêtage'!M215</f>
        <v>6474.3855761316872</v>
      </c>
      <c r="D215" s="34">
        <v>84713</v>
      </c>
      <c r="E215" s="10">
        <v>10084</v>
      </c>
      <c r="F215" s="44">
        <v>26681</v>
      </c>
      <c r="G215" s="44">
        <f t="shared" si="27"/>
        <v>121478</v>
      </c>
      <c r="H215" s="10">
        <f t="shared" si="32"/>
        <v>51795.084609053498</v>
      </c>
      <c r="I215" s="34">
        <f t="shared" si="28"/>
        <v>69682.915390946495</v>
      </c>
      <c r="J215" s="2">
        <f t="shared" si="33"/>
        <v>-49360.075248770285</v>
      </c>
      <c r="K215" s="15">
        <v>24158</v>
      </c>
      <c r="L215" s="10">
        <f t="shared" si="34"/>
        <v>6474.3855761316872</v>
      </c>
      <c r="M215" s="15">
        <f t="shared" si="29"/>
        <v>17683.614423868312</v>
      </c>
      <c r="N215" s="2">
        <f t="shared" si="35"/>
        <v>-12526.234497154603</v>
      </c>
      <c r="O215" s="199">
        <f t="shared" si="30"/>
        <v>-61886.309745924889</v>
      </c>
      <c r="P215" s="419">
        <f t="shared" si="31"/>
        <v>-9.5586382704906327</v>
      </c>
      <c r="Q215" s="192"/>
    </row>
    <row r="216" spans="1:17" x14ac:dyDescent="0.25">
      <c r="A216" s="190">
        <f>'A) Base RI'!A218</f>
        <v>5742</v>
      </c>
      <c r="B216" s="35" t="str">
        <f>'A) Base RI'!B218</f>
        <v>Agiez</v>
      </c>
      <c r="C216" s="34">
        <f>'D) Ecrêtage'!M216</f>
        <v>8406.0221052631568</v>
      </c>
      <c r="D216" s="34">
        <v>33709</v>
      </c>
      <c r="E216" s="10">
        <v>12374</v>
      </c>
      <c r="F216" s="44">
        <v>31725</v>
      </c>
      <c r="G216" s="44">
        <f t="shared" si="27"/>
        <v>77808</v>
      </c>
      <c r="H216" s="10">
        <f t="shared" si="32"/>
        <v>67248.176842105255</v>
      </c>
      <c r="I216" s="34">
        <f t="shared" si="28"/>
        <v>10559.823157894745</v>
      </c>
      <c r="J216" s="2">
        <f t="shared" si="33"/>
        <v>-7480.0783343102285</v>
      </c>
      <c r="K216" s="15">
        <v>30163</v>
      </c>
      <c r="L216" s="10">
        <f t="shared" si="34"/>
        <v>8406.0221052631568</v>
      </c>
      <c r="M216" s="15">
        <f t="shared" si="29"/>
        <v>21756.977894736843</v>
      </c>
      <c r="N216" s="2">
        <f t="shared" si="35"/>
        <v>-15411.612158373777</v>
      </c>
      <c r="O216" s="199">
        <f t="shared" si="30"/>
        <v>-22891.690492684007</v>
      </c>
      <c r="P216" s="419">
        <f t="shared" si="31"/>
        <v>-2.7232489048953514</v>
      </c>
      <c r="Q216" s="192"/>
    </row>
    <row r="217" spans="1:17" x14ac:dyDescent="0.25">
      <c r="A217" s="190">
        <f>'A) Base RI'!A219</f>
        <v>5743</v>
      </c>
      <c r="B217" s="35" t="str">
        <f>'A) Base RI'!B219</f>
        <v>Arnex-sur-Orbe</v>
      </c>
      <c r="C217" s="34">
        <f>'D) Ecrêtage'!M217</f>
        <v>16157.310890410963</v>
      </c>
      <c r="D217" s="34">
        <v>145260</v>
      </c>
      <c r="E217" s="10">
        <v>62772</v>
      </c>
      <c r="F217" s="44">
        <v>64718</v>
      </c>
      <c r="G217" s="44">
        <f t="shared" si="27"/>
        <v>272750</v>
      </c>
      <c r="H217" s="10">
        <f t="shared" si="32"/>
        <v>129258.4871232877</v>
      </c>
      <c r="I217" s="34">
        <f t="shared" si="28"/>
        <v>143491.51287671231</v>
      </c>
      <c r="J217" s="2">
        <f t="shared" si="33"/>
        <v>-101642.58819278149</v>
      </c>
      <c r="K217" s="15">
        <v>5612</v>
      </c>
      <c r="L217" s="10">
        <f t="shared" si="34"/>
        <v>16157.310890410963</v>
      </c>
      <c r="M217" s="15">
        <f t="shared" si="29"/>
        <v>0</v>
      </c>
      <c r="N217" s="2">
        <f t="shared" si="35"/>
        <v>0</v>
      </c>
      <c r="O217" s="199">
        <f t="shared" si="30"/>
        <v>-101642.58819278149</v>
      </c>
      <c r="P217" s="419">
        <f t="shared" si="31"/>
        <v>-6.2908109451000485</v>
      </c>
      <c r="Q217" s="192"/>
    </row>
    <row r="218" spans="1:17" x14ac:dyDescent="0.25">
      <c r="A218" s="190">
        <f>'A) Base RI'!A220</f>
        <v>5744</v>
      </c>
      <c r="B218" s="35" t="str">
        <f>'A) Base RI'!B220</f>
        <v>Ballaigues</v>
      </c>
      <c r="C218" s="34">
        <f>'D) Ecrêtage'!M218</f>
        <v>65672.382226214861</v>
      </c>
      <c r="D218" s="34">
        <v>764094</v>
      </c>
      <c r="E218" s="10">
        <v>42946</v>
      </c>
      <c r="F218" s="44">
        <v>119177</v>
      </c>
      <c r="G218" s="44">
        <f t="shared" si="27"/>
        <v>926217</v>
      </c>
      <c r="H218" s="10">
        <f t="shared" si="32"/>
        <v>525379.05780971888</v>
      </c>
      <c r="I218" s="34">
        <f t="shared" si="28"/>
        <v>400837.94219028112</v>
      </c>
      <c r="J218" s="2">
        <f t="shared" si="33"/>
        <v>-283934.6040284232</v>
      </c>
      <c r="K218" s="15">
        <v>74228</v>
      </c>
      <c r="L218" s="10">
        <f t="shared" si="34"/>
        <v>65672.382226214861</v>
      </c>
      <c r="M218" s="15">
        <f t="shared" si="29"/>
        <v>8555.6177737851394</v>
      </c>
      <c r="N218" s="2">
        <f t="shared" si="35"/>
        <v>-6060.3942120455367</v>
      </c>
      <c r="O218" s="199">
        <f t="shared" si="30"/>
        <v>-289994.99824046873</v>
      </c>
      <c r="P218" s="419">
        <f t="shared" si="31"/>
        <v>-4.4157831406443115</v>
      </c>
      <c r="Q218" s="192"/>
    </row>
    <row r="219" spans="1:17" x14ac:dyDescent="0.25">
      <c r="A219" s="190">
        <f>'A) Base RI'!A221</f>
        <v>5745</v>
      </c>
      <c r="B219" s="35" t="str">
        <f>'A) Base RI'!B221</f>
        <v>Baulmes</v>
      </c>
      <c r="C219" s="34">
        <f>'D) Ecrêtage'!M219</f>
        <v>26708.244230769233</v>
      </c>
      <c r="D219" s="34">
        <v>233497</v>
      </c>
      <c r="E219" s="10">
        <v>103849</v>
      </c>
      <c r="F219" s="44">
        <v>89869</v>
      </c>
      <c r="G219" s="44">
        <f t="shared" si="27"/>
        <v>427215</v>
      </c>
      <c r="H219" s="10">
        <f t="shared" si="32"/>
        <v>213665.95384615386</v>
      </c>
      <c r="I219" s="34">
        <f t="shared" si="28"/>
        <v>213549.04615384614</v>
      </c>
      <c r="J219" s="2">
        <f t="shared" si="33"/>
        <v>-151268.02500037864</v>
      </c>
      <c r="K219" s="15">
        <v>284749</v>
      </c>
      <c r="L219" s="10">
        <f t="shared" si="34"/>
        <v>26708.244230769233</v>
      </c>
      <c r="M219" s="15">
        <f t="shared" si="29"/>
        <v>258040.75576923077</v>
      </c>
      <c r="N219" s="2">
        <f t="shared" si="35"/>
        <v>-182783.84379528443</v>
      </c>
      <c r="O219" s="199">
        <f t="shared" si="30"/>
        <v>-334051.86879566306</v>
      </c>
      <c r="P219" s="419">
        <f t="shared" si="31"/>
        <v>-12.507443990302388</v>
      </c>
      <c r="Q219" s="192"/>
    </row>
    <row r="220" spans="1:17" x14ac:dyDescent="0.25">
      <c r="A220" s="190">
        <f>'A) Base RI'!A222</f>
        <v>5746</v>
      </c>
      <c r="B220" s="35" t="str">
        <f>'A) Base RI'!B222</f>
        <v>Bavois</v>
      </c>
      <c r="C220" s="34">
        <f>'D) Ecrêtage'!M220</f>
        <v>26575.73502283105</v>
      </c>
      <c r="D220" s="34">
        <v>265004</v>
      </c>
      <c r="E220" s="10">
        <v>94308</v>
      </c>
      <c r="F220" s="44">
        <v>119898</v>
      </c>
      <c r="G220" s="44">
        <f t="shared" si="27"/>
        <v>479210</v>
      </c>
      <c r="H220" s="10">
        <f t="shared" si="32"/>
        <v>212605.8801826484</v>
      </c>
      <c r="I220" s="34">
        <f t="shared" si="28"/>
        <v>266604.11981735157</v>
      </c>
      <c r="J220" s="2">
        <f t="shared" si="33"/>
        <v>-188849.72510100223</v>
      </c>
      <c r="K220" s="15">
        <v>58176</v>
      </c>
      <c r="L220" s="10">
        <f t="shared" si="34"/>
        <v>26575.73502283105</v>
      </c>
      <c r="M220" s="15">
        <f t="shared" si="29"/>
        <v>31600.26497716895</v>
      </c>
      <c r="N220" s="2">
        <f t="shared" si="35"/>
        <v>-22384.130290805748</v>
      </c>
      <c r="O220" s="199">
        <f t="shared" si="30"/>
        <v>-211233.85539180797</v>
      </c>
      <c r="P220" s="419">
        <f t="shared" si="31"/>
        <v>-7.9483730256317751</v>
      </c>
      <c r="Q220" s="192"/>
    </row>
    <row r="221" spans="1:17" x14ac:dyDescent="0.25">
      <c r="A221" s="190">
        <f>'A) Base RI'!A223</f>
        <v>5747</v>
      </c>
      <c r="B221" s="35" t="str">
        <f>'A) Base RI'!B223</f>
        <v>Bofflens</v>
      </c>
      <c r="C221" s="34">
        <f>'D) Ecrêtage'!M221</f>
        <v>5307.8250724637683</v>
      </c>
      <c r="D221" s="34">
        <v>25698</v>
      </c>
      <c r="E221" s="10">
        <v>7513</v>
      </c>
      <c r="F221" s="44">
        <v>19983</v>
      </c>
      <c r="G221" s="44">
        <f t="shared" si="27"/>
        <v>53194</v>
      </c>
      <c r="H221" s="10">
        <f t="shared" si="32"/>
        <v>42462.600579710146</v>
      </c>
      <c r="I221" s="34">
        <f t="shared" si="28"/>
        <v>10731.399420289854</v>
      </c>
      <c r="J221" s="2">
        <f t="shared" si="33"/>
        <v>-7601.6148282300237</v>
      </c>
      <c r="K221" s="15">
        <v>-310</v>
      </c>
      <c r="L221" s="10">
        <f t="shared" si="34"/>
        <v>5307.8250724637683</v>
      </c>
      <c r="M221" s="15">
        <f t="shared" si="29"/>
        <v>0</v>
      </c>
      <c r="N221" s="2">
        <f t="shared" si="35"/>
        <v>0</v>
      </c>
      <c r="O221" s="199">
        <f t="shared" si="30"/>
        <v>-7601.6148282300237</v>
      </c>
      <c r="P221" s="419">
        <f t="shared" si="31"/>
        <v>-1.4321524776063375</v>
      </c>
      <c r="Q221" s="192"/>
    </row>
    <row r="222" spans="1:17" x14ac:dyDescent="0.25">
      <c r="A222" s="190">
        <f>'A) Base RI'!A224</f>
        <v>5748</v>
      </c>
      <c r="B222" s="35" t="str">
        <f>'A) Base RI'!B224</f>
        <v>Bretonnières</v>
      </c>
      <c r="C222" s="34">
        <f>'D) Ecrêtage'!M222</f>
        <v>7260.9913888888877</v>
      </c>
      <c r="D222" s="34">
        <v>61996</v>
      </c>
      <c r="E222" s="10">
        <v>25309</v>
      </c>
      <c r="F222" s="44">
        <v>28514</v>
      </c>
      <c r="G222" s="44">
        <f t="shared" si="27"/>
        <v>115819</v>
      </c>
      <c r="H222" s="10">
        <f t="shared" si="32"/>
        <v>58087.931111111102</v>
      </c>
      <c r="I222" s="34">
        <f t="shared" si="28"/>
        <v>57731.068888888898</v>
      </c>
      <c r="J222" s="2">
        <f t="shared" si="33"/>
        <v>-40893.95354026377</v>
      </c>
      <c r="K222" s="15">
        <v>39048</v>
      </c>
      <c r="L222" s="10">
        <f t="shared" si="34"/>
        <v>7260.9913888888877</v>
      </c>
      <c r="M222" s="15">
        <f t="shared" si="29"/>
        <v>31787.008611111112</v>
      </c>
      <c r="N222" s="2">
        <f t="shared" si="35"/>
        <v>-22516.410632004154</v>
      </c>
      <c r="O222" s="199">
        <f t="shared" si="30"/>
        <v>-63410.364172267924</v>
      </c>
      <c r="P222" s="419">
        <f t="shared" si="31"/>
        <v>-8.7330174043866045</v>
      </c>
      <c r="Q222" s="192"/>
    </row>
    <row r="223" spans="1:17" x14ac:dyDescent="0.25">
      <c r="A223" s="190">
        <f>'A) Base RI'!A225</f>
        <v>5749</v>
      </c>
      <c r="B223" s="35" t="str">
        <f>'A) Base RI'!B225</f>
        <v>Chavornay</v>
      </c>
      <c r="C223" s="34">
        <f>'D) Ecrêtage'!M223</f>
        <v>119889.98763888891</v>
      </c>
      <c r="D223" s="34">
        <v>609487</v>
      </c>
      <c r="E223" s="10">
        <v>417405</v>
      </c>
      <c r="F223" s="44">
        <v>590947</v>
      </c>
      <c r="G223" s="44">
        <f t="shared" si="27"/>
        <v>1617839</v>
      </c>
      <c r="H223" s="10">
        <f t="shared" si="32"/>
        <v>959119.90111111128</v>
      </c>
      <c r="I223" s="34">
        <f t="shared" si="28"/>
        <v>658719.09888888872</v>
      </c>
      <c r="J223" s="2">
        <f t="shared" si="33"/>
        <v>-466605.39540488448</v>
      </c>
      <c r="K223" s="15">
        <v>98207</v>
      </c>
      <c r="L223" s="10">
        <f t="shared" si="34"/>
        <v>119889.98763888891</v>
      </c>
      <c r="M223" s="15">
        <f t="shared" si="29"/>
        <v>0</v>
      </c>
      <c r="N223" s="2">
        <f t="shared" si="35"/>
        <v>0</v>
      </c>
      <c r="O223" s="199">
        <f t="shared" si="30"/>
        <v>-466605.39540488448</v>
      </c>
      <c r="P223" s="419">
        <f t="shared" si="31"/>
        <v>-3.8919463134011614</v>
      </c>
      <c r="Q223" s="192"/>
    </row>
    <row r="224" spans="1:17" x14ac:dyDescent="0.25">
      <c r="A224" s="190">
        <f>'A) Base RI'!A226</f>
        <v>5750</v>
      </c>
      <c r="B224" s="35" t="str">
        <f>'A) Base RI'!B226</f>
        <v>Les Clées</v>
      </c>
      <c r="C224" s="34">
        <f>'D) Ecrêtage'!M224</f>
        <v>4790.0727916666665</v>
      </c>
      <c r="D224" s="34">
        <v>61454</v>
      </c>
      <c r="E224" s="10">
        <v>0</v>
      </c>
      <c r="F224" s="44">
        <v>17750</v>
      </c>
      <c r="G224" s="44">
        <f t="shared" si="27"/>
        <v>79204</v>
      </c>
      <c r="H224" s="10">
        <f t="shared" si="32"/>
        <v>38320.582333333332</v>
      </c>
      <c r="I224" s="34">
        <f t="shared" si="28"/>
        <v>40883.417666666668</v>
      </c>
      <c r="J224" s="2">
        <f t="shared" si="33"/>
        <v>-28959.875761968473</v>
      </c>
      <c r="K224" s="15">
        <v>26369</v>
      </c>
      <c r="L224" s="10">
        <f t="shared" si="34"/>
        <v>4790.0727916666665</v>
      </c>
      <c r="M224" s="15">
        <f t="shared" si="29"/>
        <v>21578.927208333334</v>
      </c>
      <c r="N224" s="2">
        <f t="shared" si="35"/>
        <v>-15285.489489285304</v>
      </c>
      <c r="O224" s="199">
        <f t="shared" si="30"/>
        <v>-44245.365251253781</v>
      </c>
      <c r="P224" s="419">
        <f t="shared" si="31"/>
        <v>-9.2368878669710082</v>
      </c>
      <c r="Q224" s="192"/>
    </row>
    <row r="225" spans="1:17" x14ac:dyDescent="0.25">
      <c r="A225" s="190">
        <f>'A) Base RI'!A227</f>
        <v>5751</v>
      </c>
      <c r="B225" s="35" t="str">
        <f>'A) Base RI'!B227</f>
        <v>Corcelles-sur-Chavornay</v>
      </c>
      <c r="C225" s="34">
        <f>'D) Ecrêtage'!M225</f>
        <v>8772.6488157894728</v>
      </c>
      <c r="D225" s="34">
        <v>89991</v>
      </c>
      <c r="E225" s="10">
        <v>14141</v>
      </c>
      <c r="F225" s="44">
        <v>46616</v>
      </c>
      <c r="G225" s="44">
        <f t="shared" si="27"/>
        <v>150748</v>
      </c>
      <c r="H225" s="10">
        <f t="shared" si="32"/>
        <v>70181.190526315782</v>
      </c>
      <c r="I225" s="34">
        <f t="shared" si="28"/>
        <v>80566.809473684218</v>
      </c>
      <c r="J225" s="2">
        <f t="shared" si="33"/>
        <v>-57069.710069723522</v>
      </c>
      <c r="K225" s="15">
        <v>54438</v>
      </c>
      <c r="L225" s="10">
        <f t="shared" si="34"/>
        <v>8772.6488157894728</v>
      </c>
      <c r="M225" s="15">
        <f t="shared" si="29"/>
        <v>45665.351184210529</v>
      </c>
      <c r="N225" s="2">
        <f t="shared" si="35"/>
        <v>-32347.170867753448</v>
      </c>
      <c r="O225" s="199">
        <f t="shared" si="30"/>
        <v>-89416.880937476963</v>
      </c>
      <c r="P225" s="419">
        <f t="shared" si="31"/>
        <v>-10.192688983119874</v>
      </c>
      <c r="Q225" s="192"/>
    </row>
    <row r="226" spans="1:17" x14ac:dyDescent="0.25">
      <c r="A226" s="190">
        <f>'A) Base RI'!A228</f>
        <v>5752</v>
      </c>
      <c r="B226" s="35" t="str">
        <f>'A) Base RI'!B228</f>
        <v>Croy</v>
      </c>
      <c r="C226" s="34">
        <f>'D) Ecrêtage'!M226</f>
        <v>9213.5061196911174</v>
      </c>
      <c r="D226" s="34">
        <v>561867</v>
      </c>
      <c r="E226" s="10">
        <v>33646</v>
      </c>
      <c r="F226" s="44">
        <v>32502</v>
      </c>
      <c r="G226" s="44">
        <f t="shared" ref="G226:G272" si="36">D226+E226+F226</f>
        <v>628015</v>
      </c>
      <c r="H226" s="10">
        <f t="shared" si="32"/>
        <v>73708.048957528939</v>
      </c>
      <c r="I226" s="34">
        <f t="shared" ref="I226:I272" si="37">IF(G226&gt;H226,G226-H226,0)</f>
        <v>554306.9510424711</v>
      </c>
      <c r="J226" s="2">
        <f t="shared" si="33"/>
        <v>-392644.7775738099</v>
      </c>
      <c r="K226" s="15">
        <v>6121</v>
      </c>
      <c r="L226" s="10">
        <f t="shared" si="34"/>
        <v>9213.5061196911174</v>
      </c>
      <c r="M226" s="15">
        <f t="shared" ref="M226:M272" si="38">IF(K226&gt;L226,K226-L226,0)</f>
        <v>0</v>
      </c>
      <c r="N226" s="2">
        <f t="shared" si="35"/>
        <v>0</v>
      </c>
      <c r="O226" s="199">
        <f t="shared" ref="O226:O272" si="39">N226+J226</f>
        <v>-392644.7775738099</v>
      </c>
      <c r="P226" s="419">
        <f t="shared" ref="P226:P272" si="40">O226/C226</f>
        <v>-42.616217156967963</v>
      </c>
      <c r="Q226" s="192"/>
    </row>
    <row r="227" spans="1:17" x14ac:dyDescent="0.25">
      <c r="A227" s="190">
        <f>'A) Base RI'!A229</f>
        <v>5754</v>
      </c>
      <c r="B227" s="35" t="str">
        <f>'A) Base RI'!B229</f>
        <v>Juriens</v>
      </c>
      <c r="C227" s="34">
        <f>'D) Ecrêtage'!M227</f>
        <v>7202.565316455697</v>
      </c>
      <c r="D227" s="34">
        <v>64674</v>
      </c>
      <c r="E227" s="10">
        <v>12133</v>
      </c>
      <c r="F227" s="44">
        <v>25864</v>
      </c>
      <c r="G227" s="44">
        <f t="shared" si="36"/>
        <v>102671</v>
      </c>
      <c r="H227" s="10">
        <f t="shared" si="32"/>
        <v>57620.522531645576</v>
      </c>
      <c r="I227" s="34">
        <f t="shared" si="37"/>
        <v>45050.477468354424</v>
      </c>
      <c r="J227" s="2">
        <f t="shared" si="33"/>
        <v>-31911.623464019369</v>
      </c>
      <c r="K227" s="15">
        <v>18488</v>
      </c>
      <c r="L227" s="10">
        <f t="shared" si="34"/>
        <v>7202.565316455697</v>
      </c>
      <c r="M227" s="15">
        <f t="shared" si="38"/>
        <v>11285.434683544303</v>
      </c>
      <c r="N227" s="2">
        <f t="shared" si="35"/>
        <v>-7994.0671550490724</v>
      </c>
      <c r="O227" s="199">
        <f t="shared" si="39"/>
        <v>-39905.690619068439</v>
      </c>
      <c r="P227" s="419">
        <f t="shared" si="40"/>
        <v>-5.5404829898447332</v>
      </c>
      <c r="Q227" s="192"/>
    </row>
    <row r="228" spans="1:17" x14ac:dyDescent="0.25">
      <c r="A228" s="190">
        <f>'A) Base RI'!A230</f>
        <v>5755</v>
      </c>
      <c r="B228" s="35" t="str">
        <f>'A) Base RI'!B230</f>
        <v>Lignerolle</v>
      </c>
      <c r="C228" s="34">
        <f>'D) Ecrêtage'!M228</f>
        <v>9116.1979107142852</v>
      </c>
      <c r="D228" s="34">
        <v>221895</v>
      </c>
      <c r="E228" s="10">
        <v>15828</v>
      </c>
      <c r="F228" s="44">
        <v>38644</v>
      </c>
      <c r="G228" s="44">
        <f t="shared" si="36"/>
        <v>276367</v>
      </c>
      <c r="H228" s="10">
        <f t="shared" si="32"/>
        <v>72929.583285714281</v>
      </c>
      <c r="I228" s="34">
        <f t="shared" si="37"/>
        <v>203437.41671428573</v>
      </c>
      <c r="J228" s="2">
        <f t="shared" si="33"/>
        <v>-144105.4258579032</v>
      </c>
      <c r="K228" s="15">
        <v>59382</v>
      </c>
      <c r="L228" s="10">
        <f t="shared" si="34"/>
        <v>9116.1979107142852</v>
      </c>
      <c r="M228" s="15">
        <f t="shared" si="38"/>
        <v>50265.802089285717</v>
      </c>
      <c r="N228" s="2">
        <f t="shared" si="35"/>
        <v>-35605.912290651606</v>
      </c>
      <c r="O228" s="199">
        <f t="shared" si="39"/>
        <v>-179711.33814855482</v>
      </c>
      <c r="P228" s="419">
        <f t="shared" si="40"/>
        <v>-19.71340902300286</v>
      </c>
      <c r="Q228" s="192"/>
    </row>
    <row r="229" spans="1:17" x14ac:dyDescent="0.25">
      <c r="A229" s="190">
        <f>'A) Base RI'!A231</f>
        <v>5756</v>
      </c>
      <c r="B229" s="35" t="str">
        <f>'A) Base RI'!B231</f>
        <v>Montcherand</v>
      </c>
      <c r="C229" s="34">
        <f>'D) Ecrêtage'!M229</f>
        <v>14643.939999999999</v>
      </c>
      <c r="D229" s="34">
        <v>110301</v>
      </c>
      <c r="E229" s="10">
        <v>19043</v>
      </c>
      <c r="F229" s="44">
        <v>53973</v>
      </c>
      <c r="G229" s="44">
        <f t="shared" si="36"/>
        <v>183317</v>
      </c>
      <c r="H229" s="10">
        <f t="shared" si="32"/>
        <v>117151.51999999999</v>
      </c>
      <c r="I229" s="34">
        <f t="shared" si="37"/>
        <v>66165.48000000001</v>
      </c>
      <c r="J229" s="2">
        <f t="shared" si="33"/>
        <v>-46868.490696003944</v>
      </c>
      <c r="K229" s="15">
        <v>12917</v>
      </c>
      <c r="L229" s="10">
        <f t="shared" si="34"/>
        <v>14643.939999999999</v>
      </c>
      <c r="M229" s="15">
        <f t="shared" si="38"/>
        <v>0</v>
      </c>
      <c r="N229" s="2">
        <f t="shared" si="35"/>
        <v>0</v>
      </c>
      <c r="O229" s="199">
        <f t="shared" si="39"/>
        <v>-46868.490696003944</v>
      </c>
      <c r="P229" s="419">
        <f t="shared" si="40"/>
        <v>-3.200538290651556</v>
      </c>
      <c r="Q229" s="192"/>
    </row>
    <row r="230" spans="1:17" x14ac:dyDescent="0.25">
      <c r="A230" s="190">
        <f>'A) Base RI'!A232</f>
        <v>5757</v>
      </c>
      <c r="B230" s="35" t="str">
        <f>'A) Base RI'!B232</f>
        <v>Orbe</v>
      </c>
      <c r="C230" s="34">
        <f>'D) Ecrêtage'!M230</f>
        <v>219459.11337837842</v>
      </c>
      <c r="D230" s="34">
        <v>2024103</v>
      </c>
      <c r="E230" s="10">
        <v>968803</v>
      </c>
      <c r="F230" s="44">
        <v>713341</v>
      </c>
      <c r="G230" s="44">
        <f t="shared" si="36"/>
        <v>3706247</v>
      </c>
      <c r="H230" s="10">
        <f t="shared" si="32"/>
        <v>1755672.9070270273</v>
      </c>
      <c r="I230" s="34">
        <f t="shared" si="37"/>
        <v>1950574.0929729727</v>
      </c>
      <c r="J230" s="2">
        <f t="shared" si="33"/>
        <v>-1381694.2570109079</v>
      </c>
      <c r="K230" s="15">
        <v>93973</v>
      </c>
      <c r="L230" s="10">
        <f t="shared" si="34"/>
        <v>219459.11337837842</v>
      </c>
      <c r="M230" s="15">
        <f t="shared" si="38"/>
        <v>0</v>
      </c>
      <c r="N230" s="2">
        <f t="shared" si="35"/>
        <v>0</v>
      </c>
      <c r="O230" s="199">
        <f t="shared" si="39"/>
        <v>-1381694.2570109079</v>
      </c>
      <c r="P230" s="419">
        <f t="shared" si="40"/>
        <v>-6.2959074049874264</v>
      </c>
      <c r="Q230" s="192"/>
    </row>
    <row r="231" spans="1:17" x14ac:dyDescent="0.25">
      <c r="A231" s="190">
        <f>'A) Base RI'!A233</f>
        <v>5758</v>
      </c>
      <c r="B231" s="35" t="str">
        <f>'A) Base RI'!B233</f>
        <v>La Praz</v>
      </c>
      <c r="C231" s="34">
        <f>'D) Ecrêtage'!M231</f>
        <v>3792.6817536813919</v>
      </c>
      <c r="D231" s="34">
        <v>37863</v>
      </c>
      <c r="E231" s="10">
        <v>6248</v>
      </c>
      <c r="F231" s="44">
        <v>14463</v>
      </c>
      <c r="G231" s="44">
        <f t="shared" si="36"/>
        <v>58574</v>
      </c>
      <c r="H231" s="10">
        <f t="shared" si="32"/>
        <v>30341.454029451135</v>
      </c>
      <c r="I231" s="34">
        <f t="shared" si="37"/>
        <v>28232.545970548865</v>
      </c>
      <c r="J231" s="2">
        <f t="shared" si="33"/>
        <v>-19998.597730193644</v>
      </c>
      <c r="K231" s="15">
        <v>-5144</v>
      </c>
      <c r="L231" s="10">
        <f t="shared" si="34"/>
        <v>3792.6817536813919</v>
      </c>
      <c r="M231" s="15">
        <f t="shared" si="38"/>
        <v>0</v>
      </c>
      <c r="N231" s="2">
        <f t="shared" si="35"/>
        <v>0</v>
      </c>
      <c r="O231" s="199">
        <f t="shared" si="39"/>
        <v>-19998.597730193644</v>
      </c>
      <c r="P231" s="419">
        <f t="shared" si="40"/>
        <v>-5.2729437978237614</v>
      </c>
      <c r="Q231" s="192"/>
    </row>
    <row r="232" spans="1:17" x14ac:dyDescent="0.25">
      <c r="A232" s="190">
        <f>'A) Base RI'!A234</f>
        <v>5759</v>
      </c>
      <c r="B232" s="35" t="str">
        <f>'A) Base RI'!B234</f>
        <v>Premier</v>
      </c>
      <c r="C232" s="34">
        <f>'D) Ecrêtage'!M232</f>
        <v>4689.5245679012341</v>
      </c>
      <c r="D232" s="34">
        <v>74115</v>
      </c>
      <c r="E232" s="10">
        <v>7432</v>
      </c>
      <c r="F232" s="44">
        <v>17713</v>
      </c>
      <c r="G232" s="44">
        <f t="shared" si="36"/>
        <v>99260</v>
      </c>
      <c r="H232" s="10">
        <f t="shared" si="32"/>
        <v>37516.196543209873</v>
      </c>
      <c r="I232" s="34">
        <f t="shared" si="37"/>
        <v>61743.803456790127</v>
      </c>
      <c r="J232" s="2">
        <f t="shared" si="33"/>
        <v>-43736.384559599108</v>
      </c>
      <c r="K232" s="15">
        <v>49736</v>
      </c>
      <c r="L232" s="10">
        <f t="shared" si="34"/>
        <v>4689.5245679012341</v>
      </c>
      <c r="M232" s="15">
        <f t="shared" si="38"/>
        <v>45046.475432098763</v>
      </c>
      <c r="N232" s="2">
        <f t="shared" si="35"/>
        <v>-31908.788611177471</v>
      </c>
      <c r="O232" s="199">
        <f t="shared" si="39"/>
        <v>-75645.173170776572</v>
      </c>
      <c r="P232" s="419">
        <f t="shared" si="40"/>
        <v>-16.130669980609799</v>
      </c>
      <c r="Q232" s="192"/>
    </row>
    <row r="233" spans="1:17" x14ac:dyDescent="0.25">
      <c r="A233" s="190">
        <f>'A) Base RI'!A235</f>
        <v>5760</v>
      </c>
      <c r="B233" s="35" t="str">
        <f>'A) Base RI'!B235</f>
        <v>Rances</v>
      </c>
      <c r="C233" s="34">
        <f>'D) Ecrêtage'!M233</f>
        <v>13227.609572649571</v>
      </c>
      <c r="D233" s="34">
        <v>92786</v>
      </c>
      <c r="E233" s="10">
        <v>27720</v>
      </c>
      <c r="F233" s="44">
        <v>47680</v>
      </c>
      <c r="G233" s="44">
        <f t="shared" si="36"/>
        <v>168186</v>
      </c>
      <c r="H233" s="10">
        <f t="shared" si="32"/>
        <v>105820.87658119657</v>
      </c>
      <c r="I233" s="34">
        <f t="shared" si="37"/>
        <v>62365.123418803429</v>
      </c>
      <c r="J233" s="2">
        <f t="shared" si="33"/>
        <v>-44176.498178647322</v>
      </c>
      <c r="K233" s="15">
        <v>105804</v>
      </c>
      <c r="L233" s="10">
        <f t="shared" si="34"/>
        <v>13227.609572649571</v>
      </c>
      <c r="M233" s="15">
        <f t="shared" si="38"/>
        <v>92576.39042735043</v>
      </c>
      <c r="N233" s="2">
        <f t="shared" si="35"/>
        <v>-65576.728127928669</v>
      </c>
      <c r="O233" s="199">
        <f t="shared" si="39"/>
        <v>-109753.22630657599</v>
      </c>
      <c r="P233" s="419">
        <f t="shared" si="40"/>
        <v>-8.2972834739173322</v>
      </c>
      <c r="Q233" s="192"/>
    </row>
    <row r="234" spans="1:17" x14ac:dyDescent="0.25">
      <c r="A234" s="190">
        <f>'A) Base RI'!A236</f>
        <v>5761</v>
      </c>
      <c r="B234" s="35" t="str">
        <f>'A) Base RI'!B236</f>
        <v>Romainmôtier-Envy</v>
      </c>
      <c r="C234" s="34">
        <f>'D) Ecrêtage'!M234</f>
        <v>12165.915592105261</v>
      </c>
      <c r="D234" s="34">
        <v>72324</v>
      </c>
      <c r="E234" s="10">
        <v>42182</v>
      </c>
      <c r="F234" s="44">
        <v>49624</v>
      </c>
      <c r="G234" s="44">
        <f t="shared" si="36"/>
        <v>164130</v>
      </c>
      <c r="H234" s="10">
        <f t="shared" si="32"/>
        <v>97327.324736842085</v>
      </c>
      <c r="I234" s="34">
        <f t="shared" si="37"/>
        <v>66802.675263157915</v>
      </c>
      <c r="J234" s="2">
        <f t="shared" si="33"/>
        <v>-47319.849626111514</v>
      </c>
      <c r="K234" s="15">
        <v>1913</v>
      </c>
      <c r="L234" s="10">
        <f t="shared" si="34"/>
        <v>12165.915592105261</v>
      </c>
      <c r="M234" s="15">
        <f t="shared" si="38"/>
        <v>0</v>
      </c>
      <c r="N234" s="2">
        <f t="shared" si="35"/>
        <v>0</v>
      </c>
      <c r="O234" s="199">
        <f t="shared" si="39"/>
        <v>-47319.849626111514</v>
      </c>
      <c r="P234" s="419">
        <f t="shared" si="40"/>
        <v>-3.8895428188584869</v>
      </c>
      <c r="Q234" s="192"/>
    </row>
    <row r="235" spans="1:17" x14ac:dyDescent="0.25">
      <c r="A235" s="190">
        <f>'A) Base RI'!A237</f>
        <v>5762</v>
      </c>
      <c r="B235" s="35" t="str">
        <f>'A) Base RI'!B237</f>
        <v>Sergey</v>
      </c>
      <c r="C235" s="34">
        <f>'D) Ecrêtage'!M235</f>
        <v>3586.5485897435897</v>
      </c>
      <c r="D235" s="34">
        <v>42459</v>
      </c>
      <c r="E235" s="10">
        <v>5785</v>
      </c>
      <c r="F235" s="44">
        <v>15533</v>
      </c>
      <c r="G235" s="44">
        <f t="shared" si="36"/>
        <v>63777</v>
      </c>
      <c r="H235" s="10">
        <f t="shared" si="32"/>
        <v>28692.388717948717</v>
      </c>
      <c r="I235" s="34">
        <f t="shared" si="37"/>
        <v>35084.611282051279</v>
      </c>
      <c r="J235" s="2">
        <f t="shared" si="33"/>
        <v>-24852.276102972955</v>
      </c>
      <c r="K235" s="15">
        <v>5978</v>
      </c>
      <c r="L235" s="10">
        <f t="shared" si="34"/>
        <v>3586.5485897435897</v>
      </c>
      <c r="M235" s="15">
        <f t="shared" si="38"/>
        <v>2391.4514102564103</v>
      </c>
      <c r="N235" s="2">
        <f t="shared" si="35"/>
        <v>-1693.9908570382631</v>
      </c>
      <c r="O235" s="199">
        <f t="shared" si="39"/>
        <v>-26546.26696001122</v>
      </c>
      <c r="P235" s="419">
        <f t="shared" si="40"/>
        <v>-7.401619215734387</v>
      </c>
      <c r="Q235" s="192"/>
    </row>
    <row r="236" spans="1:17" x14ac:dyDescent="0.25">
      <c r="A236" s="190">
        <f>'A) Base RI'!A238</f>
        <v>5763</v>
      </c>
      <c r="B236" s="35" t="str">
        <f>'A) Base RI'!B238</f>
        <v>Valeyres-sous-Rances</v>
      </c>
      <c r="C236" s="34">
        <f>'D) Ecrêtage'!M236</f>
        <v>16085.850769230768</v>
      </c>
      <c r="D236" s="34">
        <v>178858</v>
      </c>
      <c r="E236" s="10">
        <v>36156</v>
      </c>
      <c r="F236" s="44">
        <v>67366</v>
      </c>
      <c r="G236" s="44">
        <f t="shared" si="36"/>
        <v>282380</v>
      </c>
      <c r="H236" s="10">
        <f t="shared" si="32"/>
        <v>128686.80615384615</v>
      </c>
      <c r="I236" s="34">
        <f t="shared" si="37"/>
        <v>153693.19384615385</v>
      </c>
      <c r="J236" s="2">
        <f t="shared" si="33"/>
        <v>-108868.97557181767</v>
      </c>
      <c r="K236" s="15">
        <v>49463</v>
      </c>
      <c r="L236" s="10">
        <f t="shared" si="34"/>
        <v>16085.850769230768</v>
      </c>
      <c r="M236" s="15">
        <f t="shared" si="38"/>
        <v>33377.149230769232</v>
      </c>
      <c r="N236" s="2">
        <f t="shared" si="35"/>
        <v>-23642.790896120496</v>
      </c>
      <c r="O236" s="199">
        <f t="shared" si="39"/>
        <v>-132511.76646793817</v>
      </c>
      <c r="P236" s="419">
        <f t="shared" si="40"/>
        <v>-8.2377841476316842</v>
      </c>
      <c r="Q236" s="192"/>
    </row>
    <row r="237" spans="1:17" x14ac:dyDescent="0.25">
      <c r="A237" s="190">
        <f>'A) Base RI'!A239</f>
        <v>5764</v>
      </c>
      <c r="B237" s="35" t="str">
        <f>'A) Base RI'!B239</f>
        <v>Vallorbe</v>
      </c>
      <c r="C237" s="34">
        <f>'D) Ecrêtage'!M237</f>
        <v>84513.608378378369</v>
      </c>
      <c r="D237" s="34">
        <v>1624377</v>
      </c>
      <c r="E237" s="10">
        <v>366586</v>
      </c>
      <c r="F237" s="44">
        <v>386922</v>
      </c>
      <c r="G237" s="44">
        <f t="shared" si="36"/>
        <v>2377885</v>
      </c>
      <c r="H237" s="10">
        <f t="shared" si="32"/>
        <v>676108.86702702695</v>
      </c>
      <c r="I237" s="34">
        <f t="shared" si="37"/>
        <v>1701776.1329729729</v>
      </c>
      <c r="J237" s="2">
        <f t="shared" si="33"/>
        <v>-1205457.5717568337</v>
      </c>
      <c r="K237" s="15">
        <v>736484</v>
      </c>
      <c r="L237" s="10">
        <f t="shared" si="34"/>
        <v>84513.608378378369</v>
      </c>
      <c r="M237" s="15">
        <f t="shared" si="38"/>
        <v>651970.39162162167</v>
      </c>
      <c r="N237" s="2">
        <f t="shared" si="35"/>
        <v>-461824.93097288825</v>
      </c>
      <c r="O237" s="199">
        <f t="shared" si="39"/>
        <v>-1667282.5027297218</v>
      </c>
      <c r="P237" s="419">
        <f t="shared" si="40"/>
        <v>-19.727976768724417</v>
      </c>
      <c r="Q237" s="192"/>
    </row>
    <row r="238" spans="1:17" x14ac:dyDescent="0.25">
      <c r="A238" s="190">
        <f>'A) Base RI'!A240</f>
        <v>5765</v>
      </c>
      <c r="B238" s="35" t="str">
        <f>'A) Base RI'!B240</f>
        <v>Vaulion</v>
      </c>
      <c r="C238" s="34">
        <f>'D) Ecrêtage'!M238</f>
        <v>10199.027160493826</v>
      </c>
      <c r="D238" s="34">
        <v>162572</v>
      </c>
      <c r="E238" s="10">
        <v>19725</v>
      </c>
      <c r="F238" s="44">
        <v>51420</v>
      </c>
      <c r="G238" s="44">
        <f t="shared" si="36"/>
        <v>233717</v>
      </c>
      <c r="H238" s="10">
        <f t="shared" si="32"/>
        <v>81592.217283950609</v>
      </c>
      <c r="I238" s="34">
        <f t="shared" si="37"/>
        <v>152124.78271604941</v>
      </c>
      <c r="J238" s="2">
        <f t="shared" si="33"/>
        <v>-107757.98744842147</v>
      </c>
      <c r="K238" s="15">
        <v>54849</v>
      </c>
      <c r="L238" s="10">
        <f t="shared" si="34"/>
        <v>10199.027160493826</v>
      </c>
      <c r="M238" s="15">
        <f t="shared" si="38"/>
        <v>44649.972839506176</v>
      </c>
      <c r="N238" s="2">
        <f t="shared" si="35"/>
        <v>-31627.924963367961</v>
      </c>
      <c r="O238" s="199">
        <f t="shared" si="39"/>
        <v>-139385.91241178944</v>
      </c>
      <c r="P238" s="419">
        <f t="shared" si="40"/>
        <v>-13.666589000929822</v>
      </c>
      <c r="Q238" s="192"/>
    </row>
    <row r="239" spans="1:17" x14ac:dyDescent="0.25">
      <c r="A239" s="190">
        <f>'A) Base RI'!A241</f>
        <v>5766</v>
      </c>
      <c r="B239" s="35" t="str">
        <f>'A) Base RI'!B241</f>
        <v>Vuiteboeuf</v>
      </c>
      <c r="C239" s="34">
        <f>'D) Ecrêtage'!M239</f>
        <v>13023.960575139146</v>
      </c>
      <c r="D239" s="34">
        <v>110409</v>
      </c>
      <c r="E239" s="10">
        <v>54034</v>
      </c>
      <c r="F239" s="44">
        <v>53143</v>
      </c>
      <c r="G239" s="44">
        <f t="shared" si="36"/>
        <v>217586</v>
      </c>
      <c r="H239" s="10">
        <f t="shared" si="32"/>
        <v>104191.68460111317</v>
      </c>
      <c r="I239" s="34">
        <f t="shared" si="37"/>
        <v>113394.31539888683</v>
      </c>
      <c r="J239" s="2">
        <f t="shared" si="33"/>
        <v>-80323.159693732494</v>
      </c>
      <c r="K239" s="15">
        <v>45204</v>
      </c>
      <c r="L239" s="10">
        <f t="shared" si="34"/>
        <v>13023.960575139146</v>
      </c>
      <c r="M239" s="15">
        <f t="shared" si="38"/>
        <v>32180.039424860854</v>
      </c>
      <c r="N239" s="2">
        <f t="shared" si="35"/>
        <v>-22794.815036196076</v>
      </c>
      <c r="O239" s="199">
        <f t="shared" si="39"/>
        <v>-103117.97472992857</v>
      </c>
      <c r="P239" s="419">
        <f t="shared" si="40"/>
        <v>-7.9175588819552969</v>
      </c>
      <c r="Q239" s="192"/>
    </row>
    <row r="240" spans="1:17" x14ac:dyDescent="0.25">
      <c r="A240" s="190">
        <f>'A) Base RI'!A242</f>
        <v>5782</v>
      </c>
      <c r="B240" s="35" t="str">
        <f>'A) Base RI'!B242</f>
        <v>Carrouge</v>
      </c>
      <c r="C240" s="34">
        <f>'D) Ecrêtage'!M240</f>
        <v>32585.638421052627</v>
      </c>
      <c r="D240" s="34">
        <v>64934</v>
      </c>
      <c r="E240" s="10">
        <v>57491</v>
      </c>
      <c r="F240" s="44">
        <v>174615</v>
      </c>
      <c r="G240" s="44">
        <f t="shared" si="36"/>
        <v>297040</v>
      </c>
      <c r="H240" s="10">
        <f t="shared" si="32"/>
        <v>260685.10736842101</v>
      </c>
      <c r="I240" s="34">
        <f>IF(G240&gt;H240,G240-H240,0)</f>
        <v>36354.892631578987</v>
      </c>
      <c r="J240" s="2">
        <f t="shared" si="33"/>
        <v>-25752.083217070016</v>
      </c>
      <c r="K240" s="15">
        <v>644</v>
      </c>
      <c r="L240" s="10">
        <f t="shared" si="34"/>
        <v>32585.638421052627</v>
      </c>
      <c r="M240" s="15">
        <f t="shared" si="38"/>
        <v>0</v>
      </c>
      <c r="N240" s="2">
        <f t="shared" si="35"/>
        <v>0</v>
      </c>
      <c r="O240" s="199">
        <f t="shared" si="39"/>
        <v>-25752.083217070016</v>
      </c>
      <c r="P240" s="419">
        <f t="shared" si="40"/>
        <v>-0.79028935644336951</v>
      </c>
      <c r="Q240" s="192"/>
    </row>
    <row r="241" spans="1:17" x14ac:dyDescent="0.25">
      <c r="A241" s="190">
        <f>'A) Base RI'!A243</f>
        <v>5785</v>
      </c>
      <c r="B241" s="35" t="str">
        <f>'A) Base RI'!B243</f>
        <v>Corcelles-le-Jorat</v>
      </c>
      <c r="C241" s="34">
        <f>'D) Ecrêtage'!M241</f>
        <v>12275.22831168831</v>
      </c>
      <c r="D241" s="34">
        <v>90957</v>
      </c>
      <c r="E241" s="10">
        <v>13402</v>
      </c>
      <c r="F241" s="44">
        <v>50126</v>
      </c>
      <c r="G241" s="44">
        <f t="shared" si="36"/>
        <v>154485</v>
      </c>
      <c r="H241" s="10">
        <f t="shared" si="32"/>
        <v>98201.82649350648</v>
      </c>
      <c r="I241" s="34">
        <f t="shared" si="37"/>
        <v>56283.17350649352</v>
      </c>
      <c r="J241" s="2">
        <f t="shared" si="33"/>
        <v>-39868.33306175164</v>
      </c>
      <c r="K241" s="15">
        <v>29053</v>
      </c>
      <c r="L241" s="10">
        <f t="shared" si="34"/>
        <v>12275.22831168831</v>
      </c>
      <c r="M241" s="15">
        <f t="shared" si="38"/>
        <v>16777.771688311688</v>
      </c>
      <c r="N241" s="2">
        <f t="shared" si="35"/>
        <v>-11884.578427804267</v>
      </c>
      <c r="O241" s="199">
        <f t="shared" si="39"/>
        <v>-51752.911489555903</v>
      </c>
      <c r="P241" s="419">
        <f t="shared" si="40"/>
        <v>-4.2160447183110614</v>
      </c>
      <c r="Q241" s="192"/>
    </row>
    <row r="242" spans="1:17" x14ac:dyDescent="0.25">
      <c r="A242" s="190">
        <f>'A) Base RI'!A244</f>
        <v>5788</v>
      </c>
      <c r="B242" s="35" t="str">
        <f>'A) Base RI'!B244</f>
        <v>Essertes</v>
      </c>
      <c r="C242" s="34">
        <f>'D) Ecrêtage'!M242</f>
        <v>9663.2152777777756</v>
      </c>
      <c r="D242" s="34">
        <v>65492</v>
      </c>
      <c r="E242" s="10">
        <v>15757</v>
      </c>
      <c r="F242" s="44">
        <v>0</v>
      </c>
      <c r="G242" s="44">
        <f t="shared" si="36"/>
        <v>81249</v>
      </c>
      <c r="H242" s="10">
        <f t="shared" si="32"/>
        <v>77305.722222222204</v>
      </c>
      <c r="I242" s="34">
        <f t="shared" si="37"/>
        <v>3943.2777777777956</v>
      </c>
      <c r="J242" s="2">
        <f t="shared" si="33"/>
        <v>-2793.2311205108417</v>
      </c>
      <c r="K242" s="15">
        <v>4625</v>
      </c>
      <c r="L242" s="10">
        <f t="shared" si="34"/>
        <v>9663.2152777777756</v>
      </c>
      <c r="M242" s="15">
        <f t="shared" si="38"/>
        <v>0</v>
      </c>
      <c r="N242" s="2">
        <f t="shared" si="35"/>
        <v>0</v>
      </c>
      <c r="O242" s="199">
        <f t="shared" si="39"/>
        <v>-2793.2311205108417</v>
      </c>
      <c r="P242" s="419">
        <f t="shared" si="40"/>
        <v>-0.28905814888905113</v>
      </c>
      <c r="Q242" s="192"/>
    </row>
    <row r="243" spans="1:17" x14ac:dyDescent="0.25">
      <c r="A243" s="190">
        <f>'A) Base RI'!A245</f>
        <v>5789</v>
      </c>
      <c r="B243" s="35" t="str">
        <f>'A) Base RI'!B245</f>
        <v>Ferlens</v>
      </c>
      <c r="C243" s="34">
        <f>'D) Ecrêtage'!M243</f>
        <v>9239.8459210526344</v>
      </c>
      <c r="D243" s="34">
        <v>24312</v>
      </c>
      <c r="E243" s="10">
        <v>16044</v>
      </c>
      <c r="F243" s="44">
        <v>40705</v>
      </c>
      <c r="G243" s="44">
        <f t="shared" si="36"/>
        <v>81061</v>
      </c>
      <c r="H243" s="10">
        <f t="shared" si="32"/>
        <v>73918.767368421075</v>
      </c>
      <c r="I243" s="34">
        <f t="shared" si="37"/>
        <v>7142.2326315789251</v>
      </c>
      <c r="J243" s="2">
        <f t="shared" si="33"/>
        <v>-5059.2191523714864</v>
      </c>
      <c r="K243" s="15">
        <v>22804</v>
      </c>
      <c r="L243" s="10">
        <f t="shared" si="34"/>
        <v>9239.8459210526344</v>
      </c>
      <c r="M243" s="15">
        <f t="shared" si="38"/>
        <v>13564.154078947366</v>
      </c>
      <c r="N243" s="2">
        <f t="shared" si="35"/>
        <v>-9608.2039947161029</v>
      </c>
      <c r="O243" s="199">
        <f t="shared" si="39"/>
        <v>-14667.423147087589</v>
      </c>
      <c r="P243" s="419">
        <f t="shared" si="40"/>
        <v>-1.5874099278721119</v>
      </c>
      <c r="Q243" s="192"/>
    </row>
    <row r="244" spans="1:17" x14ac:dyDescent="0.25">
      <c r="A244" s="190">
        <f>'A) Base RI'!A246</f>
        <v>5790</v>
      </c>
      <c r="B244" s="35" t="str">
        <f>'A) Base RI'!B246</f>
        <v>Maracon</v>
      </c>
      <c r="C244" s="34">
        <f>'D) Ecrêtage'!M244</f>
        <v>12077.747368421051</v>
      </c>
      <c r="D244" s="34">
        <v>134140</v>
      </c>
      <c r="E244" s="10">
        <v>14134</v>
      </c>
      <c r="F244" s="44">
        <v>52513</v>
      </c>
      <c r="G244" s="44">
        <f t="shared" si="36"/>
        <v>200787</v>
      </c>
      <c r="H244" s="10">
        <f t="shared" si="32"/>
        <v>96621.978947368407</v>
      </c>
      <c r="I244" s="34">
        <f t="shared" si="37"/>
        <v>104165.02105263159</v>
      </c>
      <c r="J244" s="2">
        <f t="shared" si="33"/>
        <v>-73785.564920776174</v>
      </c>
      <c r="K244" s="15">
        <v>20345</v>
      </c>
      <c r="L244" s="10">
        <f t="shared" si="34"/>
        <v>12077.747368421051</v>
      </c>
      <c r="M244" s="15">
        <f t="shared" si="38"/>
        <v>8267.2526315789491</v>
      </c>
      <c r="N244" s="2">
        <f t="shared" si="35"/>
        <v>-5856.1300098581924</v>
      </c>
      <c r="O244" s="199">
        <f t="shared" si="39"/>
        <v>-79641.694930634374</v>
      </c>
      <c r="P244" s="419">
        <f t="shared" si="40"/>
        <v>-6.5940851800616942</v>
      </c>
      <c r="Q244" s="192"/>
    </row>
    <row r="245" spans="1:17" x14ac:dyDescent="0.25">
      <c r="A245" s="190">
        <f>'A) Base RI'!A247</f>
        <v>5791</v>
      </c>
      <c r="B245" s="35" t="str">
        <f>'A) Base RI'!B247</f>
        <v>Mézières</v>
      </c>
      <c r="C245" s="34">
        <f>'D) Ecrêtage'!M245</f>
        <v>47801.173157894729</v>
      </c>
      <c r="D245" s="34">
        <v>503189</v>
      </c>
      <c r="E245" s="10">
        <v>58016</v>
      </c>
      <c r="F245" s="44">
        <v>150789</v>
      </c>
      <c r="G245" s="44">
        <f t="shared" si="36"/>
        <v>711994</v>
      </c>
      <c r="H245" s="10">
        <f t="shared" si="32"/>
        <v>382409.38526315783</v>
      </c>
      <c r="I245" s="34">
        <f t="shared" si="37"/>
        <v>329584.61473684217</v>
      </c>
      <c r="J245" s="2">
        <f t="shared" si="33"/>
        <v>-233462.12329056978</v>
      </c>
      <c r="K245" s="15">
        <v>16691</v>
      </c>
      <c r="L245" s="10">
        <f t="shared" si="34"/>
        <v>47801.173157894729</v>
      </c>
      <c r="M245" s="15">
        <f t="shared" si="38"/>
        <v>0</v>
      </c>
      <c r="N245" s="2">
        <f t="shared" si="35"/>
        <v>0</v>
      </c>
      <c r="O245" s="199">
        <f t="shared" si="39"/>
        <v>-233462.12329056978</v>
      </c>
      <c r="P245" s="419">
        <f t="shared" si="40"/>
        <v>-4.8840249698351119</v>
      </c>
      <c r="Q245" s="192"/>
    </row>
    <row r="246" spans="1:17" x14ac:dyDescent="0.25">
      <c r="A246" s="190">
        <f>'A) Base RI'!A248</f>
        <v>5792</v>
      </c>
      <c r="B246" s="35" t="str">
        <f>'A) Base RI'!B248</f>
        <v>Montpreveyres</v>
      </c>
      <c r="C246" s="34">
        <f>'D) Ecrêtage'!M246</f>
        <v>15670.869999999999</v>
      </c>
      <c r="D246" s="34">
        <v>201397</v>
      </c>
      <c r="E246" s="10">
        <v>29987</v>
      </c>
      <c r="F246" s="44">
        <v>81531</v>
      </c>
      <c r="G246" s="44">
        <f t="shared" si="36"/>
        <v>312915</v>
      </c>
      <c r="H246" s="10">
        <f t="shared" si="32"/>
        <v>125366.95999999999</v>
      </c>
      <c r="I246" s="34">
        <f t="shared" si="37"/>
        <v>187548.04</v>
      </c>
      <c r="J246" s="2">
        <f t="shared" si="33"/>
        <v>-132850.14433196545</v>
      </c>
      <c r="K246" s="15">
        <v>29840</v>
      </c>
      <c r="L246" s="10">
        <f t="shared" si="34"/>
        <v>15670.869999999999</v>
      </c>
      <c r="M246" s="15">
        <f t="shared" si="38"/>
        <v>14169.130000000001</v>
      </c>
      <c r="N246" s="2">
        <f t="shared" si="35"/>
        <v>-10036.740269631087</v>
      </c>
      <c r="O246" s="199">
        <f t="shared" si="39"/>
        <v>-142886.88460159654</v>
      </c>
      <c r="P246" s="419">
        <f t="shared" si="40"/>
        <v>-9.1179931045051461</v>
      </c>
      <c r="Q246" s="192"/>
    </row>
    <row r="247" spans="1:17" x14ac:dyDescent="0.25">
      <c r="A247" s="190">
        <f>'A) Base RI'!A249</f>
        <v>5798</v>
      </c>
      <c r="B247" s="35" t="str">
        <f>'A) Base RI'!B249</f>
        <v>Ropraz</v>
      </c>
      <c r="C247" s="34">
        <f>'D) Ecrêtage'!M247</f>
        <v>10971.989935483871</v>
      </c>
      <c r="D247" s="34">
        <v>121114</v>
      </c>
      <c r="E247" s="10">
        <v>12893</v>
      </c>
      <c r="F247" s="44">
        <v>48954</v>
      </c>
      <c r="G247" s="44">
        <f t="shared" si="36"/>
        <v>182961</v>
      </c>
      <c r="H247" s="10">
        <f t="shared" si="32"/>
        <v>87775.919483870966</v>
      </c>
      <c r="I247" s="34">
        <f t="shared" si="37"/>
        <v>95185.080516129034</v>
      </c>
      <c r="J247" s="2">
        <f t="shared" si="33"/>
        <v>-67424.600570699084</v>
      </c>
      <c r="K247" s="15">
        <v>18443</v>
      </c>
      <c r="L247" s="10">
        <f t="shared" si="34"/>
        <v>10971.989935483871</v>
      </c>
      <c r="M247" s="15">
        <f t="shared" si="38"/>
        <v>7471.0100645161292</v>
      </c>
      <c r="N247" s="2">
        <f t="shared" si="35"/>
        <v>-5292.1095063245357</v>
      </c>
      <c r="O247" s="199">
        <f t="shared" si="39"/>
        <v>-72716.710077023614</v>
      </c>
      <c r="P247" s="419">
        <f t="shared" si="40"/>
        <v>-6.627486035313864</v>
      </c>
      <c r="Q247" s="192"/>
    </row>
    <row r="248" spans="1:17" x14ac:dyDescent="0.25">
      <c r="A248" s="190">
        <f>'A) Base RI'!A250</f>
        <v>5799</v>
      </c>
      <c r="B248" s="35" t="str">
        <f>'A) Base RI'!B250</f>
        <v>Servion</v>
      </c>
      <c r="C248" s="34">
        <f>'D) Ecrêtage'!M248</f>
        <v>60598.657971014502</v>
      </c>
      <c r="D248" s="34">
        <v>481204</v>
      </c>
      <c r="E248" s="10">
        <v>91107</v>
      </c>
      <c r="F248" s="44">
        <v>235683</v>
      </c>
      <c r="G248" s="44">
        <f t="shared" si="36"/>
        <v>807994</v>
      </c>
      <c r="H248" s="10">
        <f t="shared" si="32"/>
        <v>484789.26376811601</v>
      </c>
      <c r="I248" s="34">
        <f t="shared" si="37"/>
        <v>323204.73623188399</v>
      </c>
      <c r="J248" s="2">
        <f t="shared" si="33"/>
        <v>-228942.91967636993</v>
      </c>
      <c r="K248" s="15">
        <v>85013</v>
      </c>
      <c r="L248" s="10">
        <f t="shared" si="34"/>
        <v>60598.657971014502</v>
      </c>
      <c r="M248" s="15">
        <f t="shared" si="38"/>
        <v>24414.342028985498</v>
      </c>
      <c r="N248" s="2">
        <f t="shared" si="35"/>
        <v>-17293.962988473213</v>
      </c>
      <c r="O248" s="199">
        <f t="shared" si="39"/>
        <v>-246236.88266484314</v>
      </c>
      <c r="P248" s="419">
        <f t="shared" si="40"/>
        <v>-4.0634048823758269</v>
      </c>
      <c r="Q248" s="192"/>
    </row>
    <row r="249" spans="1:17" x14ac:dyDescent="0.25">
      <c r="A249" s="190">
        <f>'A) Base RI'!A251</f>
        <v>5803</v>
      </c>
      <c r="B249" s="35" t="str">
        <f>'A) Base RI'!B251</f>
        <v>Vulliens</v>
      </c>
      <c r="C249" s="34">
        <f>'D) Ecrêtage'!M249</f>
        <v>14215.08564102564</v>
      </c>
      <c r="D249" s="34">
        <v>125828</v>
      </c>
      <c r="E249" s="10">
        <v>14707</v>
      </c>
      <c r="F249" s="44">
        <v>54847</v>
      </c>
      <c r="G249" s="44">
        <f t="shared" si="36"/>
        <v>195382</v>
      </c>
      <c r="H249" s="10">
        <f t="shared" si="32"/>
        <v>113720.68512820512</v>
      </c>
      <c r="I249" s="34">
        <f t="shared" si="37"/>
        <v>81661.314871794879</v>
      </c>
      <c r="J249" s="2">
        <f t="shared" si="33"/>
        <v>-57845.005829205293</v>
      </c>
      <c r="K249" s="15">
        <v>34384</v>
      </c>
      <c r="L249" s="10">
        <f t="shared" si="34"/>
        <v>14215.08564102564</v>
      </c>
      <c r="M249" s="15">
        <f t="shared" si="38"/>
        <v>20168.914358974362</v>
      </c>
      <c r="N249" s="2">
        <f t="shared" si="35"/>
        <v>-14286.703202063825</v>
      </c>
      <c r="O249" s="199">
        <f t="shared" si="39"/>
        <v>-72131.709031269114</v>
      </c>
      <c r="P249" s="419">
        <f t="shared" si="40"/>
        <v>-5.0743070321780142</v>
      </c>
      <c r="Q249" s="192"/>
    </row>
    <row r="250" spans="1:17" x14ac:dyDescent="0.25">
      <c r="A250" s="190">
        <f>'A) Base RI'!A252</f>
        <v>5804</v>
      </c>
      <c r="B250" s="35" t="str">
        <f>'A) Base RI'!B252</f>
        <v>Jorat-Menthue</v>
      </c>
      <c r="C250" s="34">
        <f>'D) Ecrêtage'!M250</f>
        <v>48554.511111111118</v>
      </c>
      <c r="D250" s="34">
        <v>1446353</v>
      </c>
      <c r="E250" s="10">
        <v>48323</v>
      </c>
      <c r="F250" s="44">
        <v>149317</v>
      </c>
      <c r="G250" s="44">
        <f t="shared" si="36"/>
        <v>1643993</v>
      </c>
      <c r="H250" s="10">
        <f t="shared" si="32"/>
        <v>388436.08888888895</v>
      </c>
      <c r="I250" s="34">
        <f t="shared" si="37"/>
        <v>1255556.9111111111</v>
      </c>
      <c r="J250" s="2">
        <f t="shared" si="33"/>
        <v>-889377.01965911151</v>
      </c>
      <c r="K250" s="15">
        <v>142172</v>
      </c>
      <c r="L250" s="10">
        <f t="shared" si="34"/>
        <v>48554.511111111118</v>
      </c>
      <c r="M250" s="15">
        <f t="shared" si="38"/>
        <v>93617.488888888882</v>
      </c>
      <c r="N250" s="2">
        <f t="shared" si="35"/>
        <v>-66314.19294429876</v>
      </c>
      <c r="O250" s="199">
        <f t="shared" si="39"/>
        <v>-955691.21260341024</v>
      </c>
      <c r="P250" s="419">
        <f t="shared" si="40"/>
        <v>-19.68285110350358</v>
      </c>
      <c r="Q250" s="192"/>
    </row>
    <row r="251" spans="1:17" x14ac:dyDescent="0.25">
      <c r="A251" s="190">
        <f>'A) Base RI'!A253</f>
        <v>5805</v>
      </c>
      <c r="B251" s="35" t="str">
        <f>'A) Base RI'!B253</f>
        <v>Oron</v>
      </c>
      <c r="C251" s="34">
        <f>'D) Ecrêtage'!M251</f>
        <v>147104.2625559947</v>
      </c>
      <c r="D251" s="34">
        <v>1372019</v>
      </c>
      <c r="E251" s="10">
        <v>421555</v>
      </c>
      <c r="F251" s="44">
        <v>613913</v>
      </c>
      <c r="G251" s="44">
        <f>D251+E251+F251</f>
        <v>2407487</v>
      </c>
      <c r="H251" s="10">
        <f t="shared" si="32"/>
        <v>1176834.1004479576</v>
      </c>
      <c r="I251" s="34">
        <f>IF(G251&gt;H251,G251-H251,0)</f>
        <v>1230652.8995520424</v>
      </c>
      <c r="J251" s="2">
        <f t="shared" si="33"/>
        <v>-871736.1979791451</v>
      </c>
      <c r="K251" s="15">
        <v>67204</v>
      </c>
      <c r="L251" s="10">
        <f t="shared" si="34"/>
        <v>147104.2625559947</v>
      </c>
      <c r="M251" s="15">
        <f>IF(K251&gt;L251,K251-L251,0)</f>
        <v>0</v>
      </c>
      <c r="N251" s="2">
        <f t="shared" si="35"/>
        <v>0</v>
      </c>
      <c r="O251" s="199">
        <f>N251+J251</f>
        <v>-871736.1979791451</v>
      </c>
      <c r="P251" s="419">
        <f>O251/C251</f>
        <v>-5.9259751065834809</v>
      </c>
      <c r="Q251" s="192"/>
    </row>
    <row r="252" spans="1:17" x14ac:dyDescent="0.25">
      <c r="A252" s="190">
        <f>'A) Base RI'!A254</f>
        <v>5812</v>
      </c>
      <c r="B252" s="35" t="str">
        <f>'A) Base RI'!B254</f>
        <v>Champtauroz</v>
      </c>
      <c r="C252" s="34">
        <f>'D) Ecrêtage'!M252</f>
        <v>2326.5760389610391</v>
      </c>
      <c r="D252" s="34">
        <v>45553</v>
      </c>
      <c r="E252" s="10">
        <v>4069</v>
      </c>
      <c r="F252" s="44">
        <v>22678</v>
      </c>
      <c r="G252" s="44">
        <f>D252+E252+F252</f>
        <v>72300</v>
      </c>
      <c r="H252" s="10">
        <f t="shared" si="32"/>
        <v>18612.608311688313</v>
      </c>
      <c r="I252" s="34">
        <f>IF(G252&gt;H252,G252-H252,0)</f>
        <v>53687.391688311691</v>
      </c>
      <c r="J252" s="2">
        <f t="shared" si="33"/>
        <v>-38029.604226197036</v>
      </c>
      <c r="K252" s="15">
        <v>7341</v>
      </c>
      <c r="L252" s="10">
        <f t="shared" si="34"/>
        <v>2326.5760389610391</v>
      </c>
      <c r="M252" s="15">
        <f>IF(K252&gt;L252,K252-L252,0)</f>
        <v>5014.4239610389614</v>
      </c>
      <c r="N252" s="2">
        <f t="shared" si="35"/>
        <v>-3551.9803190995331</v>
      </c>
      <c r="O252" s="199">
        <f>N252+J252</f>
        <v>-41581.584545296566</v>
      </c>
      <c r="P252" s="419">
        <f>O252/C252</f>
        <v>-17.872437371041322</v>
      </c>
      <c r="Q252" s="192"/>
    </row>
    <row r="253" spans="1:17" x14ac:dyDescent="0.25">
      <c r="A253" s="190">
        <f>'A) Base RI'!A255</f>
        <v>5813</v>
      </c>
      <c r="B253" s="35" t="str">
        <f>'A) Base RI'!B255</f>
        <v>Chevroux</v>
      </c>
      <c r="C253" s="34">
        <f>'D) Ecrêtage'!M253</f>
        <v>11503.329976190478</v>
      </c>
      <c r="D253" s="34">
        <v>95264</v>
      </c>
      <c r="E253" s="10">
        <v>19735</v>
      </c>
      <c r="F253" s="44">
        <v>27821</v>
      </c>
      <c r="G253" s="44">
        <f t="shared" si="36"/>
        <v>142820</v>
      </c>
      <c r="H253" s="10">
        <f t="shared" si="32"/>
        <v>92026.639809523826</v>
      </c>
      <c r="I253" s="34">
        <f t="shared" si="37"/>
        <v>50793.360190476174</v>
      </c>
      <c r="J253" s="2">
        <f t="shared" si="33"/>
        <v>-35979.60945051875</v>
      </c>
      <c r="K253" s="15">
        <v>6777</v>
      </c>
      <c r="L253" s="10">
        <f t="shared" si="34"/>
        <v>11503.329976190478</v>
      </c>
      <c r="M253" s="15">
        <f t="shared" si="38"/>
        <v>0</v>
      </c>
      <c r="N253" s="2">
        <f t="shared" si="35"/>
        <v>0</v>
      </c>
      <c r="O253" s="199">
        <f t="shared" si="39"/>
        <v>-35979.60945051875</v>
      </c>
      <c r="P253" s="419">
        <f t="shared" si="40"/>
        <v>-3.1277560084765996</v>
      </c>
      <c r="Q253" s="192"/>
    </row>
    <row r="254" spans="1:17" x14ac:dyDescent="0.25">
      <c r="A254" s="190">
        <f>'A) Base RI'!A256</f>
        <v>5816</v>
      </c>
      <c r="B254" s="35" t="str">
        <f>'A) Base RI'!B256</f>
        <v>Corcelles-près-Payerne</v>
      </c>
      <c r="C254" s="34">
        <f>'D) Ecrêtage'!M254</f>
        <v>56641.066845238092</v>
      </c>
      <c r="D254" s="34">
        <v>547247</v>
      </c>
      <c r="E254" s="10">
        <v>170502</v>
      </c>
      <c r="F254" s="44">
        <v>177289</v>
      </c>
      <c r="G254" s="44">
        <f t="shared" si="36"/>
        <v>895038</v>
      </c>
      <c r="H254" s="10">
        <f t="shared" si="32"/>
        <v>453128.53476190474</v>
      </c>
      <c r="I254" s="34">
        <f t="shared" si="37"/>
        <v>441909.46523809526</v>
      </c>
      <c r="J254" s="2">
        <f t="shared" si="33"/>
        <v>-313027.7247287822</v>
      </c>
      <c r="K254" s="15">
        <v>37381</v>
      </c>
      <c r="L254" s="10">
        <f t="shared" si="34"/>
        <v>56641.066845238092</v>
      </c>
      <c r="M254" s="15">
        <f t="shared" si="38"/>
        <v>0</v>
      </c>
      <c r="N254" s="2">
        <f t="shared" si="35"/>
        <v>0</v>
      </c>
      <c r="O254" s="199">
        <f t="shared" si="39"/>
        <v>-313027.7247287822</v>
      </c>
      <c r="P254" s="419">
        <f t="shared" si="40"/>
        <v>-5.5265153388455106</v>
      </c>
      <c r="Q254" s="192"/>
    </row>
    <row r="255" spans="1:17" x14ac:dyDescent="0.25">
      <c r="A255" s="190">
        <f>'A) Base RI'!A257</f>
        <v>5817</v>
      </c>
      <c r="B255" s="35" t="str">
        <f>'A) Base RI'!B257</f>
        <v>Grandcour</v>
      </c>
      <c r="C255" s="34">
        <f>'D) Ecrêtage'!M255</f>
        <v>20990.550314465407</v>
      </c>
      <c r="D255" s="34">
        <v>175574</v>
      </c>
      <c r="E255" s="10">
        <v>26191</v>
      </c>
      <c r="F255" s="44">
        <v>67231</v>
      </c>
      <c r="G255" s="44">
        <f t="shared" si="36"/>
        <v>268996</v>
      </c>
      <c r="H255" s="10">
        <f t="shared" si="32"/>
        <v>167924.40251572325</v>
      </c>
      <c r="I255" s="34">
        <f t="shared" si="37"/>
        <v>101071.59748427675</v>
      </c>
      <c r="J255" s="2">
        <f t="shared" si="33"/>
        <v>-71594.33025079059</v>
      </c>
      <c r="K255" s="15">
        <v>63185</v>
      </c>
      <c r="L255" s="10">
        <f t="shared" si="34"/>
        <v>20990.550314465407</v>
      </c>
      <c r="M255" s="15">
        <f t="shared" si="38"/>
        <v>42194.449685534593</v>
      </c>
      <c r="N255" s="2">
        <f t="shared" si="35"/>
        <v>-29888.548719203493</v>
      </c>
      <c r="O255" s="199">
        <f t="shared" si="39"/>
        <v>-101482.87896999408</v>
      </c>
      <c r="P255" s="419">
        <f t="shared" si="40"/>
        <v>-4.8346935859065248</v>
      </c>
      <c r="Q255" s="192"/>
    </row>
    <row r="256" spans="1:17" x14ac:dyDescent="0.25">
      <c r="A256" s="190">
        <f>'A) Base RI'!A258</f>
        <v>5819</v>
      </c>
      <c r="B256" s="35" t="str">
        <f>'A) Base RI'!B258</f>
        <v>Henniez</v>
      </c>
      <c r="C256" s="34">
        <f>'D) Ecrêtage'!M256</f>
        <v>14949.743880597016</v>
      </c>
      <c r="D256" s="34">
        <v>90504</v>
      </c>
      <c r="E256" s="10">
        <v>20745</v>
      </c>
      <c r="F256" s="44">
        <v>50080</v>
      </c>
      <c r="G256" s="44">
        <f t="shared" si="36"/>
        <v>161329</v>
      </c>
      <c r="H256" s="10">
        <f t="shared" si="32"/>
        <v>119597.95104477613</v>
      </c>
      <c r="I256" s="34">
        <f t="shared" si="37"/>
        <v>41731.048955223872</v>
      </c>
      <c r="J256" s="2">
        <f t="shared" si="33"/>
        <v>-29560.297600688376</v>
      </c>
      <c r="K256" s="15">
        <v>1323</v>
      </c>
      <c r="L256" s="10">
        <f t="shared" si="34"/>
        <v>14949.743880597016</v>
      </c>
      <c r="M256" s="15">
        <f t="shared" si="38"/>
        <v>0</v>
      </c>
      <c r="N256" s="2">
        <f t="shared" si="35"/>
        <v>0</v>
      </c>
      <c r="O256" s="199">
        <f t="shared" si="39"/>
        <v>-29560.297600688376</v>
      </c>
      <c r="P256" s="419">
        <f t="shared" si="40"/>
        <v>-1.9773113062528191</v>
      </c>
      <c r="Q256" s="192"/>
    </row>
    <row r="257" spans="1:17" x14ac:dyDescent="0.25">
      <c r="A257" s="190">
        <f>'A) Base RI'!A259</f>
        <v>5821</v>
      </c>
      <c r="B257" s="35" t="str">
        <f>'A) Base RI'!B259</f>
        <v>Missy</v>
      </c>
      <c r="C257" s="34">
        <f>'D) Ecrêtage'!M257</f>
        <v>7776.2584722222218</v>
      </c>
      <c r="D257" s="34">
        <v>110816</v>
      </c>
      <c r="E257" s="10">
        <v>10709</v>
      </c>
      <c r="F257" s="44">
        <v>16191</v>
      </c>
      <c r="G257" s="44">
        <f t="shared" si="36"/>
        <v>137716</v>
      </c>
      <c r="H257" s="10">
        <f t="shared" si="32"/>
        <v>62210.067777777775</v>
      </c>
      <c r="I257" s="34">
        <f t="shared" si="37"/>
        <v>75505.932222222225</v>
      </c>
      <c r="J257" s="2">
        <f t="shared" si="33"/>
        <v>-53484.824440936965</v>
      </c>
      <c r="K257" s="15">
        <v>411</v>
      </c>
      <c r="L257" s="10">
        <f t="shared" si="34"/>
        <v>7776.2584722222218</v>
      </c>
      <c r="M257" s="15">
        <f t="shared" si="38"/>
        <v>0</v>
      </c>
      <c r="N257" s="2">
        <f t="shared" si="35"/>
        <v>0</v>
      </c>
      <c r="O257" s="199">
        <f t="shared" si="39"/>
        <v>-53484.824440936965</v>
      </c>
      <c r="P257" s="419">
        <f t="shared" si="40"/>
        <v>-6.8779638218034442</v>
      </c>
      <c r="Q257" s="192"/>
    </row>
    <row r="258" spans="1:17" x14ac:dyDescent="0.25">
      <c r="A258" s="190">
        <f>'A) Base RI'!A260</f>
        <v>5822</v>
      </c>
      <c r="B258" s="35" t="str">
        <f>'A) Base RI'!B260</f>
        <v>Payerne</v>
      </c>
      <c r="C258" s="34">
        <f>'D) Ecrêtage'!M258</f>
        <v>231493.6713333333</v>
      </c>
      <c r="D258" s="34">
        <v>2259772</v>
      </c>
      <c r="E258" s="10">
        <v>711532</v>
      </c>
      <c r="F258" s="44">
        <v>652870</v>
      </c>
      <c r="G258" s="44">
        <f t="shared" si="36"/>
        <v>3624174</v>
      </c>
      <c r="H258" s="10">
        <f t="shared" si="32"/>
        <v>1851949.3706666664</v>
      </c>
      <c r="I258" s="34">
        <f t="shared" si="37"/>
        <v>1772224.6293333336</v>
      </c>
      <c r="J258" s="2">
        <f t="shared" si="33"/>
        <v>-1255359.9482863024</v>
      </c>
      <c r="K258" s="15">
        <v>150321</v>
      </c>
      <c r="L258" s="10">
        <f t="shared" si="34"/>
        <v>231493.6713333333</v>
      </c>
      <c r="M258" s="15">
        <f t="shared" si="38"/>
        <v>0</v>
      </c>
      <c r="N258" s="2">
        <f t="shared" si="35"/>
        <v>0</v>
      </c>
      <c r="O258" s="199">
        <f t="shared" si="39"/>
        <v>-1255359.9482863024</v>
      </c>
      <c r="P258" s="419">
        <f t="shared" si="40"/>
        <v>-5.4228694074261732</v>
      </c>
      <c r="Q258" s="192"/>
    </row>
    <row r="259" spans="1:17" x14ac:dyDescent="0.25">
      <c r="A259" s="190">
        <f>'A) Base RI'!A261</f>
        <v>5827</v>
      </c>
      <c r="B259" s="35" t="str">
        <f>'A) Base RI'!B261</f>
        <v>Trey</v>
      </c>
      <c r="C259" s="34">
        <f>'D) Ecrêtage'!M259</f>
        <v>6204.9173749999991</v>
      </c>
      <c r="D259" s="34">
        <v>81850</v>
      </c>
      <c r="E259" s="10">
        <v>7802</v>
      </c>
      <c r="F259" s="44">
        <v>18651</v>
      </c>
      <c r="G259" s="44">
        <f t="shared" si="36"/>
        <v>108303</v>
      </c>
      <c r="H259" s="10">
        <f t="shared" si="32"/>
        <v>49639.338999999993</v>
      </c>
      <c r="I259" s="34">
        <f t="shared" si="37"/>
        <v>58663.661000000007</v>
      </c>
      <c r="J259" s="2">
        <f t="shared" si="33"/>
        <v>-41554.55759970349</v>
      </c>
      <c r="K259" s="15">
        <v>13781</v>
      </c>
      <c r="L259" s="10">
        <f t="shared" si="34"/>
        <v>6204.9173749999991</v>
      </c>
      <c r="M259" s="15">
        <f t="shared" si="38"/>
        <v>7576.0826250000009</v>
      </c>
      <c r="N259" s="2">
        <f t="shared" si="35"/>
        <v>-5366.5379291734844</v>
      </c>
      <c r="O259" s="199">
        <f t="shared" si="39"/>
        <v>-46921.095528876976</v>
      </c>
      <c r="P259" s="419">
        <f t="shared" si="40"/>
        <v>-7.5619210850292724</v>
      </c>
      <c r="Q259" s="192"/>
    </row>
    <row r="260" spans="1:17" x14ac:dyDescent="0.25">
      <c r="A260" s="190">
        <f>'A) Base RI'!A262</f>
        <v>5828</v>
      </c>
      <c r="B260" s="35" t="str">
        <f>'A) Base RI'!B262</f>
        <v>Treytorrens (Payerne)</v>
      </c>
      <c r="C260" s="34">
        <f>'D) Ecrêtage'!M260</f>
        <v>2352.5354761904764</v>
      </c>
      <c r="D260" s="34">
        <v>54866</v>
      </c>
      <c r="E260" s="10">
        <v>3794</v>
      </c>
      <c r="F260" s="44">
        <v>20320</v>
      </c>
      <c r="G260" s="44">
        <f t="shared" si="36"/>
        <v>78980</v>
      </c>
      <c r="H260" s="10">
        <f t="shared" si="32"/>
        <v>18820.283809523811</v>
      </c>
      <c r="I260" s="34">
        <f t="shared" si="37"/>
        <v>60159.716190476189</v>
      </c>
      <c r="J260" s="2">
        <f t="shared" si="33"/>
        <v>-42614.292204145888</v>
      </c>
      <c r="K260" s="15">
        <v>5866</v>
      </c>
      <c r="L260" s="10">
        <f t="shared" si="34"/>
        <v>2352.5354761904764</v>
      </c>
      <c r="M260" s="15">
        <f t="shared" si="38"/>
        <v>3513.4645238095236</v>
      </c>
      <c r="N260" s="2">
        <f t="shared" si="35"/>
        <v>-2488.7717786511416</v>
      </c>
      <c r="O260" s="199">
        <f t="shared" si="39"/>
        <v>-45103.06398279703</v>
      </c>
      <c r="P260" s="419">
        <f t="shared" si="40"/>
        <v>-19.172107897745128</v>
      </c>
      <c r="Q260" s="192"/>
    </row>
    <row r="261" spans="1:17" x14ac:dyDescent="0.25">
      <c r="A261" s="190">
        <f>'A) Base RI'!A263</f>
        <v>5830</v>
      </c>
      <c r="B261" s="35" t="str">
        <f>'A) Base RI'!B263</f>
        <v>Villarzel</v>
      </c>
      <c r="C261" s="34">
        <f>'D) Ecrêtage'!M261</f>
        <v>9737.3892405063307</v>
      </c>
      <c r="D261" s="34">
        <v>134514</v>
      </c>
      <c r="E261" s="10">
        <v>12697</v>
      </c>
      <c r="F261" s="44">
        <v>67580</v>
      </c>
      <c r="G261" s="44">
        <f t="shared" si="36"/>
        <v>214791</v>
      </c>
      <c r="H261" s="10">
        <f t="shared" si="32"/>
        <v>77899.113924050645</v>
      </c>
      <c r="I261" s="34">
        <f t="shared" si="37"/>
        <v>136891.88607594935</v>
      </c>
      <c r="J261" s="2">
        <f t="shared" si="33"/>
        <v>-96967.725298887919</v>
      </c>
      <c r="K261" s="15">
        <v>4681</v>
      </c>
      <c r="L261" s="10">
        <f t="shared" si="34"/>
        <v>9737.3892405063307</v>
      </c>
      <c r="M261" s="15">
        <f t="shared" si="38"/>
        <v>0</v>
      </c>
      <c r="N261" s="2">
        <f t="shared" si="35"/>
        <v>0</v>
      </c>
      <c r="O261" s="199">
        <f t="shared" si="39"/>
        <v>-96967.725298887919</v>
      </c>
      <c r="P261" s="419">
        <f t="shared" si="40"/>
        <v>-9.9582878843452427</v>
      </c>
      <c r="Q261" s="192"/>
    </row>
    <row r="262" spans="1:17" x14ac:dyDescent="0.25">
      <c r="A262" s="190">
        <f>'A) Base RI'!A264</f>
        <v>5831</v>
      </c>
      <c r="B262" s="35" t="str">
        <f>'A) Base RI'!B264</f>
        <v>Valbroye</v>
      </c>
      <c r="C262" s="34">
        <f>'D) Ecrêtage'!M262</f>
        <v>75142.69210045661</v>
      </c>
      <c r="D262" s="34">
        <v>1003966</v>
      </c>
      <c r="E262" s="10">
        <v>181134</v>
      </c>
      <c r="F262" s="44">
        <v>452154</v>
      </c>
      <c r="G262" s="44">
        <f t="shared" si="36"/>
        <v>1637254</v>
      </c>
      <c r="H262" s="10">
        <f t="shared" ref="H262:H322" si="41">C262*I$4</f>
        <v>601141.53680365288</v>
      </c>
      <c r="I262" s="34">
        <f>IF(G262&gt;H262,G262-H262,0)</f>
        <v>1036112.4631963471</v>
      </c>
      <c r="J262" s="2">
        <f t="shared" ref="J262:J322" si="42">-I262*J$4</f>
        <v>-733932.97141246032</v>
      </c>
      <c r="K262" s="15">
        <v>105468</v>
      </c>
      <c r="L262" s="10">
        <f t="shared" ref="L262:L322" si="43">C262*M$4</f>
        <v>75142.69210045661</v>
      </c>
      <c r="M262" s="15">
        <f>IF(K262&gt;L262,K262-L262,0)</f>
        <v>30325.30789954339</v>
      </c>
      <c r="N262" s="2">
        <f t="shared" ref="N262:N322" si="44">-M262*N$4</f>
        <v>-21481.011112489534</v>
      </c>
      <c r="O262" s="199">
        <f>N262+J262</f>
        <v>-755413.98252494982</v>
      </c>
      <c r="P262" s="419">
        <f>O262/C262</f>
        <v>-10.053059870613279</v>
      </c>
      <c r="Q262" s="192"/>
    </row>
    <row r="263" spans="1:17" x14ac:dyDescent="0.25">
      <c r="A263" s="190">
        <f>'A) Base RI'!A265</f>
        <v>5841</v>
      </c>
      <c r="B263" s="35" t="str">
        <f>'A) Base RI'!B265</f>
        <v>Château-d'Oex</v>
      </c>
      <c r="C263" s="34">
        <f>'D) Ecrêtage'!M263</f>
        <v>106457.35927710844</v>
      </c>
      <c r="D263" s="34">
        <v>2865731</v>
      </c>
      <c r="E263" s="10">
        <v>255807</v>
      </c>
      <c r="F263" s="44">
        <v>378794</v>
      </c>
      <c r="G263" s="44">
        <f t="shared" si="36"/>
        <v>3500332</v>
      </c>
      <c r="H263" s="10">
        <f t="shared" si="41"/>
        <v>851658.87421686749</v>
      </c>
      <c r="I263" s="34">
        <f>IF(G263&gt;H263,G263-H263,0)</f>
        <v>2648673.1257831324</v>
      </c>
      <c r="J263" s="2">
        <f t="shared" si="42"/>
        <v>-1876194.531537025</v>
      </c>
      <c r="K263" s="15">
        <v>23738</v>
      </c>
      <c r="L263" s="10">
        <f t="shared" si="43"/>
        <v>106457.35927710844</v>
      </c>
      <c r="M263" s="15">
        <f>IF(K263&gt;L263,K263-L263,0)</f>
        <v>0</v>
      </c>
      <c r="N263" s="2">
        <f t="shared" si="44"/>
        <v>0</v>
      </c>
      <c r="O263" s="199">
        <f>N263+J263</f>
        <v>-1876194.531537025</v>
      </c>
      <c r="P263" s="419">
        <f>O263/C263</f>
        <v>-17.623906362859255</v>
      </c>
      <c r="Q263" s="192"/>
    </row>
    <row r="264" spans="1:17" x14ac:dyDescent="0.25">
      <c r="A264" s="190">
        <f>'A) Base RI'!A266</f>
        <v>5842</v>
      </c>
      <c r="B264" s="35" t="str">
        <f>'A) Base RI'!B266</f>
        <v>Rossinière</v>
      </c>
      <c r="C264" s="34">
        <f>'D) Ecrêtage'!M264</f>
        <v>13519.399629629628</v>
      </c>
      <c r="D264" s="34">
        <v>270555</v>
      </c>
      <c r="E264" s="10">
        <v>42409</v>
      </c>
      <c r="F264" s="44">
        <v>70000</v>
      </c>
      <c r="G264" s="44">
        <f t="shared" si="36"/>
        <v>382964</v>
      </c>
      <c r="H264" s="10">
        <f t="shared" si="41"/>
        <v>108155.19703703703</v>
      </c>
      <c r="I264" s="34">
        <f t="shared" si="37"/>
        <v>274808.802962963</v>
      </c>
      <c r="J264" s="2">
        <f t="shared" si="42"/>
        <v>-194661.53385193623</v>
      </c>
      <c r="K264" s="15">
        <v>2745</v>
      </c>
      <c r="L264" s="10">
        <f t="shared" si="43"/>
        <v>13519.399629629628</v>
      </c>
      <c r="M264" s="15">
        <f t="shared" si="38"/>
        <v>0</v>
      </c>
      <c r="N264" s="2">
        <f t="shared" si="44"/>
        <v>0</v>
      </c>
      <c r="O264" s="199">
        <f t="shared" si="39"/>
        <v>-194661.53385193623</v>
      </c>
      <c r="P264" s="419">
        <f t="shared" si="40"/>
        <v>-14.39868183386699</v>
      </c>
      <c r="Q264" s="192"/>
    </row>
    <row r="265" spans="1:17" x14ac:dyDescent="0.25">
      <c r="A265" s="190">
        <f>'A) Base RI'!A267</f>
        <v>5843</v>
      </c>
      <c r="B265" s="35" t="str">
        <f>'A) Base RI'!B267</f>
        <v>Rougemont</v>
      </c>
      <c r="C265" s="34">
        <f>'D) Ecrêtage'!M265</f>
        <v>71417.395342027579</v>
      </c>
      <c r="D265" s="34">
        <v>1823994</v>
      </c>
      <c r="E265" s="10">
        <v>66128</v>
      </c>
      <c r="F265" s="44">
        <v>88979</v>
      </c>
      <c r="G265" s="44">
        <f t="shared" si="36"/>
        <v>1979101</v>
      </c>
      <c r="H265" s="10">
        <f t="shared" si="41"/>
        <v>571339.16273622063</v>
      </c>
      <c r="I265" s="34">
        <f t="shared" si="37"/>
        <v>1407761.8372637792</v>
      </c>
      <c r="J265" s="2">
        <f t="shared" si="42"/>
        <v>-997191.77692033432</v>
      </c>
      <c r="K265" s="15">
        <v>0</v>
      </c>
      <c r="L265" s="10">
        <f t="shared" si="43"/>
        <v>71417.395342027579</v>
      </c>
      <c r="M265" s="15">
        <f t="shared" si="38"/>
        <v>0</v>
      </c>
      <c r="N265" s="2">
        <f t="shared" si="44"/>
        <v>0</v>
      </c>
      <c r="O265" s="199">
        <f t="shared" si="39"/>
        <v>-997191.77692033432</v>
      </c>
      <c r="P265" s="419">
        <f t="shared" si="40"/>
        <v>-13.962869580228288</v>
      </c>
      <c r="Q265" s="192"/>
    </row>
    <row r="266" spans="1:17" x14ac:dyDescent="0.25">
      <c r="A266" s="190">
        <f>'A) Base RI'!A268</f>
        <v>5851</v>
      </c>
      <c r="B266" s="35" t="str">
        <f>'A) Base RI'!B268</f>
        <v>Allaman</v>
      </c>
      <c r="C266" s="34">
        <f>'D) Ecrêtage'!M266</f>
        <v>25939.28319870276</v>
      </c>
      <c r="D266" s="34">
        <v>136210</v>
      </c>
      <c r="E266" s="10">
        <v>23992</v>
      </c>
      <c r="F266" s="44">
        <v>43773</v>
      </c>
      <c r="G266" s="44">
        <f t="shared" si="36"/>
        <v>203975</v>
      </c>
      <c r="H266" s="10">
        <f t="shared" si="41"/>
        <v>207514.26558962208</v>
      </c>
      <c r="I266" s="34">
        <f t="shared" si="37"/>
        <v>0</v>
      </c>
      <c r="J266" s="2">
        <f t="shared" si="42"/>
        <v>0</v>
      </c>
      <c r="K266" s="15">
        <v>2351</v>
      </c>
      <c r="L266" s="10">
        <f t="shared" si="43"/>
        <v>25939.28319870276</v>
      </c>
      <c r="M266" s="15">
        <f t="shared" si="38"/>
        <v>0</v>
      </c>
      <c r="N266" s="2">
        <f t="shared" si="44"/>
        <v>0</v>
      </c>
      <c r="O266" s="199">
        <f t="shared" si="39"/>
        <v>0</v>
      </c>
      <c r="P266" s="419">
        <f t="shared" si="40"/>
        <v>0</v>
      </c>
      <c r="Q266" s="192"/>
    </row>
    <row r="267" spans="1:17" x14ac:dyDescent="0.25">
      <c r="A267" s="190">
        <f>'A) Base RI'!A269</f>
        <v>5852</v>
      </c>
      <c r="B267" s="35" t="str">
        <f>'A) Base RI'!B269</f>
        <v>Bursinel</v>
      </c>
      <c r="C267" s="34">
        <f>'D) Ecrêtage'!M267</f>
        <v>28943.315125070134</v>
      </c>
      <c r="D267" s="34">
        <v>234658</v>
      </c>
      <c r="E267" s="10">
        <v>11648</v>
      </c>
      <c r="F267" s="44">
        <v>35988</v>
      </c>
      <c r="G267" s="44">
        <f t="shared" si="36"/>
        <v>282294</v>
      </c>
      <c r="H267" s="10">
        <f t="shared" si="41"/>
        <v>231546.52100056107</v>
      </c>
      <c r="I267" s="34">
        <f t="shared" si="37"/>
        <v>50747.478999438928</v>
      </c>
      <c r="J267" s="2">
        <f t="shared" si="42"/>
        <v>-35947.109388926954</v>
      </c>
      <c r="K267" s="15">
        <v>1422</v>
      </c>
      <c r="L267" s="10">
        <f t="shared" si="43"/>
        <v>28943.315125070134</v>
      </c>
      <c r="M267" s="15">
        <f t="shared" si="38"/>
        <v>0</v>
      </c>
      <c r="N267" s="2">
        <f t="shared" si="44"/>
        <v>0</v>
      </c>
      <c r="O267" s="199">
        <f t="shared" si="39"/>
        <v>-35947.109388926954</v>
      </c>
      <c r="P267" s="419">
        <f t="shared" si="40"/>
        <v>-1.2419831395813492</v>
      </c>
      <c r="Q267" s="192"/>
    </row>
    <row r="268" spans="1:17" x14ac:dyDescent="0.25">
      <c r="A268" s="190">
        <f>'A) Base RI'!A270</f>
        <v>5853</v>
      </c>
      <c r="B268" s="35" t="str">
        <f>'A) Base RI'!B270</f>
        <v>Bursins</v>
      </c>
      <c r="C268" s="34">
        <f>'D) Ecrêtage'!M268</f>
        <v>40543.223380281692</v>
      </c>
      <c r="D268" s="34">
        <v>168602</v>
      </c>
      <c r="E268" s="10">
        <v>32636</v>
      </c>
      <c r="F268" s="44">
        <v>60599</v>
      </c>
      <c r="G268" s="44">
        <f t="shared" si="36"/>
        <v>261837</v>
      </c>
      <c r="H268" s="10">
        <f t="shared" si="41"/>
        <v>324345.78704225353</v>
      </c>
      <c r="I268" s="34">
        <f t="shared" si="37"/>
        <v>0</v>
      </c>
      <c r="J268" s="2">
        <f t="shared" si="42"/>
        <v>0</v>
      </c>
      <c r="K268" s="15">
        <v>86108</v>
      </c>
      <c r="L268" s="10">
        <f t="shared" si="43"/>
        <v>40543.223380281692</v>
      </c>
      <c r="M268" s="15">
        <f t="shared" si="38"/>
        <v>45564.776619718308</v>
      </c>
      <c r="N268" s="2">
        <f t="shared" si="44"/>
        <v>-32275.928612121686</v>
      </c>
      <c r="O268" s="199">
        <f t="shared" si="39"/>
        <v>-32275.928612121686</v>
      </c>
      <c r="P268" s="419">
        <f t="shared" si="40"/>
        <v>-0.79608689001820154</v>
      </c>
      <c r="Q268" s="192"/>
    </row>
    <row r="269" spans="1:17" x14ac:dyDescent="0.25">
      <c r="A269" s="190">
        <f>'A) Base RI'!A271</f>
        <v>5854</v>
      </c>
      <c r="B269" s="35" t="str">
        <f>'A) Base RI'!B271</f>
        <v>Burtigny</v>
      </c>
      <c r="C269" s="34">
        <f>'D) Ecrêtage'!M269</f>
        <v>10577.787833333332</v>
      </c>
      <c r="D269" s="34">
        <v>58641</v>
      </c>
      <c r="E269" s="10">
        <v>9384</v>
      </c>
      <c r="F269" s="44">
        <v>41128</v>
      </c>
      <c r="G269" s="44">
        <f t="shared" si="36"/>
        <v>109153</v>
      </c>
      <c r="H269" s="10">
        <f t="shared" si="41"/>
        <v>84622.302666666656</v>
      </c>
      <c r="I269" s="34">
        <f t="shared" si="37"/>
        <v>24530.697333333344</v>
      </c>
      <c r="J269" s="2">
        <f t="shared" si="42"/>
        <v>-17376.383572428138</v>
      </c>
      <c r="K269" s="15">
        <v>25534</v>
      </c>
      <c r="L269" s="10">
        <f t="shared" si="43"/>
        <v>10577.787833333332</v>
      </c>
      <c r="M269" s="15">
        <f t="shared" si="38"/>
        <v>14956.212166666668</v>
      </c>
      <c r="N269" s="2">
        <f t="shared" si="44"/>
        <v>-10594.271979601412</v>
      </c>
      <c r="O269" s="199">
        <f t="shared" si="39"/>
        <v>-27970.655552029551</v>
      </c>
      <c r="P269" s="419">
        <f t="shared" si="40"/>
        <v>-2.6442821497975992</v>
      </c>
      <c r="Q269" s="192"/>
    </row>
    <row r="270" spans="1:17" x14ac:dyDescent="0.25">
      <c r="A270" s="190">
        <f>'A) Base RI'!A272</f>
        <v>5855</v>
      </c>
      <c r="B270" s="35" t="str">
        <f>'A) Base RI'!B272</f>
        <v>Dully</v>
      </c>
      <c r="C270" s="34">
        <f>'D) Ecrêtage'!M270</f>
        <v>58067.398614193939</v>
      </c>
      <c r="D270" s="34">
        <v>169613</v>
      </c>
      <c r="E270" s="10">
        <v>27777</v>
      </c>
      <c r="F270" s="44">
        <v>45328</v>
      </c>
      <c r="G270" s="44">
        <f t="shared" si="36"/>
        <v>242718</v>
      </c>
      <c r="H270" s="10">
        <f t="shared" si="41"/>
        <v>464539.18891355151</v>
      </c>
      <c r="I270" s="34">
        <f t="shared" si="37"/>
        <v>0</v>
      </c>
      <c r="J270" s="2">
        <f t="shared" si="42"/>
        <v>0</v>
      </c>
      <c r="K270" s="15">
        <v>2850</v>
      </c>
      <c r="L270" s="10">
        <f t="shared" si="43"/>
        <v>58067.398614193939</v>
      </c>
      <c r="M270" s="15">
        <f t="shared" si="38"/>
        <v>0</v>
      </c>
      <c r="N270" s="2">
        <f t="shared" si="44"/>
        <v>0</v>
      </c>
      <c r="O270" s="199">
        <f t="shared" si="39"/>
        <v>0</v>
      </c>
      <c r="P270" s="419">
        <f t="shared" si="40"/>
        <v>0</v>
      </c>
      <c r="Q270" s="192"/>
    </row>
    <row r="271" spans="1:17" x14ac:dyDescent="0.25">
      <c r="A271" s="190">
        <f>'A) Base RI'!A273</f>
        <v>5856</v>
      </c>
      <c r="B271" s="35" t="str">
        <f>'A) Base RI'!B273</f>
        <v>Essertines-sur-Rolle</v>
      </c>
      <c r="C271" s="34">
        <f>'D) Ecrêtage'!M271</f>
        <v>31862.802285067875</v>
      </c>
      <c r="D271" s="34">
        <v>158691</v>
      </c>
      <c r="E271" s="10">
        <v>17093</v>
      </c>
      <c r="F271" s="44">
        <v>52957</v>
      </c>
      <c r="G271" s="44">
        <f t="shared" si="36"/>
        <v>228741</v>
      </c>
      <c r="H271" s="10">
        <f t="shared" si="41"/>
        <v>254902.418280543</v>
      </c>
      <c r="I271" s="34">
        <f t="shared" si="37"/>
        <v>0</v>
      </c>
      <c r="J271" s="2">
        <f t="shared" si="42"/>
        <v>0</v>
      </c>
      <c r="K271" s="15">
        <v>15845</v>
      </c>
      <c r="L271" s="10">
        <f t="shared" si="43"/>
        <v>31862.802285067875</v>
      </c>
      <c r="M271" s="15">
        <f t="shared" si="38"/>
        <v>0</v>
      </c>
      <c r="N271" s="2">
        <f t="shared" si="44"/>
        <v>0</v>
      </c>
      <c r="O271" s="199">
        <f t="shared" si="39"/>
        <v>0</v>
      </c>
      <c r="P271" s="419">
        <f t="shared" si="40"/>
        <v>0</v>
      </c>
      <c r="Q271" s="192"/>
    </row>
    <row r="272" spans="1:17" x14ac:dyDescent="0.25">
      <c r="A272" s="190">
        <f>'A) Base RI'!A274</f>
        <v>5857</v>
      </c>
      <c r="B272" s="35" t="str">
        <f>'A) Base RI'!B274</f>
        <v>Gilly</v>
      </c>
      <c r="C272" s="34">
        <f>'D) Ecrêtage'!M272</f>
        <v>62540.44560606061</v>
      </c>
      <c r="D272" s="34">
        <v>156652</v>
      </c>
      <c r="E272" s="10">
        <v>39498</v>
      </c>
      <c r="F272" s="44">
        <v>85953</v>
      </c>
      <c r="G272" s="44">
        <f t="shared" si="36"/>
        <v>282103</v>
      </c>
      <c r="H272" s="10">
        <f t="shared" si="41"/>
        <v>500323.56484848488</v>
      </c>
      <c r="I272" s="34">
        <f t="shared" si="37"/>
        <v>0</v>
      </c>
      <c r="J272" s="2">
        <f t="shared" si="42"/>
        <v>0</v>
      </c>
      <c r="K272" s="15">
        <v>50945</v>
      </c>
      <c r="L272" s="10">
        <f t="shared" si="43"/>
        <v>62540.44560606061</v>
      </c>
      <c r="M272" s="15">
        <f t="shared" si="38"/>
        <v>0</v>
      </c>
      <c r="N272" s="2">
        <f t="shared" si="44"/>
        <v>0</v>
      </c>
      <c r="O272" s="199">
        <f t="shared" si="39"/>
        <v>0</v>
      </c>
      <c r="P272" s="419">
        <f t="shared" si="40"/>
        <v>0</v>
      </c>
      <c r="Q272" s="192"/>
    </row>
    <row r="273" spans="1:17" x14ac:dyDescent="0.25">
      <c r="A273" s="190">
        <f>'A) Base RI'!A275</f>
        <v>5858</v>
      </c>
      <c r="B273" s="35" t="str">
        <f>'A) Base RI'!B275</f>
        <v>Luins</v>
      </c>
      <c r="C273" s="34">
        <f>'D) Ecrêtage'!M273</f>
        <v>35045.301944444444</v>
      </c>
      <c r="D273" s="34">
        <v>44945</v>
      </c>
      <c r="E273" s="10">
        <v>22284</v>
      </c>
      <c r="F273" s="44">
        <v>49531</v>
      </c>
      <c r="G273" s="44">
        <f t="shared" ref="G273:G322" si="45">D273+E273+F273</f>
        <v>116760</v>
      </c>
      <c r="H273" s="10">
        <f t="shared" si="41"/>
        <v>280362.41555555555</v>
      </c>
      <c r="I273" s="34">
        <f t="shared" ref="I273:I322" si="46">IF(G273&gt;H273,G273-H273,0)</f>
        <v>0</v>
      </c>
      <c r="J273" s="2">
        <f t="shared" si="42"/>
        <v>0</v>
      </c>
      <c r="K273" s="15">
        <v>5130</v>
      </c>
      <c r="L273" s="10">
        <f t="shared" si="43"/>
        <v>35045.301944444444</v>
      </c>
      <c r="M273" s="15">
        <f t="shared" ref="M273:M322" si="47">IF(K273&gt;L273,K273-L273,0)</f>
        <v>0</v>
      </c>
      <c r="N273" s="2">
        <f t="shared" si="44"/>
        <v>0</v>
      </c>
      <c r="O273" s="199">
        <f t="shared" ref="O273:O322" si="48">N273+J273</f>
        <v>0</v>
      </c>
      <c r="P273" s="419">
        <f t="shared" ref="P273:P322" si="49">O273/C273</f>
        <v>0</v>
      </c>
      <c r="Q273" s="192"/>
    </row>
    <row r="274" spans="1:17" x14ac:dyDescent="0.25">
      <c r="A274" s="190">
        <f>'A) Base RI'!A276</f>
        <v>5859</v>
      </c>
      <c r="B274" s="35" t="str">
        <f>'A) Base RI'!B276</f>
        <v>Mont-sur-Rolle</v>
      </c>
      <c r="C274" s="34">
        <f>'D) Ecrêtage'!M274</f>
        <v>130430.38093750003</v>
      </c>
      <c r="D274" s="34">
        <v>412916</v>
      </c>
      <c r="E274" s="10">
        <v>126686</v>
      </c>
      <c r="F274" s="44">
        <v>209483</v>
      </c>
      <c r="G274" s="44">
        <f t="shared" si="45"/>
        <v>749085</v>
      </c>
      <c r="H274" s="10">
        <f t="shared" si="41"/>
        <v>1043443.0475000002</v>
      </c>
      <c r="I274" s="34">
        <f t="shared" si="46"/>
        <v>0</v>
      </c>
      <c r="J274" s="2">
        <f t="shared" si="42"/>
        <v>0</v>
      </c>
      <c r="K274" s="15">
        <v>2268</v>
      </c>
      <c r="L274" s="10">
        <f t="shared" si="43"/>
        <v>130430.38093750003</v>
      </c>
      <c r="M274" s="15">
        <f t="shared" si="47"/>
        <v>0</v>
      </c>
      <c r="N274" s="2">
        <f t="shared" si="44"/>
        <v>0</v>
      </c>
      <c r="O274" s="199">
        <f t="shared" si="48"/>
        <v>0</v>
      </c>
      <c r="P274" s="419">
        <f t="shared" si="49"/>
        <v>0</v>
      </c>
      <c r="Q274" s="192"/>
    </row>
    <row r="275" spans="1:17" x14ac:dyDescent="0.25">
      <c r="A275" s="190">
        <f>'A) Base RI'!A277</f>
        <v>5860</v>
      </c>
      <c r="B275" s="35" t="str">
        <f>'A) Base RI'!B277</f>
        <v>Perroy</v>
      </c>
      <c r="C275" s="34">
        <f>'D) Ecrêtage'!M275</f>
        <v>88698.620322265895</v>
      </c>
      <c r="D275" s="34">
        <v>84115</v>
      </c>
      <c r="E275" s="10">
        <v>53624</v>
      </c>
      <c r="F275" s="44">
        <v>108905</v>
      </c>
      <c r="G275" s="44">
        <f t="shared" si="45"/>
        <v>246644</v>
      </c>
      <c r="H275" s="10">
        <f t="shared" si="41"/>
        <v>709588.96257812716</v>
      </c>
      <c r="I275" s="34">
        <f t="shared" si="46"/>
        <v>0</v>
      </c>
      <c r="J275" s="2">
        <f t="shared" si="42"/>
        <v>0</v>
      </c>
      <c r="K275" s="15">
        <v>3900</v>
      </c>
      <c r="L275" s="10">
        <f t="shared" si="43"/>
        <v>88698.620322265895</v>
      </c>
      <c r="M275" s="15">
        <f t="shared" si="47"/>
        <v>0</v>
      </c>
      <c r="N275" s="2">
        <f t="shared" si="44"/>
        <v>0</v>
      </c>
      <c r="O275" s="199">
        <f t="shared" si="48"/>
        <v>0</v>
      </c>
      <c r="P275" s="419">
        <f t="shared" si="49"/>
        <v>0</v>
      </c>
      <c r="Q275" s="192"/>
    </row>
    <row r="276" spans="1:17" x14ac:dyDescent="0.25">
      <c r="A276" s="190">
        <f>'A) Base RI'!A278</f>
        <v>5861</v>
      </c>
      <c r="B276" s="35" t="str">
        <f>'A) Base RI'!B278</f>
        <v>Rolle</v>
      </c>
      <c r="C276" s="34">
        <f>'D) Ecrêtage'!M276</f>
        <v>591803.10012437461</v>
      </c>
      <c r="D276" s="34">
        <v>2567356</v>
      </c>
      <c r="E276" s="10">
        <v>830763</v>
      </c>
      <c r="F276" s="44">
        <v>451443</v>
      </c>
      <c r="G276" s="44">
        <f t="shared" si="45"/>
        <v>3849562</v>
      </c>
      <c r="H276" s="10">
        <f t="shared" si="41"/>
        <v>4734424.8009949969</v>
      </c>
      <c r="I276" s="34">
        <f t="shared" si="46"/>
        <v>0</v>
      </c>
      <c r="J276" s="2">
        <f t="shared" si="42"/>
        <v>0</v>
      </c>
      <c r="K276" s="15">
        <v>60311</v>
      </c>
      <c r="L276" s="10">
        <f t="shared" si="43"/>
        <v>591803.10012437461</v>
      </c>
      <c r="M276" s="15">
        <f t="shared" si="47"/>
        <v>0</v>
      </c>
      <c r="N276" s="2">
        <f t="shared" si="44"/>
        <v>0</v>
      </c>
      <c r="O276" s="199">
        <f t="shared" si="48"/>
        <v>0</v>
      </c>
      <c r="P276" s="419">
        <f t="shared" si="49"/>
        <v>0</v>
      </c>
      <c r="Q276" s="192"/>
    </row>
    <row r="277" spans="1:17" x14ac:dyDescent="0.25">
      <c r="A277" s="190">
        <f>'A) Base RI'!A279</f>
        <v>5862</v>
      </c>
      <c r="B277" s="35" t="str">
        <f>'A) Base RI'!B279</f>
        <v>Tartegnin</v>
      </c>
      <c r="C277" s="34">
        <f>'D) Ecrêtage'!M277</f>
        <v>8301.4215873015874</v>
      </c>
      <c r="D277" s="34">
        <v>21616</v>
      </c>
      <c r="E277" s="10">
        <v>8127</v>
      </c>
      <c r="F277" s="44">
        <v>18420</v>
      </c>
      <c r="G277" s="44">
        <f t="shared" si="45"/>
        <v>48163</v>
      </c>
      <c r="H277" s="10">
        <f t="shared" si="41"/>
        <v>66411.372698412699</v>
      </c>
      <c r="I277" s="34">
        <f t="shared" si="46"/>
        <v>0</v>
      </c>
      <c r="J277" s="2">
        <f t="shared" si="42"/>
        <v>0</v>
      </c>
      <c r="K277" s="15">
        <v>4747</v>
      </c>
      <c r="L277" s="10">
        <f t="shared" si="43"/>
        <v>8301.4215873015874</v>
      </c>
      <c r="M277" s="15">
        <f t="shared" si="47"/>
        <v>0</v>
      </c>
      <c r="N277" s="2">
        <f t="shared" si="44"/>
        <v>0</v>
      </c>
      <c r="O277" s="199">
        <f t="shared" si="48"/>
        <v>0</v>
      </c>
      <c r="P277" s="419">
        <f t="shared" si="49"/>
        <v>0</v>
      </c>
      <c r="Q277" s="192"/>
    </row>
    <row r="278" spans="1:17" x14ac:dyDescent="0.25">
      <c r="A278" s="190">
        <f>'A) Base RI'!A280</f>
        <v>5863</v>
      </c>
      <c r="B278" s="35" t="str">
        <f>'A) Base RI'!B280</f>
        <v>Vinzel</v>
      </c>
      <c r="C278" s="34">
        <f>'D) Ecrêtage'!M278</f>
        <v>22805.689688405353</v>
      </c>
      <c r="D278" s="34">
        <v>38129</v>
      </c>
      <c r="E278" s="10">
        <v>13676</v>
      </c>
      <c r="F278" s="44">
        <v>28472</v>
      </c>
      <c r="G278" s="44">
        <f t="shared" si="45"/>
        <v>80277</v>
      </c>
      <c r="H278" s="10">
        <f t="shared" si="41"/>
        <v>182445.51750724282</v>
      </c>
      <c r="I278" s="34">
        <f t="shared" si="46"/>
        <v>0</v>
      </c>
      <c r="J278" s="2">
        <f t="shared" si="42"/>
        <v>0</v>
      </c>
      <c r="K278" s="15">
        <v>4695</v>
      </c>
      <c r="L278" s="10">
        <f t="shared" si="43"/>
        <v>22805.689688405353</v>
      </c>
      <c r="M278" s="15">
        <f t="shared" si="47"/>
        <v>0</v>
      </c>
      <c r="N278" s="2">
        <f t="shared" si="44"/>
        <v>0</v>
      </c>
      <c r="O278" s="199">
        <f t="shared" si="48"/>
        <v>0</v>
      </c>
      <c r="P278" s="419">
        <f t="shared" si="49"/>
        <v>0</v>
      </c>
      <c r="Q278" s="192"/>
    </row>
    <row r="279" spans="1:17" x14ac:dyDescent="0.25">
      <c r="A279" s="190">
        <f>'A) Base RI'!A281</f>
        <v>5871</v>
      </c>
      <c r="B279" s="35" t="str">
        <f>'A) Base RI'!B281</f>
        <v>L'Abbaye</v>
      </c>
      <c r="C279" s="34">
        <f>'D) Ecrêtage'!M279</f>
        <v>41169.431926700228</v>
      </c>
      <c r="D279" s="34">
        <v>398742</v>
      </c>
      <c r="E279" s="10">
        <v>114335</v>
      </c>
      <c r="F279" s="44">
        <v>203131</v>
      </c>
      <c r="G279" s="44">
        <f t="shared" si="45"/>
        <v>716208</v>
      </c>
      <c r="H279" s="10">
        <f t="shared" si="41"/>
        <v>329355.45541360183</v>
      </c>
      <c r="I279" s="34">
        <f t="shared" si="46"/>
        <v>386852.54458639817</v>
      </c>
      <c r="J279" s="2">
        <f t="shared" si="42"/>
        <v>-274028.01108180656</v>
      </c>
      <c r="K279" s="15">
        <v>53116</v>
      </c>
      <c r="L279" s="10">
        <f t="shared" si="43"/>
        <v>41169.431926700228</v>
      </c>
      <c r="M279" s="15">
        <f t="shared" si="47"/>
        <v>11946.568073299772</v>
      </c>
      <c r="N279" s="2">
        <f t="shared" si="44"/>
        <v>-8462.3827196995771</v>
      </c>
      <c r="O279" s="199">
        <f t="shared" si="48"/>
        <v>-282490.39380150614</v>
      </c>
      <c r="P279" s="419">
        <f t="shared" si="49"/>
        <v>-6.8616539160526626</v>
      </c>
      <c r="Q279" s="192"/>
    </row>
    <row r="280" spans="1:17" x14ac:dyDescent="0.25">
      <c r="A280" s="190">
        <f>'A) Base RI'!A282</f>
        <v>5872</v>
      </c>
      <c r="B280" s="35" t="str">
        <f>'A) Base RI'!B282</f>
        <v>Le Chenit</v>
      </c>
      <c r="C280" s="34">
        <f>'D) Ecrêtage'!M280</f>
        <v>294979.41250367323</v>
      </c>
      <c r="D280" s="34">
        <v>2909324</v>
      </c>
      <c r="E280" s="10">
        <v>370724</v>
      </c>
      <c r="F280" s="44">
        <v>714124</v>
      </c>
      <c r="G280" s="44">
        <f t="shared" si="45"/>
        <v>3994172</v>
      </c>
      <c r="H280" s="10">
        <f t="shared" si="41"/>
        <v>2359835.3000293858</v>
      </c>
      <c r="I280" s="34">
        <f t="shared" si="46"/>
        <v>1634336.6999706142</v>
      </c>
      <c r="J280" s="2">
        <f t="shared" si="42"/>
        <v>-1157686.673121853</v>
      </c>
      <c r="K280" s="15">
        <v>521541</v>
      </c>
      <c r="L280" s="10">
        <f t="shared" si="43"/>
        <v>294979.41250367323</v>
      </c>
      <c r="M280" s="15">
        <f t="shared" si="47"/>
        <v>226561.58749632677</v>
      </c>
      <c r="N280" s="2">
        <f t="shared" si="44"/>
        <v>-160485.49267145758</v>
      </c>
      <c r="O280" s="199">
        <f t="shared" si="48"/>
        <v>-1318172.1657933106</v>
      </c>
      <c r="P280" s="419">
        <f t="shared" si="49"/>
        <v>-4.468692084661658</v>
      </c>
      <c r="Q280" s="192"/>
    </row>
    <row r="281" spans="1:17" x14ac:dyDescent="0.25">
      <c r="A281" s="190">
        <f>'A) Base RI'!A283</f>
        <v>5873</v>
      </c>
      <c r="B281" s="35" t="str">
        <f>'A) Base RI'!B283</f>
        <v>Le Lieu</v>
      </c>
      <c r="C281" s="34">
        <f>'D) Ecrêtage'!M281</f>
        <v>30587.067025641027</v>
      </c>
      <c r="D281" s="34">
        <v>1202035</v>
      </c>
      <c r="E281" s="10">
        <v>69019</v>
      </c>
      <c r="F281" s="44">
        <v>133006</v>
      </c>
      <c r="G281" s="44">
        <f t="shared" si="45"/>
        <v>1404060</v>
      </c>
      <c r="H281" s="10">
        <f t="shared" si="41"/>
        <v>244696.53620512821</v>
      </c>
      <c r="I281" s="34">
        <f t="shared" si="46"/>
        <v>1159363.4637948717</v>
      </c>
      <c r="J281" s="2">
        <f t="shared" si="42"/>
        <v>-821238.13982996636</v>
      </c>
      <c r="K281" s="15">
        <v>153446</v>
      </c>
      <c r="L281" s="10">
        <f t="shared" si="43"/>
        <v>30587.067025641027</v>
      </c>
      <c r="M281" s="15">
        <f t="shared" si="47"/>
        <v>122858.93297435898</v>
      </c>
      <c r="N281" s="2">
        <f t="shared" si="44"/>
        <v>-87027.446291173503</v>
      </c>
      <c r="O281" s="199">
        <f t="shared" si="48"/>
        <v>-908265.58612113982</v>
      </c>
      <c r="P281" s="419">
        <f t="shared" si="49"/>
        <v>-29.694432138908386</v>
      </c>
      <c r="Q281" s="192"/>
    </row>
    <row r="282" spans="1:17" x14ac:dyDescent="0.25">
      <c r="A282" s="190">
        <f>'A) Base RI'!A284</f>
        <v>5881</v>
      </c>
      <c r="B282" s="35" t="str">
        <f>'A) Base RI'!B284</f>
        <v>Blonay</v>
      </c>
      <c r="C282" s="34">
        <f>'D) Ecrêtage'!M282</f>
        <v>332407.86157142854</v>
      </c>
      <c r="D282" s="34">
        <v>2439620</v>
      </c>
      <c r="E282" s="10">
        <v>809730</v>
      </c>
      <c r="F282" s="44">
        <v>458498</v>
      </c>
      <c r="G282" s="44">
        <f t="shared" si="45"/>
        <v>3707848</v>
      </c>
      <c r="H282" s="10">
        <f t="shared" si="41"/>
        <v>2659262.8925714283</v>
      </c>
      <c r="I282" s="34">
        <f t="shared" si="46"/>
        <v>1048585.1074285717</v>
      </c>
      <c r="J282" s="2">
        <f t="shared" si="42"/>
        <v>-742768.00155434979</v>
      </c>
      <c r="K282" s="15">
        <v>519520</v>
      </c>
      <c r="L282" s="10">
        <f t="shared" si="43"/>
        <v>332407.86157142854</v>
      </c>
      <c r="M282" s="15">
        <f t="shared" si="47"/>
        <v>187112.13842857146</v>
      </c>
      <c r="N282" s="2">
        <f t="shared" si="44"/>
        <v>-132541.37231451963</v>
      </c>
      <c r="O282" s="199">
        <f t="shared" si="48"/>
        <v>-875309.37386886938</v>
      </c>
      <c r="P282" s="419">
        <f t="shared" si="49"/>
        <v>-2.633239086858302</v>
      </c>
      <c r="Q282" s="192"/>
    </row>
    <row r="283" spans="1:17" x14ac:dyDescent="0.25">
      <c r="A283" s="190">
        <f>'A) Base RI'!A285</f>
        <v>5882</v>
      </c>
      <c r="B283" s="35" t="str">
        <f>'A) Base RI'!B285</f>
        <v>Chardonne</v>
      </c>
      <c r="C283" s="34">
        <f>'D) Ecrêtage'!M283</f>
        <v>151089.46617647054</v>
      </c>
      <c r="D283" s="34">
        <v>1219536</v>
      </c>
      <c r="E283" s="10">
        <v>271063</v>
      </c>
      <c r="F283" s="44">
        <v>166388</v>
      </c>
      <c r="G283" s="44">
        <f t="shared" si="45"/>
        <v>1656987</v>
      </c>
      <c r="H283" s="10">
        <f t="shared" si="41"/>
        <v>1208715.7294117643</v>
      </c>
      <c r="I283" s="34">
        <f t="shared" si="46"/>
        <v>448271.2705882357</v>
      </c>
      <c r="J283" s="2">
        <f t="shared" si="42"/>
        <v>-317534.12617652869</v>
      </c>
      <c r="K283" s="15">
        <v>-9055</v>
      </c>
      <c r="L283" s="10">
        <f t="shared" si="43"/>
        <v>151089.46617647054</v>
      </c>
      <c r="M283" s="15">
        <f t="shared" si="47"/>
        <v>0</v>
      </c>
      <c r="N283" s="2">
        <f t="shared" si="44"/>
        <v>0</v>
      </c>
      <c r="O283" s="199">
        <f t="shared" si="48"/>
        <v>-317534.12617652869</v>
      </c>
      <c r="P283" s="419">
        <f t="shared" si="49"/>
        <v>-2.1016298105498166</v>
      </c>
      <c r="Q283" s="192"/>
    </row>
    <row r="284" spans="1:17" x14ac:dyDescent="0.25">
      <c r="A284" s="190">
        <f>'A) Base RI'!A286</f>
        <v>5883</v>
      </c>
      <c r="B284" s="35" t="str">
        <f>'A) Base RI'!B286</f>
        <v>Corseaux</v>
      </c>
      <c r="C284" s="34">
        <f>'D) Ecrêtage'!M284</f>
        <v>141379.66208827455</v>
      </c>
      <c r="D284" s="34">
        <v>318804</v>
      </c>
      <c r="E284" s="10">
        <v>491104</v>
      </c>
      <c r="F284" s="44">
        <v>123671</v>
      </c>
      <c r="G284" s="44">
        <f t="shared" si="45"/>
        <v>933579</v>
      </c>
      <c r="H284" s="10">
        <f t="shared" si="41"/>
        <v>1131037.2967061964</v>
      </c>
      <c r="I284" s="34">
        <f t="shared" si="46"/>
        <v>0</v>
      </c>
      <c r="J284" s="2">
        <f t="shared" si="42"/>
        <v>0</v>
      </c>
      <c r="K284" s="15">
        <v>1300</v>
      </c>
      <c r="L284" s="10">
        <f t="shared" si="43"/>
        <v>141379.66208827455</v>
      </c>
      <c r="M284" s="15">
        <f t="shared" si="47"/>
        <v>0</v>
      </c>
      <c r="N284" s="2">
        <f t="shared" si="44"/>
        <v>0</v>
      </c>
      <c r="O284" s="199">
        <f t="shared" si="48"/>
        <v>0</v>
      </c>
      <c r="P284" s="419">
        <f t="shared" si="49"/>
        <v>0</v>
      </c>
      <c r="Q284" s="192"/>
    </row>
    <row r="285" spans="1:17" x14ac:dyDescent="0.25">
      <c r="A285" s="190">
        <f>'A) Base RI'!A287</f>
        <v>5884</v>
      </c>
      <c r="B285" s="35" t="str">
        <f>'A) Base RI'!B287</f>
        <v>Corsier-sur-Vevey</v>
      </c>
      <c r="C285" s="34">
        <f>'D) Ecrêtage'!M285</f>
        <v>116440.6211111111</v>
      </c>
      <c r="D285" s="34">
        <v>1160146</v>
      </c>
      <c r="E285" s="10">
        <v>829701</v>
      </c>
      <c r="F285" s="44">
        <v>219339</v>
      </c>
      <c r="G285" s="44">
        <f t="shared" si="45"/>
        <v>2209186</v>
      </c>
      <c r="H285" s="10">
        <f t="shared" si="41"/>
        <v>931524.96888888883</v>
      </c>
      <c r="I285" s="34">
        <f t="shared" si="46"/>
        <v>1277661.0311111112</v>
      </c>
      <c r="J285" s="2">
        <f t="shared" si="42"/>
        <v>-905034.53083508054</v>
      </c>
      <c r="K285" s="15">
        <v>8394</v>
      </c>
      <c r="L285" s="10">
        <f t="shared" si="43"/>
        <v>116440.6211111111</v>
      </c>
      <c r="M285" s="15">
        <f t="shared" si="47"/>
        <v>0</v>
      </c>
      <c r="N285" s="2">
        <f t="shared" si="44"/>
        <v>0</v>
      </c>
      <c r="O285" s="199">
        <f t="shared" si="48"/>
        <v>-905034.53083508054</v>
      </c>
      <c r="P285" s="419">
        <f t="shared" si="49"/>
        <v>-7.7724983102887233</v>
      </c>
      <c r="Q285" s="192"/>
    </row>
    <row r="286" spans="1:17" x14ac:dyDescent="0.25">
      <c r="A286" s="190">
        <f>'A) Base RI'!A288</f>
        <v>5885</v>
      </c>
      <c r="B286" s="35" t="str">
        <f>'A) Base RI'!B288</f>
        <v>Jongny</v>
      </c>
      <c r="C286" s="34">
        <f>'D) Ecrêtage'!M286</f>
        <v>81843.123028169022</v>
      </c>
      <c r="D286" s="34">
        <v>531841</v>
      </c>
      <c r="E286" s="10">
        <v>116845</v>
      </c>
      <c r="F286" s="44">
        <v>100205</v>
      </c>
      <c r="G286" s="44">
        <f t="shared" si="45"/>
        <v>748891</v>
      </c>
      <c r="H286" s="10">
        <f t="shared" si="41"/>
        <v>654744.98422535218</v>
      </c>
      <c r="I286" s="34">
        <f t="shared" si="46"/>
        <v>94146.015774647822</v>
      </c>
      <c r="J286" s="2">
        <f t="shared" si="42"/>
        <v>-66688.576345247115</v>
      </c>
      <c r="K286" s="15">
        <v>14461</v>
      </c>
      <c r="L286" s="10">
        <f t="shared" si="43"/>
        <v>81843.123028169022</v>
      </c>
      <c r="M286" s="15">
        <f t="shared" si="47"/>
        <v>0</v>
      </c>
      <c r="N286" s="2">
        <f t="shared" si="44"/>
        <v>0</v>
      </c>
      <c r="O286" s="199">
        <f t="shared" si="48"/>
        <v>-66688.576345247115</v>
      </c>
      <c r="P286" s="419">
        <f t="shared" si="49"/>
        <v>-0.81483420815080621</v>
      </c>
      <c r="Q286" s="192"/>
    </row>
    <row r="287" spans="1:17" x14ac:dyDescent="0.25">
      <c r="A287" s="190">
        <f>'A) Base RI'!A289</f>
        <v>5886</v>
      </c>
      <c r="B287" s="35" t="str">
        <f>'A) Base RI'!B289</f>
        <v>Montreux</v>
      </c>
      <c r="C287" s="34">
        <f>'D) Ecrêtage'!M287</f>
        <v>1175239.0178974359</v>
      </c>
      <c r="D287" s="34">
        <v>10599532</v>
      </c>
      <c r="E287" s="10">
        <v>5206856</v>
      </c>
      <c r="F287" s="44">
        <v>253265</v>
      </c>
      <c r="G287" s="44">
        <f t="shared" si="45"/>
        <v>16059653</v>
      </c>
      <c r="H287" s="10">
        <f t="shared" si="41"/>
        <v>9401912.1431794874</v>
      </c>
      <c r="I287" s="34">
        <f t="shared" si="46"/>
        <v>6657740.8568205126</v>
      </c>
      <c r="J287" s="2">
        <f t="shared" si="42"/>
        <v>-4716028.1373957759</v>
      </c>
      <c r="K287" s="15">
        <v>1695695</v>
      </c>
      <c r="L287" s="10">
        <f t="shared" si="43"/>
        <v>1175239.0178974359</v>
      </c>
      <c r="M287" s="15">
        <f t="shared" si="47"/>
        <v>520455.98210256407</v>
      </c>
      <c r="N287" s="2">
        <f t="shared" si="44"/>
        <v>-368666.35524828982</v>
      </c>
      <c r="O287" s="199">
        <f t="shared" si="48"/>
        <v>-5084694.492644066</v>
      </c>
      <c r="P287" s="419">
        <f t="shared" si="49"/>
        <v>-4.3265194698358895</v>
      </c>
      <c r="Q287" s="192"/>
    </row>
    <row r="288" spans="1:17" x14ac:dyDescent="0.25">
      <c r="A288" s="190">
        <f>'A) Base RI'!A290</f>
        <v>5888</v>
      </c>
      <c r="B288" s="35" t="str">
        <f>'A) Base RI'!B290</f>
        <v>Saint-Légier-La Chiésaz</v>
      </c>
      <c r="C288" s="34">
        <f>'D) Ecrêtage'!M288</f>
        <v>300151.00262707792</v>
      </c>
      <c r="D288" s="34">
        <v>1540561</v>
      </c>
      <c r="E288" s="10">
        <v>475790</v>
      </c>
      <c r="F288" s="44">
        <v>350711</v>
      </c>
      <c r="G288" s="44">
        <f t="shared" si="45"/>
        <v>2367062</v>
      </c>
      <c r="H288" s="10">
        <f t="shared" si="41"/>
        <v>2401208.0210166234</v>
      </c>
      <c r="I288" s="34">
        <f t="shared" si="46"/>
        <v>0</v>
      </c>
      <c r="J288" s="2">
        <f t="shared" si="42"/>
        <v>0</v>
      </c>
      <c r="K288" s="15">
        <v>668414</v>
      </c>
      <c r="L288" s="10">
        <f t="shared" si="43"/>
        <v>300151.00262707792</v>
      </c>
      <c r="M288" s="15">
        <f t="shared" si="47"/>
        <v>368262.99737292208</v>
      </c>
      <c r="N288" s="2">
        <f t="shared" si="44"/>
        <v>-260860.05672527911</v>
      </c>
      <c r="O288" s="199">
        <f t="shared" si="48"/>
        <v>-260860.05672527911</v>
      </c>
      <c r="P288" s="419">
        <f t="shared" si="49"/>
        <v>-0.86909606978519482</v>
      </c>
      <c r="Q288" s="192"/>
    </row>
    <row r="289" spans="1:17" x14ac:dyDescent="0.25">
      <c r="A289" s="190">
        <f>'A) Base RI'!A291</f>
        <v>5889</v>
      </c>
      <c r="B289" s="35" t="str">
        <f>'A) Base RI'!B291</f>
        <v>La Tour-de-Peilz</v>
      </c>
      <c r="C289" s="34">
        <f>'D) Ecrêtage'!M289</f>
        <v>618611.02559895837</v>
      </c>
      <c r="D289" s="34">
        <v>2154806</v>
      </c>
      <c r="E289" s="10">
        <v>1614512</v>
      </c>
      <c r="F289" s="44">
        <v>3062</v>
      </c>
      <c r="G289" s="44">
        <f t="shared" si="45"/>
        <v>3772380</v>
      </c>
      <c r="H289" s="10">
        <f t="shared" si="41"/>
        <v>4948888.2047916669</v>
      </c>
      <c r="I289" s="34">
        <f t="shared" si="46"/>
        <v>0</v>
      </c>
      <c r="J289" s="2">
        <f t="shared" si="42"/>
        <v>0</v>
      </c>
      <c r="K289" s="15">
        <v>33989</v>
      </c>
      <c r="L289" s="10">
        <f t="shared" si="43"/>
        <v>618611.02559895837</v>
      </c>
      <c r="M289" s="15">
        <f t="shared" si="47"/>
        <v>0</v>
      </c>
      <c r="N289" s="2">
        <f t="shared" si="44"/>
        <v>0</v>
      </c>
      <c r="O289" s="199">
        <f t="shared" si="48"/>
        <v>0</v>
      </c>
      <c r="P289" s="419">
        <f t="shared" si="49"/>
        <v>0</v>
      </c>
      <c r="Q289" s="192"/>
    </row>
    <row r="290" spans="1:17" x14ac:dyDescent="0.25">
      <c r="A290" s="190">
        <f>'A) Base RI'!A292</f>
        <v>5890</v>
      </c>
      <c r="B290" s="35" t="str">
        <f>'A) Base RI'!B292</f>
        <v>Vevey</v>
      </c>
      <c r="C290" s="34">
        <f>'D) Ecrêtage'!M290</f>
        <v>909212.90865296812</v>
      </c>
      <c r="D290" s="34">
        <v>6162822</v>
      </c>
      <c r="E290" s="10">
        <v>3495450</v>
      </c>
      <c r="F290" s="44">
        <v>145245</v>
      </c>
      <c r="G290" s="44">
        <f t="shared" si="45"/>
        <v>9803517</v>
      </c>
      <c r="H290" s="10">
        <f t="shared" si="41"/>
        <v>7273703.269223745</v>
      </c>
      <c r="I290" s="34">
        <f t="shared" si="46"/>
        <v>2529813.730776255</v>
      </c>
      <c r="J290" s="2">
        <f t="shared" si="42"/>
        <v>-1792000.1684187874</v>
      </c>
      <c r="K290" s="15">
        <v>100000</v>
      </c>
      <c r="L290" s="10">
        <f t="shared" si="43"/>
        <v>909212.90865296812</v>
      </c>
      <c r="M290" s="15">
        <f t="shared" si="47"/>
        <v>0</v>
      </c>
      <c r="N290" s="2">
        <f t="shared" si="44"/>
        <v>0</v>
      </c>
      <c r="O290" s="199">
        <f t="shared" si="48"/>
        <v>-1792000.1684187874</v>
      </c>
      <c r="P290" s="419">
        <f t="shared" si="49"/>
        <v>-1.9709356866409877</v>
      </c>
      <c r="Q290" s="192"/>
    </row>
    <row r="291" spans="1:17" x14ac:dyDescent="0.25">
      <c r="A291" s="190">
        <f>'A) Base RI'!A293</f>
        <v>5891</v>
      </c>
      <c r="B291" s="35" t="str">
        <f>'A) Base RI'!B293</f>
        <v>Veytaux</v>
      </c>
      <c r="C291" s="34">
        <f>'D) Ecrêtage'!M291</f>
        <v>39510.481835748789</v>
      </c>
      <c r="D291" s="34">
        <v>213666</v>
      </c>
      <c r="E291" s="10">
        <v>106436</v>
      </c>
      <c r="F291" s="44">
        <v>30000</v>
      </c>
      <c r="G291" s="44">
        <f t="shared" si="45"/>
        <v>350102</v>
      </c>
      <c r="H291" s="10">
        <f t="shared" si="41"/>
        <v>316083.85468599031</v>
      </c>
      <c r="I291" s="34">
        <f t="shared" si="46"/>
        <v>34018.145314009686</v>
      </c>
      <c r="J291" s="2">
        <f t="shared" si="42"/>
        <v>-24096.842147067819</v>
      </c>
      <c r="K291" s="15">
        <v>408978</v>
      </c>
      <c r="L291" s="10">
        <f t="shared" si="43"/>
        <v>39510.481835748789</v>
      </c>
      <c r="M291" s="15">
        <f t="shared" si="47"/>
        <v>369467.51816425123</v>
      </c>
      <c r="N291" s="2">
        <f t="shared" si="44"/>
        <v>-261713.28217609657</v>
      </c>
      <c r="O291" s="199">
        <f t="shared" si="48"/>
        <v>-285810.1243231644</v>
      </c>
      <c r="P291" s="419">
        <f t="shared" si="49"/>
        <v>-7.2337797729554776</v>
      </c>
      <c r="Q291" s="192"/>
    </row>
    <row r="292" spans="1:17" x14ac:dyDescent="0.25">
      <c r="A292" s="190">
        <f>'A) Base RI'!A294</f>
        <v>5902</v>
      </c>
      <c r="B292" s="35" t="str">
        <f>'A) Base RI'!B294</f>
        <v>Belmont-sur-Yverdon</v>
      </c>
      <c r="C292" s="34">
        <f>'D) Ecrêtage'!M292</f>
        <v>9227.1448684210518</v>
      </c>
      <c r="D292" s="34">
        <v>11477</v>
      </c>
      <c r="E292" s="10">
        <v>14824</v>
      </c>
      <c r="F292" s="44">
        <v>49877</v>
      </c>
      <c r="G292" s="44">
        <f t="shared" si="45"/>
        <v>76178</v>
      </c>
      <c r="H292" s="10">
        <f t="shared" si="41"/>
        <v>73817.158947368414</v>
      </c>
      <c r="I292" s="34">
        <f t="shared" si="46"/>
        <v>2360.8410526315856</v>
      </c>
      <c r="J292" s="2">
        <f t="shared" si="42"/>
        <v>-1672.3079302078306</v>
      </c>
      <c r="K292" s="15">
        <v>17472</v>
      </c>
      <c r="L292" s="10">
        <f t="shared" si="43"/>
        <v>9227.1448684210518</v>
      </c>
      <c r="M292" s="15">
        <f t="shared" si="47"/>
        <v>8244.8551315789482</v>
      </c>
      <c r="N292" s="2">
        <f t="shared" si="44"/>
        <v>-5840.26468219241</v>
      </c>
      <c r="O292" s="199">
        <f t="shared" si="48"/>
        <v>-7512.5726124002404</v>
      </c>
      <c r="P292" s="419">
        <f t="shared" si="49"/>
        <v>-0.81418171271063955</v>
      </c>
      <c r="Q292" s="192"/>
    </row>
    <row r="293" spans="1:17" x14ac:dyDescent="0.25">
      <c r="A293" s="190">
        <f>'A) Base RI'!A295</f>
        <v>5903</v>
      </c>
      <c r="B293" s="35" t="str">
        <f>'A) Base RI'!B295</f>
        <v>Bioley-Magnoux</v>
      </c>
      <c r="C293" s="34">
        <f>'D) Ecrêtage'!M293</f>
        <v>5953.911158301159</v>
      </c>
      <c r="D293" s="34">
        <v>313232</v>
      </c>
      <c r="E293" s="10">
        <v>8075</v>
      </c>
      <c r="F293" s="44">
        <v>22624</v>
      </c>
      <c r="G293" s="44">
        <f t="shared" si="45"/>
        <v>343931</v>
      </c>
      <c r="H293" s="10">
        <f t="shared" si="41"/>
        <v>47631.289266409272</v>
      </c>
      <c r="I293" s="34">
        <f t="shared" si="46"/>
        <v>296299.71073359071</v>
      </c>
      <c r="J293" s="2">
        <f t="shared" si="42"/>
        <v>-209884.67454246464</v>
      </c>
      <c r="K293" s="15">
        <v>19758</v>
      </c>
      <c r="L293" s="10">
        <f t="shared" si="43"/>
        <v>5953.911158301159</v>
      </c>
      <c r="M293" s="15">
        <f t="shared" si="47"/>
        <v>13804.088841698842</v>
      </c>
      <c r="N293" s="2">
        <f t="shared" si="44"/>
        <v>-9778.1624110332741</v>
      </c>
      <c r="O293" s="199">
        <f t="shared" si="48"/>
        <v>-219662.8369534979</v>
      </c>
      <c r="P293" s="419">
        <f t="shared" si="49"/>
        <v>-36.89387213096655</v>
      </c>
      <c r="Q293" s="192"/>
    </row>
    <row r="294" spans="1:17" x14ac:dyDescent="0.25">
      <c r="A294" s="190">
        <f>'A) Base RI'!A296</f>
        <v>5904</v>
      </c>
      <c r="B294" s="35" t="str">
        <f>'A) Base RI'!B296</f>
        <v>Chamblon</v>
      </c>
      <c r="C294" s="34">
        <f>'D) Ecrêtage'!M294</f>
        <v>22914.009848484849</v>
      </c>
      <c r="D294" s="34">
        <v>65817</v>
      </c>
      <c r="E294" s="10">
        <v>22819</v>
      </c>
      <c r="F294" s="44">
        <v>23695</v>
      </c>
      <c r="G294" s="44">
        <f t="shared" si="45"/>
        <v>112331</v>
      </c>
      <c r="H294" s="10">
        <f t="shared" si="41"/>
        <v>183312.0787878788</v>
      </c>
      <c r="I294" s="34">
        <f t="shared" si="46"/>
        <v>0</v>
      </c>
      <c r="J294" s="2">
        <f t="shared" si="42"/>
        <v>0</v>
      </c>
      <c r="K294" s="15">
        <v>1716</v>
      </c>
      <c r="L294" s="10">
        <f t="shared" si="43"/>
        <v>22914.009848484849</v>
      </c>
      <c r="M294" s="15">
        <f t="shared" si="47"/>
        <v>0</v>
      </c>
      <c r="N294" s="2">
        <f t="shared" si="44"/>
        <v>0</v>
      </c>
      <c r="O294" s="199">
        <f t="shared" si="48"/>
        <v>0</v>
      </c>
      <c r="P294" s="419">
        <f t="shared" si="49"/>
        <v>0</v>
      </c>
      <c r="Q294" s="192"/>
    </row>
    <row r="295" spans="1:17" x14ac:dyDescent="0.25">
      <c r="A295" s="190">
        <f>'A) Base RI'!A297</f>
        <v>5905</v>
      </c>
      <c r="B295" s="35" t="str">
        <f>'A) Base RI'!B297</f>
        <v>Champvent</v>
      </c>
      <c r="C295" s="34">
        <f>'D) Ecrêtage'!M295</f>
        <v>21038.740140845071</v>
      </c>
      <c r="D295" s="34">
        <v>57795</v>
      </c>
      <c r="E295" s="10">
        <v>61968</v>
      </c>
      <c r="F295" s="44">
        <v>66317</v>
      </c>
      <c r="G295" s="44">
        <f t="shared" si="45"/>
        <v>186080</v>
      </c>
      <c r="H295" s="10">
        <f t="shared" si="41"/>
        <v>168309.92112676057</v>
      </c>
      <c r="I295" s="34">
        <f t="shared" si="46"/>
        <v>17770.078873239429</v>
      </c>
      <c r="J295" s="2">
        <f t="shared" si="42"/>
        <v>-12587.481815860448</v>
      </c>
      <c r="K295" s="15">
        <v>66358</v>
      </c>
      <c r="L295" s="10">
        <f t="shared" si="43"/>
        <v>21038.740140845071</v>
      </c>
      <c r="M295" s="15">
        <f t="shared" si="47"/>
        <v>45319.259859154932</v>
      </c>
      <c r="N295" s="2">
        <f t="shared" si="44"/>
        <v>-32102.01617306468</v>
      </c>
      <c r="O295" s="199">
        <f t="shared" si="48"/>
        <v>-44689.497988925126</v>
      </c>
      <c r="P295" s="419">
        <f t="shared" si="49"/>
        <v>-2.1241527624633738</v>
      </c>
      <c r="Q295" s="192"/>
    </row>
    <row r="296" spans="1:17" x14ac:dyDescent="0.25">
      <c r="A296" s="190">
        <f>'A) Base RI'!A298</f>
        <v>5907</v>
      </c>
      <c r="B296" s="35" t="str">
        <f>'A) Base RI'!B298</f>
        <v>Chavannes-le-Chêne</v>
      </c>
      <c r="C296" s="34">
        <f>'D) Ecrêtage'!M296</f>
        <v>8819.3566666666684</v>
      </c>
      <c r="D296" s="34">
        <v>135923</v>
      </c>
      <c r="E296" s="10">
        <v>11168</v>
      </c>
      <c r="F296" s="44">
        <v>25317</v>
      </c>
      <c r="G296" s="44">
        <f t="shared" si="45"/>
        <v>172408</v>
      </c>
      <c r="H296" s="10">
        <f t="shared" si="41"/>
        <v>70554.853333333347</v>
      </c>
      <c r="I296" s="34">
        <f t="shared" si="46"/>
        <v>101853.14666666665</v>
      </c>
      <c r="J296" s="2">
        <f t="shared" si="42"/>
        <v>-72147.942656886793</v>
      </c>
      <c r="K296" s="15">
        <v>7248</v>
      </c>
      <c r="L296" s="10">
        <f t="shared" si="43"/>
        <v>8819.3566666666684</v>
      </c>
      <c r="M296" s="15">
        <f t="shared" si="47"/>
        <v>0</v>
      </c>
      <c r="N296" s="2">
        <f t="shared" si="44"/>
        <v>0</v>
      </c>
      <c r="O296" s="199">
        <f t="shared" si="48"/>
        <v>-72147.942656886793</v>
      </c>
      <c r="P296" s="419">
        <f t="shared" si="49"/>
        <v>-8.1806355478937185</v>
      </c>
      <c r="Q296" s="192"/>
    </row>
    <row r="297" spans="1:17" x14ac:dyDescent="0.25">
      <c r="A297" s="190">
        <f>'A) Base RI'!A299</f>
        <v>5908</v>
      </c>
      <c r="B297" s="35" t="str">
        <f>'A) Base RI'!B299</f>
        <v>Chêne-Pâquier</v>
      </c>
      <c r="C297" s="34">
        <f>'D) Ecrêtage'!M297</f>
        <v>2915.1287341772154</v>
      </c>
      <c r="D297" s="34">
        <v>13408</v>
      </c>
      <c r="E297" s="10">
        <v>5022</v>
      </c>
      <c r="F297" s="44">
        <v>11421</v>
      </c>
      <c r="G297" s="44">
        <f t="shared" si="45"/>
        <v>29851</v>
      </c>
      <c r="H297" s="10">
        <f t="shared" si="41"/>
        <v>23321.029873417723</v>
      </c>
      <c r="I297" s="34">
        <f t="shared" si="46"/>
        <v>6529.9701265822769</v>
      </c>
      <c r="J297" s="2">
        <f t="shared" si="42"/>
        <v>-4625.5214066746748</v>
      </c>
      <c r="K297" s="15">
        <v>13980</v>
      </c>
      <c r="L297" s="10">
        <f t="shared" si="43"/>
        <v>2915.1287341772154</v>
      </c>
      <c r="M297" s="15">
        <f t="shared" si="47"/>
        <v>11064.871265822785</v>
      </c>
      <c r="N297" s="2">
        <f t="shared" si="44"/>
        <v>-7837.830481615134</v>
      </c>
      <c r="O297" s="199">
        <f t="shared" si="48"/>
        <v>-12463.35188828981</v>
      </c>
      <c r="P297" s="419">
        <f t="shared" si="49"/>
        <v>-4.2754036012778514</v>
      </c>
      <c r="Q297" s="192"/>
    </row>
    <row r="298" spans="1:17" x14ac:dyDescent="0.25">
      <c r="A298" s="190">
        <f>'A) Base RI'!A300</f>
        <v>5909</v>
      </c>
      <c r="B298" s="35" t="str">
        <f>'A) Base RI'!B300</f>
        <v>Cheseaux-Noréaz</v>
      </c>
      <c r="C298" s="34">
        <f>'D) Ecrêtage'!M298</f>
        <v>24771.110857142852</v>
      </c>
      <c r="D298" s="34">
        <v>212131</v>
      </c>
      <c r="E298" s="10">
        <v>117935</v>
      </c>
      <c r="F298" s="44">
        <v>37712</v>
      </c>
      <c r="G298" s="44">
        <f t="shared" si="45"/>
        <v>367778</v>
      </c>
      <c r="H298" s="10">
        <f t="shared" si="41"/>
        <v>198168.88685714282</v>
      </c>
      <c r="I298" s="34">
        <f t="shared" si="46"/>
        <v>169609.11314285718</v>
      </c>
      <c r="J298" s="2">
        <f t="shared" si="42"/>
        <v>-120143.05860538578</v>
      </c>
      <c r="K298" s="15">
        <v>8639</v>
      </c>
      <c r="L298" s="10">
        <f t="shared" si="43"/>
        <v>24771.110857142852</v>
      </c>
      <c r="M298" s="15">
        <f t="shared" si="47"/>
        <v>0</v>
      </c>
      <c r="N298" s="2">
        <f t="shared" si="44"/>
        <v>0</v>
      </c>
      <c r="O298" s="199">
        <f t="shared" si="48"/>
        <v>-120143.05860538578</v>
      </c>
      <c r="P298" s="419">
        <f t="shared" si="49"/>
        <v>-4.8501280099330728</v>
      </c>
      <c r="Q298" s="192"/>
    </row>
    <row r="299" spans="1:17" x14ac:dyDescent="0.25">
      <c r="A299" s="190">
        <f>'A) Base RI'!A301</f>
        <v>5910</v>
      </c>
      <c r="B299" s="35" t="str">
        <f>'A) Base RI'!B301</f>
        <v>Cronay</v>
      </c>
      <c r="C299" s="34">
        <f>'D) Ecrêtage'!M299</f>
        <v>10097.267848101266</v>
      </c>
      <c r="D299" s="34">
        <v>194070</v>
      </c>
      <c r="E299" s="10">
        <v>21935</v>
      </c>
      <c r="F299" s="44">
        <v>29465</v>
      </c>
      <c r="G299" s="44">
        <f t="shared" si="45"/>
        <v>245470</v>
      </c>
      <c r="H299" s="10">
        <f t="shared" si="41"/>
        <v>80778.14278481013</v>
      </c>
      <c r="I299" s="34">
        <f t="shared" si="46"/>
        <v>164691.85721518987</v>
      </c>
      <c r="J299" s="2">
        <f t="shared" si="42"/>
        <v>-116659.90751669504</v>
      </c>
      <c r="K299" s="15">
        <v>-5766</v>
      </c>
      <c r="L299" s="10">
        <f t="shared" si="43"/>
        <v>10097.267848101266</v>
      </c>
      <c r="M299" s="15">
        <f t="shared" si="47"/>
        <v>0</v>
      </c>
      <c r="N299" s="2">
        <f t="shared" si="44"/>
        <v>0</v>
      </c>
      <c r="O299" s="199">
        <f t="shared" si="48"/>
        <v>-116659.90751669504</v>
      </c>
      <c r="P299" s="419">
        <f t="shared" si="49"/>
        <v>-11.553611261152419</v>
      </c>
      <c r="Q299" s="192"/>
    </row>
    <row r="300" spans="1:17" x14ac:dyDescent="0.25">
      <c r="A300" s="190">
        <f>'A) Base RI'!A302</f>
        <v>5911</v>
      </c>
      <c r="B300" s="35" t="str">
        <f>'A) Base RI'!B302</f>
        <v>Cuarny</v>
      </c>
      <c r="C300" s="34">
        <f>'D) Ecrêtage'!M300</f>
        <v>7741.5774683544305</v>
      </c>
      <c r="D300" s="34">
        <v>175025</v>
      </c>
      <c r="E300" s="10">
        <v>8677</v>
      </c>
      <c r="F300" s="44">
        <v>16198</v>
      </c>
      <c r="G300" s="44">
        <f t="shared" si="45"/>
        <v>199900</v>
      </c>
      <c r="H300" s="10">
        <f t="shared" si="41"/>
        <v>61932.619746835444</v>
      </c>
      <c r="I300" s="34">
        <f t="shared" si="46"/>
        <v>137967.38025316456</v>
      </c>
      <c r="J300" s="2">
        <f t="shared" si="42"/>
        <v>-97729.554410358396</v>
      </c>
      <c r="K300" s="15">
        <v>15159</v>
      </c>
      <c r="L300" s="10">
        <f t="shared" si="43"/>
        <v>7741.5774683544305</v>
      </c>
      <c r="M300" s="15">
        <f t="shared" si="47"/>
        <v>7417.4225316455695</v>
      </c>
      <c r="N300" s="2">
        <f t="shared" si="44"/>
        <v>-5254.1506373528964</v>
      </c>
      <c r="O300" s="199">
        <f t="shared" si="48"/>
        <v>-102983.70504771129</v>
      </c>
      <c r="P300" s="419">
        <f t="shared" si="49"/>
        <v>-13.302677066616214</v>
      </c>
      <c r="Q300" s="192"/>
    </row>
    <row r="301" spans="1:17" x14ac:dyDescent="0.25">
      <c r="A301" s="190">
        <f>'A) Base RI'!A303</f>
        <v>5912</v>
      </c>
      <c r="B301" s="35" t="str">
        <f>'A) Base RI'!B303</f>
        <v>Démoret</v>
      </c>
      <c r="C301" s="34">
        <f>'D) Ecrêtage'!M301</f>
        <v>2761.8208641975311</v>
      </c>
      <c r="D301" s="34">
        <v>7442</v>
      </c>
      <c r="E301" s="10">
        <v>4941</v>
      </c>
      <c r="F301" s="44">
        <v>3595</v>
      </c>
      <c r="G301" s="44">
        <f t="shared" si="45"/>
        <v>15978</v>
      </c>
      <c r="H301" s="10">
        <f t="shared" si="41"/>
        <v>22094.566913580249</v>
      </c>
      <c r="I301" s="34">
        <f t="shared" si="46"/>
        <v>0</v>
      </c>
      <c r="J301" s="2">
        <f t="shared" si="42"/>
        <v>0</v>
      </c>
      <c r="K301" s="15">
        <v>26443</v>
      </c>
      <c r="L301" s="10">
        <f t="shared" si="43"/>
        <v>2761.8208641975311</v>
      </c>
      <c r="M301" s="15">
        <f t="shared" si="47"/>
        <v>23681.179135802467</v>
      </c>
      <c r="N301" s="2">
        <f t="shared" si="44"/>
        <v>-16774.62513680488</v>
      </c>
      <c r="O301" s="199">
        <f t="shared" si="48"/>
        <v>-16774.62513680488</v>
      </c>
      <c r="P301" s="419">
        <f t="shared" si="49"/>
        <v>-6.0737556712168876</v>
      </c>
      <c r="Q301" s="192"/>
    </row>
    <row r="302" spans="1:17" x14ac:dyDescent="0.25">
      <c r="A302" s="190">
        <f>'A) Base RI'!A304</f>
        <v>5913</v>
      </c>
      <c r="B302" s="35" t="str">
        <f>'A) Base RI'!B304</f>
        <v>Donneloye</v>
      </c>
      <c r="C302" s="34">
        <f>'D) Ecrêtage'!M302</f>
        <v>21023.999589041094</v>
      </c>
      <c r="D302" s="34">
        <v>134421</v>
      </c>
      <c r="E302" s="10">
        <v>46099</v>
      </c>
      <c r="F302" s="44">
        <v>75248</v>
      </c>
      <c r="G302" s="44">
        <f t="shared" si="45"/>
        <v>255768</v>
      </c>
      <c r="H302" s="10">
        <f t="shared" si="41"/>
        <v>168191.99671232875</v>
      </c>
      <c r="I302" s="34">
        <f t="shared" si="46"/>
        <v>87576.00328767125</v>
      </c>
      <c r="J302" s="2">
        <f t="shared" si="42"/>
        <v>-62034.690827927647</v>
      </c>
      <c r="K302" s="15">
        <v>37864</v>
      </c>
      <c r="L302" s="10">
        <f t="shared" si="43"/>
        <v>21023.999589041094</v>
      </c>
      <c r="M302" s="15">
        <f t="shared" si="47"/>
        <v>16840.000410958906</v>
      </c>
      <c r="N302" s="2">
        <f t="shared" si="44"/>
        <v>-11928.658306139847</v>
      </c>
      <c r="O302" s="199">
        <f t="shared" si="48"/>
        <v>-73963.349134067495</v>
      </c>
      <c r="P302" s="419">
        <f t="shared" si="49"/>
        <v>-3.5180436919634173</v>
      </c>
      <c r="Q302" s="192"/>
    </row>
    <row r="303" spans="1:17" x14ac:dyDescent="0.25">
      <c r="A303" s="190">
        <f>'A) Base RI'!A305</f>
        <v>5914</v>
      </c>
      <c r="B303" s="35" t="str">
        <f>'A) Base RI'!B305</f>
        <v>Ependes</v>
      </c>
      <c r="C303" s="34">
        <f>'D) Ecrêtage'!M303</f>
        <v>8838.0616000000009</v>
      </c>
      <c r="D303" s="34">
        <v>31676</v>
      </c>
      <c r="E303" s="10">
        <v>34650</v>
      </c>
      <c r="F303" s="44">
        <v>47880</v>
      </c>
      <c r="G303" s="44">
        <f t="shared" si="45"/>
        <v>114206</v>
      </c>
      <c r="H303" s="10">
        <f t="shared" si="41"/>
        <v>70704.492800000007</v>
      </c>
      <c r="I303" s="34">
        <f t="shared" si="46"/>
        <v>43501.507199999993</v>
      </c>
      <c r="J303" s="2">
        <f t="shared" si="42"/>
        <v>-30814.406325856744</v>
      </c>
      <c r="K303" s="15">
        <v>16410</v>
      </c>
      <c r="L303" s="10">
        <f t="shared" si="43"/>
        <v>8838.0616000000009</v>
      </c>
      <c r="M303" s="15">
        <f t="shared" si="47"/>
        <v>7571.9383999999991</v>
      </c>
      <c r="N303" s="2">
        <f t="shared" si="44"/>
        <v>-5363.6023565628921</v>
      </c>
      <c r="O303" s="199">
        <f t="shared" si="48"/>
        <v>-36178.008682419633</v>
      </c>
      <c r="P303" s="419">
        <f t="shared" si="49"/>
        <v>-4.0934325104069913</v>
      </c>
      <c r="Q303" s="192"/>
    </row>
    <row r="304" spans="1:17" x14ac:dyDescent="0.25">
      <c r="A304" s="190">
        <f>'A) Base RI'!A306</f>
        <v>5915</v>
      </c>
      <c r="B304" s="35" t="str">
        <f>'A) Base RI'!B306</f>
        <v>Essert-Pittet</v>
      </c>
      <c r="C304" s="34">
        <f>'D) Ecrêtage'!M304</f>
        <v>3860.3839529411766</v>
      </c>
      <c r="D304" s="34">
        <v>41356</v>
      </c>
      <c r="E304" s="10">
        <v>16471</v>
      </c>
      <c r="F304" s="44">
        <v>26305</v>
      </c>
      <c r="G304" s="44">
        <f t="shared" si="45"/>
        <v>84132</v>
      </c>
      <c r="H304" s="10">
        <f t="shared" si="41"/>
        <v>30883.071623529413</v>
      </c>
      <c r="I304" s="34">
        <f t="shared" si="46"/>
        <v>53248.928376470591</v>
      </c>
      <c r="J304" s="2">
        <f t="shared" si="42"/>
        <v>-37719.017593234297</v>
      </c>
      <c r="K304" s="15">
        <v>5161</v>
      </c>
      <c r="L304" s="10">
        <f t="shared" si="43"/>
        <v>3860.3839529411766</v>
      </c>
      <c r="M304" s="15">
        <f t="shared" si="47"/>
        <v>1300.6160470588234</v>
      </c>
      <c r="N304" s="2">
        <f t="shared" si="44"/>
        <v>-921.29477637961486</v>
      </c>
      <c r="O304" s="199">
        <f t="shared" si="48"/>
        <v>-38640.312369613916</v>
      </c>
      <c r="P304" s="419">
        <f t="shared" si="49"/>
        <v>-10.009447982544421</v>
      </c>
      <c r="Q304" s="192"/>
    </row>
    <row r="305" spans="1:17" x14ac:dyDescent="0.25">
      <c r="A305" s="190">
        <f>'A) Base RI'!A307</f>
        <v>5919</v>
      </c>
      <c r="B305" s="35" t="str">
        <f>'A) Base RI'!B307</f>
        <v>Mathod</v>
      </c>
      <c r="C305" s="34">
        <f>'D) Ecrêtage'!M305</f>
        <v>16883.878828828827</v>
      </c>
      <c r="D305" s="34">
        <v>208472</v>
      </c>
      <c r="E305" s="10">
        <v>35011</v>
      </c>
      <c r="F305" s="44">
        <v>31091</v>
      </c>
      <c r="G305" s="44">
        <f t="shared" si="45"/>
        <v>274574</v>
      </c>
      <c r="H305" s="10">
        <f t="shared" si="41"/>
        <v>135071.03063063062</v>
      </c>
      <c r="I305" s="34">
        <f t="shared" si="46"/>
        <v>139502.96936936938</v>
      </c>
      <c r="J305" s="2">
        <f t="shared" si="42"/>
        <v>-98817.292974421274</v>
      </c>
      <c r="K305" s="15">
        <v>7621</v>
      </c>
      <c r="L305" s="10">
        <f t="shared" si="43"/>
        <v>16883.878828828827</v>
      </c>
      <c r="M305" s="15">
        <f t="shared" si="47"/>
        <v>0</v>
      </c>
      <c r="N305" s="2">
        <f t="shared" si="44"/>
        <v>0</v>
      </c>
      <c r="O305" s="199">
        <f t="shared" si="48"/>
        <v>-98817.292974421274</v>
      </c>
      <c r="P305" s="419">
        <f t="shared" si="49"/>
        <v>-5.8527601374213294</v>
      </c>
      <c r="Q305" s="192"/>
    </row>
    <row r="306" spans="1:17" x14ac:dyDescent="0.25">
      <c r="A306" s="190">
        <f>'A) Base RI'!A308</f>
        <v>5921</v>
      </c>
      <c r="B306" s="35" t="str">
        <f>'A) Base RI'!B308</f>
        <v>Molondin</v>
      </c>
      <c r="C306" s="34">
        <f>'D) Ecrêtage'!M306</f>
        <v>5518.0840740740732</v>
      </c>
      <c r="D306" s="34">
        <v>61694</v>
      </c>
      <c r="E306" s="10">
        <v>8999</v>
      </c>
      <c r="F306" s="44">
        <v>14856</v>
      </c>
      <c r="G306" s="44">
        <f t="shared" si="45"/>
        <v>85549</v>
      </c>
      <c r="H306" s="10">
        <f t="shared" si="41"/>
        <v>44144.672592592586</v>
      </c>
      <c r="I306" s="34">
        <f t="shared" si="46"/>
        <v>41404.327407407414</v>
      </c>
      <c r="J306" s="2">
        <f t="shared" si="42"/>
        <v>-29328.863538334113</v>
      </c>
      <c r="K306" s="15">
        <v>53564</v>
      </c>
      <c r="L306" s="10">
        <f t="shared" si="43"/>
        <v>5518.0840740740732</v>
      </c>
      <c r="M306" s="15">
        <f t="shared" si="47"/>
        <v>48045.915925925925</v>
      </c>
      <c r="N306" s="2">
        <f t="shared" si="44"/>
        <v>-34033.45012467599</v>
      </c>
      <c r="O306" s="199">
        <f t="shared" si="48"/>
        <v>-63362.313663010107</v>
      </c>
      <c r="P306" s="419">
        <f t="shared" si="49"/>
        <v>-11.482665507165585</v>
      </c>
      <c r="Q306" s="192"/>
    </row>
    <row r="307" spans="1:17" x14ac:dyDescent="0.25">
      <c r="A307" s="190">
        <f>'A) Base RI'!A309</f>
        <v>5922</v>
      </c>
      <c r="B307" s="35" t="str">
        <f>'A) Base RI'!B309</f>
        <v>Montagny-près-Yverdon</v>
      </c>
      <c r="C307" s="34">
        <f>'D) Ecrêtage'!M307</f>
        <v>43618.831931545668</v>
      </c>
      <c r="D307" s="34">
        <v>89643</v>
      </c>
      <c r="E307" s="10">
        <v>301076</v>
      </c>
      <c r="F307" s="44">
        <v>117021</v>
      </c>
      <c r="G307" s="44">
        <f t="shared" si="45"/>
        <v>507740</v>
      </c>
      <c r="H307" s="10">
        <f t="shared" si="41"/>
        <v>348950.65545236535</v>
      </c>
      <c r="I307" s="34">
        <f t="shared" si="46"/>
        <v>158789.34454763465</v>
      </c>
      <c r="J307" s="2">
        <f t="shared" si="42"/>
        <v>-112478.84724111996</v>
      </c>
      <c r="K307" s="15">
        <v>4699</v>
      </c>
      <c r="L307" s="10">
        <f t="shared" si="43"/>
        <v>43618.831931545668</v>
      </c>
      <c r="M307" s="15">
        <f t="shared" si="47"/>
        <v>0</v>
      </c>
      <c r="N307" s="2">
        <f t="shared" si="44"/>
        <v>0</v>
      </c>
      <c r="O307" s="199">
        <f t="shared" si="48"/>
        <v>-112478.84724111996</v>
      </c>
      <c r="P307" s="419">
        <f t="shared" si="49"/>
        <v>-2.5786762794941764</v>
      </c>
      <c r="Q307" s="192"/>
    </row>
    <row r="308" spans="1:17" x14ac:dyDescent="0.25">
      <c r="A308" s="190">
        <f>'A) Base RI'!A310</f>
        <v>5923</v>
      </c>
      <c r="B308" s="35" t="str">
        <f>'A) Base RI'!B310</f>
        <v>Oppens</v>
      </c>
      <c r="C308" s="34">
        <f>'D) Ecrêtage'!M308</f>
        <v>4881.0219753086412</v>
      </c>
      <c r="D308" s="34">
        <v>44271</v>
      </c>
      <c r="E308" s="10">
        <v>10967</v>
      </c>
      <c r="F308" s="44">
        <v>17902</v>
      </c>
      <c r="G308" s="44">
        <f t="shared" si="45"/>
        <v>73140</v>
      </c>
      <c r="H308" s="10">
        <f t="shared" si="41"/>
        <v>39048.17580246913</v>
      </c>
      <c r="I308" s="34">
        <f t="shared" si="46"/>
        <v>34091.82419753087</v>
      </c>
      <c r="J308" s="2">
        <f t="shared" si="42"/>
        <v>-24149.032776785982</v>
      </c>
      <c r="K308" s="15">
        <v>22675</v>
      </c>
      <c r="L308" s="10">
        <f t="shared" si="43"/>
        <v>4881.0219753086412</v>
      </c>
      <c r="M308" s="15">
        <f t="shared" si="47"/>
        <v>17793.978024691358</v>
      </c>
      <c r="N308" s="2">
        <f t="shared" si="44"/>
        <v>-12604.410842257101</v>
      </c>
      <c r="O308" s="199">
        <f t="shared" si="48"/>
        <v>-36753.443619043086</v>
      </c>
      <c r="P308" s="419">
        <f t="shared" si="49"/>
        <v>-7.5298664511173516</v>
      </c>
      <c r="Q308" s="192"/>
    </row>
    <row r="309" spans="1:17" x14ac:dyDescent="0.25">
      <c r="A309" s="190">
        <f>'A) Base RI'!A311</f>
        <v>5924</v>
      </c>
      <c r="B309" s="35" t="str">
        <f>'A) Base RI'!B311</f>
        <v>Orges</v>
      </c>
      <c r="C309" s="34">
        <f>'D) Ecrêtage'!M309</f>
        <v>9476.448378378378</v>
      </c>
      <c r="D309" s="34">
        <v>33551</v>
      </c>
      <c r="E309" s="10">
        <v>11047</v>
      </c>
      <c r="F309" s="44">
        <v>27449</v>
      </c>
      <c r="G309" s="44">
        <f t="shared" si="45"/>
        <v>72047</v>
      </c>
      <c r="H309" s="10">
        <f t="shared" si="41"/>
        <v>75811.587027027024</v>
      </c>
      <c r="I309" s="34">
        <f t="shared" si="46"/>
        <v>0</v>
      </c>
      <c r="J309" s="2">
        <f t="shared" si="42"/>
        <v>0</v>
      </c>
      <c r="K309" s="15">
        <v>4807</v>
      </c>
      <c r="L309" s="10">
        <f t="shared" si="43"/>
        <v>9476.448378378378</v>
      </c>
      <c r="M309" s="15">
        <f t="shared" si="47"/>
        <v>0</v>
      </c>
      <c r="N309" s="2">
        <f t="shared" si="44"/>
        <v>0</v>
      </c>
      <c r="O309" s="199">
        <f t="shared" si="48"/>
        <v>0</v>
      </c>
      <c r="P309" s="419">
        <f t="shared" si="49"/>
        <v>0</v>
      </c>
      <c r="Q309" s="192"/>
    </row>
    <row r="310" spans="1:17" x14ac:dyDescent="0.25">
      <c r="A310" s="190">
        <f>'A) Base RI'!A312</f>
        <v>5925</v>
      </c>
      <c r="B310" s="35" t="str">
        <f>'A) Base RI'!B312</f>
        <v>Orzens</v>
      </c>
      <c r="C310" s="34">
        <f>'D) Ecrêtage'!M310</f>
        <v>4875.4426582278484</v>
      </c>
      <c r="D310" s="34">
        <v>12304</v>
      </c>
      <c r="E310" s="10">
        <v>12715</v>
      </c>
      <c r="F310" s="44">
        <v>20755</v>
      </c>
      <c r="G310" s="44">
        <f t="shared" si="45"/>
        <v>45774</v>
      </c>
      <c r="H310" s="10">
        <f t="shared" si="41"/>
        <v>39003.541265822787</v>
      </c>
      <c r="I310" s="34">
        <f t="shared" si="46"/>
        <v>6770.458734177213</v>
      </c>
      <c r="J310" s="2">
        <f t="shared" si="42"/>
        <v>-4795.8721404343059</v>
      </c>
      <c r="K310" s="15">
        <v>14085</v>
      </c>
      <c r="L310" s="10">
        <f t="shared" si="43"/>
        <v>4875.4426582278484</v>
      </c>
      <c r="M310" s="15">
        <f t="shared" si="47"/>
        <v>9209.5573417721516</v>
      </c>
      <c r="N310" s="2">
        <f t="shared" si="44"/>
        <v>-6523.6140142437234</v>
      </c>
      <c r="O310" s="199">
        <f t="shared" si="48"/>
        <v>-11319.48615467803</v>
      </c>
      <c r="P310" s="419">
        <f t="shared" si="49"/>
        <v>-2.3217350604206466</v>
      </c>
      <c r="Q310" s="192"/>
    </row>
    <row r="311" spans="1:17" x14ac:dyDescent="0.25">
      <c r="A311" s="190">
        <f>'A) Base RI'!A313</f>
        <v>5926</v>
      </c>
      <c r="B311" s="35" t="str">
        <f>'A) Base RI'!B313</f>
        <v>Pomy</v>
      </c>
      <c r="C311" s="34">
        <f>'D) Ecrêtage'!M311</f>
        <v>22774.42661971831</v>
      </c>
      <c r="D311" s="34">
        <v>74146</v>
      </c>
      <c r="E311" s="10">
        <v>43990</v>
      </c>
      <c r="F311" s="44">
        <v>71053</v>
      </c>
      <c r="G311" s="44">
        <f t="shared" si="45"/>
        <v>189189</v>
      </c>
      <c r="H311" s="10">
        <f t="shared" si="41"/>
        <v>182195.41295774648</v>
      </c>
      <c r="I311" s="34">
        <f t="shared" si="46"/>
        <v>6993.5870422535227</v>
      </c>
      <c r="J311" s="2">
        <f t="shared" si="42"/>
        <v>-4953.9256606549652</v>
      </c>
      <c r="K311" s="15">
        <v>44599</v>
      </c>
      <c r="L311" s="10">
        <f t="shared" si="43"/>
        <v>22774.42661971831</v>
      </c>
      <c r="M311" s="15">
        <f t="shared" si="47"/>
        <v>21824.57338028169</v>
      </c>
      <c r="N311" s="2">
        <f t="shared" si="44"/>
        <v>-15459.493597235107</v>
      </c>
      <c r="O311" s="199">
        <f t="shared" si="48"/>
        <v>-20413.419257890073</v>
      </c>
      <c r="P311" s="419">
        <f t="shared" si="49"/>
        <v>-0.89633076602753836</v>
      </c>
      <c r="Q311" s="192"/>
    </row>
    <row r="312" spans="1:17" x14ac:dyDescent="0.25">
      <c r="A312" s="190">
        <f>'A) Base RI'!A314</f>
        <v>5928</v>
      </c>
      <c r="B312" s="35" t="str">
        <f>'A) Base RI'!B314</f>
        <v>Rovray</v>
      </c>
      <c r="C312" s="34">
        <f>'D) Ecrêtage'!M312</f>
        <v>4451.7282191780823</v>
      </c>
      <c r="D312" s="34">
        <v>27553</v>
      </c>
      <c r="E312" s="10">
        <v>7071</v>
      </c>
      <c r="F312" s="44">
        <v>14379</v>
      </c>
      <c r="G312" s="44">
        <f t="shared" si="45"/>
        <v>49003</v>
      </c>
      <c r="H312" s="10">
        <f t="shared" si="41"/>
        <v>35613.825753424659</v>
      </c>
      <c r="I312" s="34">
        <f t="shared" si="46"/>
        <v>13389.174246575341</v>
      </c>
      <c r="J312" s="2">
        <f t="shared" si="42"/>
        <v>-9484.2565731071827</v>
      </c>
      <c r="K312" s="15">
        <v>5180</v>
      </c>
      <c r="L312" s="10">
        <f t="shared" si="43"/>
        <v>4451.7282191780823</v>
      </c>
      <c r="M312" s="15">
        <f t="shared" si="47"/>
        <v>728.27178082191767</v>
      </c>
      <c r="N312" s="2">
        <f t="shared" si="44"/>
        <v>-515.87321944334519</v>
      </c>
      <c r="O312" s="199">
        <f t="shared" si="48"/>
        <v>-10000.129792550528</v>
      </c>
      <c r="P312" s="419">
        <f t="shared" si="49"/>
        <v>-2.2463477778068044</v>
      </c>
      <c r="Q312" s="192"/>
    </row>
    <row r="313" spans="1:17" x14ac:dyDescent="0.25">
      <c r="A313" s="190">
        <f>'A) Base RI'!A315</f>
        <v>5929</v>
      </c>
      <c r="B313" s="35" t="str">
        <f>'A) Base RI'!B315</f>
        <v>Suchy</v>
      </c>
      <c r="C313" s="34">
        <f>'D) Ecrêtage'!M313</f>
        <v>16583.788428571432</v>
      </c>
      <c r="D313" s="34">
        <v>54352</v>
      </c>
      <c r="E313" s="10">
        <v>21774</v>
      </c>
      <c r="F313" s="44">
        <v>49298</v>
      </c>
      <c r="G313" s="44">
        <f t="shared" si="45"/>
        <v>125424</v>
      </c>
      <c r="H313" s="10">
        <f t="shared" si="41"/>
        <v>132670.30742857145</v>
      </c>
      <c r="I313" s="34">
        <f t="shared" si="46"/>
        <v>0</v>
      </c>
      <c r="J313" s="2">
        <f t="shared" si="42"/>
        <v>0</v>
      </c>
      <c r="K313" s="15">
        <v>37800</v>
      </c>
      <c r="L313" s="10">
        <f t="shared" si="43"/>
        <v>16583.788428571432</v>
      </c>
      <c r="M313" s="15">
        <f t="shared" si="47"/>
        <v>21216.211571428568</v>
      </c>
      <c r="N313" s="2">
        <f t="shared" si="44"/>
        <v>-15028.558919846888</v>
      </c>
      <c r="O313" s="199">
        <f t="shared" si="48"/>
        <v>-15028.558919846888</v>
      </c>
      <c r="P313" s="419">
        <f t="shared" si="49"/>
        <v>-0.90621988965771461</v>
      </c>
      <c r="Q313" s="192"/>
    </row>
    <row r="314" spans="1:17" x14ac:dyDescent="0.25">
      <c r="A314" s="190">
        <f>'A) Base RI'!A316</f>
        <v>5930</v>
      </c>
      <c r="B314" s="35" t="str">
        <f>'A) Base RI'!B316</f>
        <v>Suscévaz</v>
      </c>
      <c r="C314" s="34">
        <f>'D) Ecrêtage'!M314</f>
        <v>4886.5228787878787</v>
      </c>
      <c r="D314" s="34">
        <v>17604</v>
      </c>
      <c r="E314" s="10">
        <v>11992</v>
      </c>
      <c r="F314" s="44">
        <v>10012</v>
      </c>
      <c r="G314" s="44">
        <f t="shared" si="45"/>
        <v>39608</v>
      </c>
      <c r="H314" s="10">
        <f t="shared" si="41"/>
        <v>39092.183030303029</v>
      </c>
      <c r="I314" s="34">
        <f t="shared" si="46"/>
        <v>515.81696969697077</v>
      </c>
      <c r="J314" s="2">
        <f t="shared" si="42"/>
        <v>-365.38029868571073</v>
      </c>
      <c r="K314" s="15">
        <v>1102</v>
      </c>
      <c r="L314" s="10">
        <f t="shared" si="43"/>
        <v>4886.5228787878787</v>
      </c>
      <c r="M314" s="15">
        <f t="shared" si="47"/>
        <v>0</v>
      </c>
      <c r="N314" s="2">
        <f t="shared" si="44"/>
        <v>0</v>
      </c>
      <c r="O314" s="199">
        <f t="shared" si="48"/>
        <v>-365.38029868571073</v>
      </c>
      <c r="P314" s="419">
        <f t="shared" si="49"/>
        <v>-7.4773066196375762E-2</v>
      </c>
      <c r="Q314" s="192"/>
    </row>
    <row r="315" spans="1:17" x14ac:dyDescent="0.25">
      <c r="A315" s="190">
        <f>'A) Base RI'!A317</f>
        <v>5931</v>
      </c>
      <c r="B315" s="35" t="str">
        <f>'A) Base RI'!B317</f>
        <v>Treycovagnes</v>
      </c>
      <c r="C315" s="34">
        <f>'D) Ecrêtage'!M315</f>
        <v>16368.774155844154</v>
      </c>
      <c r="D315" s="34">
        <v>81950</v>
      </c>
      <c r="E315" s="10">
        <v>27840</v>
      </c>
      <c r="F315" s="44">
        <v>20713</v>
      </c>
      <c r="G315" s="44">
        <f t="shared" si="45"/>
        <v>130503</v>
      </c>
      <c r="H315" s="10">
        <f t="shared" si="41"/>
        <v>130950.19324675323</v>
      </c>
      <c r="I315" s="34">
        <f t="shared" si="46"/>
        <v>0</v>
      </c>
      <c r="J315" s="2">
        <f t="shared" si="42"/>
        <v>0</v>
      </c>
      <c r="K315" s="15">
        <v>1399</v>
      </c>
      <c r="L315" s="10">
        <f t="shared" si="43"/>
        <v>16368.774155844154</v>
      </c>
      <c r="M315" s="15">
        <f t="shared" si="47"/>
        <v>0</v>
      </c>
      <c r="N315" s="2">
        <f t="shared" si="44"/>
        <v>0</v>
      </c>
      <c r="O315" s="199">
        <f t="shared" si="48"/>
        <v>0</v>
      </c>
      <c r="P315" s="419">
        <f t="shared" si="49"/>
        <v>0</v>
      </c>
      <c r="Q315" s="192"/>
    </row>
    <row r="316" spans="1:17" x14ac:dyDescent="0.25">
      <c r="A316" s="190">
        <f>'A) Base RI'!A318</f>
        <v>5932</v>
      </c>
      <c r="B316" s="35" t="str">
        <f>'A) Base RI'!B318</f>
        <v>Ursins</v>
      </c>
      <c r="C316" s="34">
        <f>'D) Ecrêtage'!M316</f>
        <v>6366.2738461538456</v>
      </c>
      <c r="D316" s="34">
        <v>220536</v>
      </c>
      <c r="E316" s="10">
        <v>8316</v>
      </c>
      <c r="F316" s="44">
        <v>8921</v>
      </c>
      <c r="G316" s="44">
        <f t="shared" si="45"/>
        <v>237773</v>
      </c>
      <c r="H316" s="10">
        <f t="shared" si="41"/>
        <v>50930.190769230765</v>
      </c>
      <c r="I316" s="34">
        <f t="shared" si="46"/>
        <v>186842.80923076923</v>
      </c>
      <c r="J316" s="2">
        <f t="shared" si="42"/>
        <v>-132350.59227330543</v>
      </c>
      <c r="K316" s="15">
        <v>19972</v>
      </c>
      <c r="L316" s="10">
        <f t="shared" si="43"/>
        <v>6366.2738461538456</v>
      </c>
      <c r="M316" s="15">
        <f t="shared" si="47"/>
        <v>13605.726153846153</v>
      </c>
      <c r="N316" s="2">
        <f t="shared" si="44"/>
        <v>-9637.6516826284023</v>
      </c>
      <c r="O316" s="199">
        <f t="shared" si="48"/>
        <v>-141988.24395593384</v>
      </c>
      <c r="P316" s="419">
        <f t="shared" si="49"/>
        <v>-22.303194519619254</v>
      </c>
      <c r="Q316" s="192"/>
    </row>
    <row r="317" spans="1:17" x14ac:dyDescent="0.25">
      <c r="A317" s="190">
        <f>'A) Base RI'!A319</f>
        <v>5933</v>
      </c>
      <c r="B317" s="35" t="str">
        <f>'A) Base RI'!B319</f>
        <v>Valeyres-sous-Montagny</v>
      </c>
      <c r="C317" s="34">
        <f>'D) Ecrêtage'!M317</f>
        <v>19578.46263888889</v>
      </c>
      <c r="D317" s="34">
        <v>396321</v>
      </c>
      <c r="E317" s="10">
        <v>66387</v>
      </c>
      <c r="F317" s="44">
        <v>76982</v>
      </c>
      <c r="G317" s="44">
        <f t="shared" si="45"/>
        <v>539690</v>
      </c>
      <c r="H317" s="10">
        <f t="shared" si="41"/>
        <v>156627.70111111112</v>
      </c>
      <c r="I317" s="34">
        <f t="shared" si="46"/>
        <v>383062.29888888891</v>
      </c>
      <c r="J317" s="2">
        <f t="shared" si="42"/>
        <v>-271343.18063533684</v>
      </c>
      <c r="K317" s="15">
        <v>11579</v>
      </c>
      <c r="L317" s="10">
        <f t="shared" si="43"/>
        <v>19578.46263888889</v>
      </c>
      <c r="M317" s="15">
        <f t="shared" si="47"/>
        <v>0</v>
      </c>
      <c r="N317" s="2">
        <f t="shared" si="44"/>
        <v>0</v>
      </c>
      <c r="O317" s="199">
        <f t="shared" si="48"/>
        <v>-271343.18063533684</v>
      </c>
      <c r="P317" s="419">
        <f t="shared" si="49"/>
        <v>-13.859269016167044</v>
      </c>
      <c r="Q317" s="192"/>
    </row>
    <row r="318" spans="1:17" x14ac:dyDescent="0.25">
      <c r="A318" s="190">
        <f>'A) Base RI'!A320</f>
        <v>5934</v>
      </c>
      <c r="B318" s="35" t="str">
        <f>'A) Base RI'!B320</f>
        <v>Valeyres-sous-Ursins</v>
      </c>
      <c r="C318" s="34">
        <f>'D) Ecrêtage'!M318</f>
        <v>6856.0722784810141</v>
      </c>
      <c r="D318" s="34">
        <v>32078</v>
      </c>
      <c r="E318" s="10">
        <v>9843</v>
      </c>
      <c r="F318" s="44">
        <v>11805</v>
      </c>
      <c r="G318" s="44">
        <f t="shared" si="45"/>
        <v>53726</v>
      </c>
      <c r="H318" s="10">
        <f t="shared" si="41"/>
        <v>54848.578227848113</v>
      </c>
      <c r="I318" s="34">
        <f t="shared" si="46"/>
        <v>0</v>
      </c>
      <c r="J318" s="2">
        <f t="shared" si="42"/>
        <v>0</v>
      </c>
      <c r="K318" s="15">
        <v>19871</v>
      </c>
      <c r="L318" s="10">
        <f t="shared" si="43"/>
        <v>6856.0722784810141</v>
      </c>
      <c r="M318" s="15">
        <f t="shared" si="47"/>
        <v>13014.927721518987</v>
      </c>
      <c r="N318" s="2">
        <f t="shared" si="44"/>
        <v>-9219.158068908082</v>
      </c>
      <c r="O318" s="199">
        <f t="shared" si="48"/>
        <v>-9219.158068908082</v>
      </c>
      <c r="P318" s="419">
        <f t="shared" si="49"/>
        <v>-1.3446704898144128</v>
      </c>
      <c r="Q318" s="192"/>
    </row>
    <row r="319" spans="1:17" x14ac:dyDescent="0.25">
      <c r="A319" s="190">
        <f>'A) Base RI'!A321</f>
        <v>5935</v>
      </c>
      <c r="B319" s="35" t="str">
        <f>'A) Base RI'!B321</f>
        <v>Villars-Epeney</v>
      </c>
      <c r="C319" s="34">
        <f>'D) Ecrêtage'!M319</f>
        <v>4252.6353333333336</v>
      </c>
      <c r="D319" s="34">
        <v>31899</v>
      </c>
      <c r="E319" s="10">
        <v>3616</v>
      </c>
      <c r="F319" s="44">
        <v>7939</v>
      </c>
      <c r="G319" s="44">
        <f t="shared" si="45"/>
        <v>43454</v>
      </c>
      <c r="H319" s="10">
        <f t="shared" si="41"/>
        <v>34021.082666666669</v>
      </c>
      <c r="I319" s="34">
        <f t="shared" si="46"/>
        <v>9432.917333333331</v>
      </c>
      <c r="J319" s="2">
        <f t="shared" si="42"/>
        <v>-6681.8316480664462</v>
      </c>
      <c r="K319" s="15">
        <v>12367</v>
      </c>
      <c r="L319" s="10">
        <f t="shared" si="43"/>
        <v>4252.6353333333336</v>
      </c>
      <c r="M319" s="15">
        <f t="shared" si="47"/>
        <v>8114.3646666666664</v>
      </c>
      <c r="N319" s="2">
        <f t="shared" si="44"/>
        <v>-5747.8314203063246</v>
      </c>
      <c r="O319" s="199">
        <f t="shared" si="48"/>
        <v>-12429.663068372771</v>
      </c>
      <c r="P319" s="419">
        <f t="shared" si="49"/>
        <v>-2.9228142302599118</v>
      </c>
      <c r="Q319" s="192"/>
    </row>
    <row r="320" spans="1:17" x14ac:dyDescent="0.25">
      <c r="A320" s="190">
        <f>'A) Base RI'!A322</f>
        <v>5937</v>
      </c>
      <c r="B320" s="35" t="str">
        <f>'A) Base RI'!B322</f>
        <v>Vugelles-La Mothe</v>
      </c>
      <c r="C320" s="34">
        <f>'D) Ecrêtage'!M320</f>
        <v>2272.9823469387752</v>
      </c>
      <c r="D320" s="34">
        <v>32067</v>
      </c>
      <c r="E320" s="10">
        <v>5423</v>
      </c>
      <c r="F320" s="44">
        <v>21670</v>
      </c>
      <c r="G320" s="44">
        <f t="shared" si="45"/>
        <v>59160</v>
      </c>
      <c r="H320" s="10">
        <f t="shared" si="41"/>
        <v>18183.858775510202</v>
      </c>
      <c r="I320" s="34">
        <f t="shared" si="46"/>
        <v>40976.141224489795</v>
      </c>
      <c r="J320" s="2">
        <f t="shared" si="42"/>
        <v>-29025.556736505852</v>
      </c>
      <c r="K320" s="15">
        <v>-7492</v>
      </c>
      <c r="L320" s="10">
        <f t="shared" si="43"/>
        <v>2272.9823469387752</v>
      </c>
      <c r="M320" s="15">
        <f t="shared" si="47"/>
        <v>0</v>
      </c>
      <c r="N320" s="2">
        <f t="shared" si="44"/>
        <v>0</v>
      </c>
      <c r="O320" s="199">
        <f t="shared" si="48"/>
        <v>-29025.556736505852</v>
      </c>
      <c r="P320" s="419">
        <f t="shared" si="49"/>
        <v>-12.769811774208065</v>
      </c>
      <c r="Q320" s="192"/>
    </row>
    <row r="321" spans="1:17" x14ac:dyDescent="0.25">
      <c r="A321" s="190">
        <f>'A) Base RI'!A323</f>
        <v>5938</v>
      </c>
      <c r="B321" s="35" t="str">
        <f>'A) Base RI'!B323</f>
        <v>Yverdon-les-Bains</v>
      </c>
      <c r="C321" s="34">
        <f>'D) Ecrêtage'!M321</f>
        <v>809245.0162091502</v>
      </c>
      <c r="D321" s="34">
        <v>9077879</v>
      </c>
      <c r="E321" s="10">
        <v>7057002</v>
      </c>
      <c r="F321" s="44">
        <v>814377</v>
      </c>
      <c r="G321" s="44">
        <f t="shared" si="45"/>
        <v>16949258</v>
      </c>
      <c r="H321" s="10">
        <f t="shared" si="41"/>
        <v>6473960.1296732016</v>
      </c>
      <c r="I321" s="34">
        <f t="shared" si="46"/>
        <v>10475297.870326798</v>
      </c>
      <c r="J321" s="2">
        <f t="shared" si="42"/>
        <v>-7420204.6259360835</v>
      </c>
      <c r="K321" s="15">
        <v>226970</v>
      </c>
      <c r="L321" s="10">
        <f t="shared" si="43"/>
        <v>809245.0162091502</v>
      </c>
      <c r="M321" s="15">
        <f t="shared" si="47"/>
        <v>0</v>
      </c>
      <c r="N321" s="2">
        <f t="shared" si="44"/>
        <v>0</v>
      </c>
      <c r="O321" s="199">
        <f t="shared" si="48"/>
        <v>-7420204.6259360835</v>
      </c>
      <c r="P321" s="419">
        <f t="shared" si="49"/>
        <v>-9.1692929549266751</v>
      </c>
      <c r="Q321" s="192"/>
    </row>
    <row r="322" spans="1:17" x14ac:dyDescent="0.25">
      <c r="A322" s="190">
        <f>'A) Base RI'!A324</f>
        <v>5939</v>
      </c>
      <c r="B322" s="56" t="str">
        <f>'A) Base RI'!B324</f>
        <v>Yvonand</v>
      </c>
      <c r="C322" s="34">
        <f>'D) Ecrêtage'!M322</f>
        <v>88261.067808219188</v>
      </c>
      <c r="D322" s="154">
        <v>488378</v>
      </c>
      <c r="E322" s="20">
        <v>316569</v>
      </c>
      <c r="F322" s="95">
        <v>274078</v>
      </c>
      <c r="G322" s="95">
        <f t="shared" si="45"/>
        <v>1079025</v>
      </c>
      <c r="H322" s="20">
        <f t="shared" si="41"/>
        <v>706088.5424657535</v>
      </c>
      <c r="I322" s="154">
        <f t="shared" si="46"/>
        <v>372936.4575342465</v>
      </c>
      <c r="J322" s="2">
        <f t="shared" si="42"/>
        <v>-264170.5144456671</v>
      </c>
      <c r="K322" s="96">
        <v>86593</v>
      </c>
      <c r="L322" s="20">
        <f t="shared" si="43"/>
        <v>88261.067808219188</v>
      </c>
      <c r="M322" s="96">
        <f t="shared" si="47"/>
        <v>0</v>
      </c>
      <c r="N322" s="200">
        <f t="shared" si="44"/>
        <v>0</v>
      </c>
      <c r="O322" s="201">
        <f t="shared" si="48"/>
        <v>-264170.5144456671</v>
      </c>
      <c r="P322" s="421">
        <f t="shared" si="49"/>
        <v>-2.9930582192782693</v>
      </c>
      <c r="Q322" s="192"/>
    </row>
    <row r="323" spans="1:17" x14ac:dyDescent="0.25">
      <c r="A323" s="106"/>
      <c r="B323" s="182">
        <f>COUNTA(B5:B322)</f>
        <v>318</v>
      </c>
      <c r="C323" s="11">
        <f t="shared" ref="C323:O323" si="50">SUM(C5:C322)</f>
        <v>34317025.774862766</v>
      </c>
      <c r="D323" s="11">
        <f t="shared" si="50"/>
        <v>247523939</v>
      </c>
      <c r="E323" s="11">
        <f t="shared" si="50"/>
        <v>149388605</v>
      </c>
      <c r="F323" s="97">
        <f t="shared" si="50"/>
        <v>41847223.710000001</v>
      </c>
      <c r="G323" s="11">
        <f t="shared" si="50"/>
        <v>438759767.71000004</v>
      </c>
      <c r="H323" s="154">
        <f t="shared" si="50"/>
        <v>274536206.19890213</v>
      </c>
      <c r="I323" s="11">
        <f t="shared" si="50"/>
        <v>186286603.51103139</v>
      </c>
      <c r="J323" s="41">
        <f t="shared" si="50"/>
        <v>-131956602.49796334</v>
      </c>
      <c r="K323" s="183">
        <f t="shared" si="50"/>
        <v>21384760</v>
      </c>
      <c r="L323" s="20">
        <f t="shared" si="50"/>
        <v>34317025.774862766</v>
      </c>
      <c r="M323" s="11">
        <f t="shared" si="50"/>
        <v>7498384.9831477962</v>
      </c>
      <c r="N323" s="200">
        <f t="shared" si="50"/>
        <v>-5311500.6014876384</v>
      </c>
      <c r="O323" s="202">
        <f t="shared" si="50"/>
        <v>-137268103.09945095</v>
      </c>
      <c r="P323" s="165">
        <f>O323/C323</f>
        <v>-3.9999999999999964</v>
      </c>
    </row>
    <row r="327" spans="1:17" x14ac:dyDescent="0.25">
      <c r="C327" s="13"/>
      <c r="D327" s="13"/>
      <c r="E327" s="13"/>
      <c r="F327" s="13"/>
      <c r="G327" s="13"/>
      <c r="H327" s="13"/>
      <c r="I327" s="13"/>
      <c r="J327" s="13"/>
      <c r="K327" s="13"/>
    </row>
    <row r="328" spans="1:17" x14ac:dyDescent="0.25">
      <c r="J328" s="31"/>
    </row>
  </sheetData>
  <mergeCells count="10">
    <mergeCell ref="D3:D4"/>
    <mergeCell ref="C3:C4"/>
    <mergeCell ref="B3:B4"/>
    <mergeCell ref="A3:A4"/>
    <mergeCell ref="L3:L4"/>
    <mergeCell ref="K3:K4"/>
    <mergeCell ref="H3:H4"/>
    <mergeCell ref="G3:G4"/>
    <mergeCell ref="F3:F4"/>
    <mergeCell ref="E3:E4"/>
  </mergeCells>
  <phoneticPr fontId="0" type="noConversion"/>
  <printOptions horizontalCentered="1"/>
  <pageMargins left="0" right="0" top="0" bottom="0" header="0.51181102362204722" footer="0.51181102362204722"/>
  <pageSetup paperSize="9" scale="64" orientation="landscape"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323"/>
  <sheetViews>
    <sheetView workbookViewId="0"/>
  </sheetViews>
  <sheetFormatPr baseColWidth="10" defaultColWidth="10.75" defaultRowHeight="15" x14ac:dyDescent="0.25"/>
  <cols>
    <col min="1" max="1" width="7.25" style="14" customWidth="1"/>
    <col min="2" max="2" width="19.875" style="14" customWidth="1"/>
    <col min="3" max="4" width="10" style="14" customWidth="1"/>
    <col min="5" max="5" width="11.125" style="14" customWidth="1"/>
    <col min="6" max="7" width="10" style="14" customWidth="1"/>
    <col min="8" max="8" width="10" style="215" customWidth="1"/>
    <col min="9" max="9" width="12" style="14" bestFit="1" customWidth="1"/>
    <col min="10" max="10" width="10" style="16" customWidth="1"/>
    <col min="11" max="11" width="12.125" style="6" customWidth="1"/>
    <col min="12" max="14" width="12.125" style="14" customWidth="1"/>
    <col min="15" max="17" width="8.125" style="14" customWidth="1"/>
    <col min="18" max="16384" width="10.75" style="14"/>
  </cols>
  <sheetData>
    <row r="1" spans="1:25" s="46" customFormat="1" ht="21" x14ac:dyDescent="0.25">
      <c r="A1" s="57" t="s">
        <v>246</v>
      </c>
      <c r="B1" s="45"/>
      <c r="C1" s="92"/>
      <c r="D1" s="92"/>
      <c r="E1" s="92"/>
      <c r="F1" s="92"/>
      <c r="G1" s="92"/>
      <c r="H1" s="214"/>
      <c r="I1" s="92"/>
      <c r="J1" s="203"/>
      <c r="K1" s="47"/>
      <c r="L1" s="70"/>
      <c r="N1" s="14"/>
      <c r="O1" s="14"/>
      <c r="P1" s="14"/>
      <c r="Q1" s="14"/>
      <c r="R1" s="14"/>
      <c r="Y1" s="14"/>
    </row>
    <row r="3" spans="1:25" ht="30" x14ac:dyDescent="0.25">
      <c r="A3" s="551" t="s">
        <v>50</v>
      </c>
      <c r="B3" s="551" t="s">
        <v>120</v>
      </c>
      <c r="C3" s="551" t="s">
        <v>514</v>
      </c>
      <c r="D3" s="551" t="s">
        <v>117</v>
      </c>
      <c r="E3" s="551" t="s">
        <v>371</v>
      </c>
      <c r="F3" s="551" t="s">
        <v>413</v>
      </c>
      <c r="G3" s="581" t="s">
        <v>402</v>
      </c>
      <c r="H3" s="216" t="s">
        <v>179</v>
      </c>
      <c r="I3" s="579" t="s">
        <v>416</v>
      </c>
      <c r="J3" s="586" t="s">
        <v>384</v>
      </c>
    </row>
    <row r="4" spans="1:25" x14ac:dyDescent="0.25">
      <c r="A4" s="555"/>
      <c r="B4" s="555"/>
      <c r="C4" s="555"/>
      <c r="D4" s="555"/>
      <c r="E4" s="552"/>
      <c r="F4" s="552"/>
      <c r="G4" s="582"/>
      <c r="H4" s="412">
        <f>Paramètres!B43</f>
        <v>56.131296849291822</v>
      </c>
      <c r="I4" s="580"/>
      <c r="J4" s="591"/>
    </row>
    <row r="5" spans="1:25" x14ac:dyDescent="0.25">
      <c r="A5" s="49">
        <f>'A) Base RI'!A7</f>
        <v>5401</v>
      </c>
      <c r="B5" s="115" t="str">
        <f>'A) Base RI'!B7</f>
        <v>Aigle</v>
      </c>
      <c r="C5" s="126">
        <f>'B) D RI'!U7</f>
        <v>274204.16723456793</v>
      </c>
      <c r="D5" s="167">
        <f>'E) Fact soc'!G11/C5</f>
        <v>19.915984007675494</v>
      </c>
      <c r="E5" s="155">
        <f>'H) Péréquation directe'!I16/C5</f>
        <v>-9.1156069954336267</v>
      </c>
      <c r="F5" s="205">
        <f>+'I) Dépenses thématiques'!O5/C5</f>
        <v>-7.7369516592226137</v>
      </c>
      <c r="G5" s="167">
        <f>SUM(D5:F5)</f>
        <v>3.0634253530192534</v>
      </c>
      <c r="H5" s="130">
        <f t="shared" ref="H5:H59" si="0">IF(G5&gt;H$4,H$4-G5,0)</f>
        <v>0</v>
      </c>
      <c r="I5" s="174">
        <f>H5*C5</f>
        <v>0</v>
      </c>
      <c r="J5" s="119">
        <f>G5+H5</f>
        <v>3.0634253530192534</v>
      </c>
    </row>
    <row r="6" spans="1:25" x14ac:dyDescent="0.25">
      <c r="A6" s="53">
        <f>'A) Base RI'!A8</f>
        <v>5402</v>
      </c>
      <c r="B6" s="116" t="str">
        <f>'A) Base RI'!B8</f>
        <v>Bex</v>
      </c>
      <c r="C6" s="127">
        <f>'B) D RI'!U8</f>
        <v>168618.65154929578</v>
      </c>
      <c r="D6" s="168">
        <f>'E) Fact soc'!G12/C6</f>
        <v>18.24503027686044</v>
      </c>
      <c r="E6" s="159">
        <f>'H) Péréquation directe'!I17/C6</f>
        <v>-19.435967045333939</v>
      </c>
      <c r="F6" s="206">
        <f>+'I) Dépenses thématiques'!O6/C6</f>
        <v>-10.344039474220505</v>
      </c>
      <c r="G6" s="168">
        <f t="shared" ref="G6:G61" si="1">SUM(D6:F6)</f>
        <v>-11.534976242694004</v>
      </c>
      <c r="H6" s="130">
        <f t="shared" si="0"/>
        <v>0</v>
      </c>
      <c r="I6" s="175">
        <f t="shared" ref="I6:I60" si="2">H6*C6</f>
        <v>0</v>
      </c>
      <c r="J6" s="36">
        <f t="shared" ref="J6:J59" si="3">G6+H6</f>
        <v>-11.534976242694004</v>
      </c>
    </row>
    <row r="7" spans="1:25" x14ac:dyDescent="0.25">
      <c r="A7" s="53">
        <f>'A) Base RI'!A9</f>
        <v>5403</v>
      </c>
      <c r="B7" s="116" t="str">
        <f>'A) Base RI'!B9</f>
        <v>Chessel</v>
      </c>
      <c r="C7" s="127">
        <f>'B) D RI'!U9</f>
        <v>8336.8572368421064</v>
      </c>
      <c r="D7" s="168">
        <f>'E) Fact soc'!G13/C7</f>
        <v>17.862467232534609</v>
      </c>
      <c r="E7" s="159">
        <f>'H) Péréquation directe'!I18/C7</f>
        <v>-11.255728999132257</v>
      </c>
      <c r="F7" s="206">
        <f>+'I) Dépenses thématiques'!O7/C7</f>
        <v>-3.4810969585909106</v>
      </c>
      <c r="G7" s="168">
        <f t="shared" si="1"/>
        <v>3.1256412748114411</v>
      </c>
      <c r="H7" s="130">
        <f t="shared" si="0"/>
        <v>0</v>
      </c>
      <c r="I7" s="175">
        <f t="shared" si="2"/>
        <v>0</v>
      </c>
      <c r="J7" s="36">
        <f t="shared" si="3"/>
        <v>3.1256412748114411</v>
      </c>
    </row>
    <row r="8" spans="1:25" x14ac:dyDescent="0.25">
      <c r="A8" s="53">
        <f>'A) Base RI'!A10</f>
        <v>5404</v>
      </c>
      <c r="B8" s="116" t="str">
        <f>'A) Base RI'!B10</f>
        <v>Corbeyrier</v>
      </c>
      <c r="C8" s="127">
        <f>'B) D RI'!U10</f>
        <v>39921.252857142863</v>
      </c>
      <c r="D8" s="168">
        <f>'E) Fact soc'!G14/C8</f>
        <v>24.650702959682242</v>
      </c>
      <c r="E8" s="159">
        <f>'H) Péréquation directe'!I19/C8</f>
        <v>14.499806186897306</v>
      </c>
      <c r="F8" s="206">
        <f>+'I) Dépenses thématiques'!O8/C8</f>
        <v>-0.41156932703898791</v>
      </c>
      <c r="G8" s="168">
        <f t="shared" si="1"/>
        <v>38.738939819540562</v>
      </c>
      <c r="H8" s="130">
        <f t="shared" si="0"/>
        <v>0</v>
      </c>
      <c r="I8" s="175">
        <f t="shared" si="2"/>
        <v>0</v>
      </c>
      <c r="J8" s="36">
        <f t="shared" si="3"/>
        <v>38.738939819540562</v>
      </c>
    </row>
    <row r="9" spans="1:25" x14ac:dyDescent="0.25">
      <c r="A9" s="53">
        <f>'A) Base RI'!A11</f>
        <v>5405</v>
      </c>
      <c r="B9" s="116" t="str">
        <f>'A) Base RI'!B11</f>
        <v>Gryon</v>
      </c>
      <c r="C9" s="127">
        <f>'B) D RI'!U11</f>
        <v>64864.951911111115</v>
      </c>
      <c r="D9" s="168">
        <f>'E) Fact soc'!G15/C9</f>
        <v>19.345635438126035</v>
      </c>
      <c r="E9" s="159">
        <f>'H) Péréquation directe'!I20/C9</f>
        <v>15.219894428529349</v>
      </c>
      <c r="F9" s="206">
        <f>+'I) Dépenses thématiques'!O9/C9</f>
        <v>-6.3196957895349914</v>
      </c>
      <c r="G9" s="168">
        <f t="shared" si="1"/>
        <v>28.245834077120392</v>
      </c>
      <c r="H9" s="130">
        <f t="shared" si="0"/>
        <v>0</v>
      </c>
      <c r="I9" s="175">
        <f t="shared" si="2"/>
        <v>0</v>
      </c>
      <c r="J9" s="36">
        <f t="shared" si="3"/>
        <v>28.245834077120392</v>
      </c>
    </row>
    <row r="10" spans="1:25" x14ac:dyDescent="0.25">
      <c r="A10" s="53">
        <f>'A) Base RI'!A12</f>
        <v>5406</v>
      </c>
      <c r="B10" s="116" t="str">
        <f>'A) Base RI'!B12</f>
        <v>Lavey-Morcles</v>
      </c>
      <c r="C10" s="127">
        <f>'B) D RI'!U12</f>
        <v>20248.886901408452</v>
      </c>
      <c r="D10" s="168">
        <f>'E) Fact soc'!G16/C10</f>
        <v>15.324222828156643</v>
      </c>
      <c r="E10" s="159">
        <f>'H) Péréquation directe'!I21/C10</f>
        <v>-6.2336635509421425</v>
      </c>
      <c r="F10" s="206">
        <f>+'I) Dépenses thématiques'!O10/C10</f>
        <v>-3.5286261757504302</v>
      </c>
      <c r="G10" s="168">
        <f t="shared" si="1"/>
        <v>5.5619331014640689</v>
      </c>
      <c r="H10" s="130">
        <f t="shared" si="0"/>
        <v>0</v>
      </c>
      <c r="I10" s="175">
        <f t="shared" si="2"/>
        <v>0</v>
      </c>
      <c r="J10" s="36">
        <f t="shared" si="3"/>
        <v>5.5619331014640689</v>
      </c>
    </row>
    <row r="11" spans="1:25" x14ac:dyDescent="0.25">
      <c r="A11" s="53">
        <f>'A) Base RI'!A13</f>
        <v>5407</v>
      </c>
      <c r="B11" s="116" t="str">
        <f>'A) Base RI'!B13</f>
        <v>Leysin</v>
      </c>
      <c r="C11" s="127">
        <f>'B) D RI'!U13</f>
        <v>82610.97474358973</v>
      </c>
      <c r="D11" s="168">
        <f>'E) Fact soc'!G17/C11</f>
        <v>17.886325502930617</v>
      </c>
      <c r="E11" s="159">
        <f>'H) Péréquation directe'!I22/C11</f>
        <v>-26.222020198630048</v>
      </c>
      <c r="F11" s="206">
        <f>+'I) Dépenses thématiques'!O11/C11</f>
        <v>-25.967074061572344</v>
      </c>
      <c r="G11" s="168">
        <f t="shared" si="1"/>
        <v>-34.302768757271778</v>
      </c>
      <c r="H11" s="130">
        <f t="shared" si="0"/>
        <v>0</v>
      </c>
      <c r="I11" s="175">
        <f t="shared" si="2"/>
        <v>0</v>
      </c>
      <c r="J11" s="36">
        <f t="shared" si="3"/>
        <v>-34.302768757271778</v>
      </c>
    </row>
    <row r="12" spans="1:25" x14ac:dyDescent="0.25">
      <c r="A12" s="53">
        <f>'A) Base RI'!A14</f>
        <v>5408</v>
      </c>
      <c r="B12" s="116" t="str">
        <f>'A) Base RI'!B14</f>
        <v>Noville</v>
      </c>
      <c r="C12" s="127">
        <f>'B) D RI'!U14</f>
        <v>33419.560339702759</v>
      </c>
      <c r="D12" s="168">
        <f>'E) Fact soc'!G18/C12</f>
        <v>18.937975595724279</v>
      </c>
      <c r="E12" s="159">
        <f>'H) Péréquation directe'!I23/C12</f>
        <v>5.3441266268438561</v>
      </c>
      <c r="F12" s="206">
        <f>+'I) Dépenses thématiques'!O12/C12</f>
        <v>-3.2661487155215134</v>
      </c>
      <c r="G12" s="168">
        <f t="shared" si="1"/>
        <v>21.015953507046621</v>
      </c>
      <c r="H12" s="130">
        <f t="shared" si="0"/>
        <v>0</v>
      </c>
      <c r="I12" s="175">
        <f t="shared" si="2"/>
        <v>0</v>
      </c>
      <c r="J12" s="36">
        <f t="shared" si="3"/>
        <v>21.015953507046621</v>
      </c>
    </row>
    <row r="13" spans="1:25" x14ac:dyDescent="0.25">
      <c r="A13" s="53">
        <f>'A) Base RI'!A15</f>
        <v>5409</v>
      </c>
      <c r="B13" s="116" t="str">
        <f>'A) Base RI'!B15</f>
        <v>Ollon</v>
      </c>
      <c r="C13" s="127">
        <f>'B) D RI'!U15</f>
        <v>366034.73937782802</v>
      </c>
      <c r="D13" s="168">
        <f>'E) Fact soc'!G19/C13</f>
        <v>19.995700184574627</v>
      </c>
      <c r="E13" s="159">
        <f>'H) Péréquation directe'!I24/C13</f>
        <v>9.7143032262299016</v>
      </c>
      <c r="F13" s="206">
        <f>+'I) Dépenses thématiques'!O13/C13</f>
        <v>-4.3498618282878798</v>
      </c>
      <c r="G13" s="168">
        <f t="shared" si="1"/>
        <v>25.360141582516647</v>
      </c>
      <c r="H13" s="130">
        <f t="shared" si="0"/>
        <v>0</v>
      </c>
      <c r="I13" s="175">
        <f t="shared" si="2"/>
        <v>0</v>
      </c>
      <c r="J13" s="36">
        <f t="shared" si="3"/>
        <v>25.360141582516647</v>
      </c>
    </row>
    <row r="14" spans="1:25" x14ac:dyDescent="0.25">
      <c r="A14" s="53">
        <f>'A) Base RI'!A16</f>
        <v>5410</v>
      </c>
      <c r="B14" s="116" t="str">
        <f>'A) Base RI'!B16</f>
        <v>Ormont-Dessous</v>
      </c>
      <c r="C14" s="127">
        <f>'B) D RI'!U16</f>
        <v>36452.210276008496</v>
      </c>
      <c r="D14" s="168">
        <f>'E) Fact soc'!G20/C14</f>
        <v>17.904790756622152</v>
      </c>
      <c r="E14" s="159">
        <f>'H) Péréquation directe'!I25/C14</f>
        <v>6.568840114060432</v>
      </c>
      <c r="F14" s="206">
        <f>+'I) Dépenses thématiques'!O14/C14</f>
        <v>-21.505216206328761</v>
      </c>
      <c r="G14" s="168">
        <f t="shared" si="1"/>
        <v>2.9684146643538227</v>
      </c>
      <c r="H14" s="130">
        <f t="shared" si="0"/>
        <v>0</v>
      </c>
      <c r="I14" s="175">
        <f t="shared" si="2"/>
        <v>0</v>
      </c>
      <c r="J14" s="36">
        <f t="shared" si="3"/>
        <v>2.9684146643538227</v>
      </c>
    </row>
    <row r="15" spans="1:25" x14ac:dyDescent="0.25">
      <c r="A15" s="53">
        <f>'A) Base RI'!A17</f>
        <v>5411</v>
      </c>
      <c r="B15" s="116" t="str">
        <f>'A) Base RI'!B17</f>
        <v>Ormont-Dessus</v>
      </c>
      <c r="C15" s="127">
        <f>'B) D RI'!U17</f>
        <v>74047.924868421047</v>
      </c>
      <c r="D15" s="168">
        <f>'E) Fact soc'!G21/C15</f>
        <v>17.842790595085305</v>
      </c>
      <c r="E15" s="159">
        <f>'H) Péréquation directe'!I26/C15</f>
        <v>14.995584982474304</v>
      </c>
      <c r="F15" s="206">
        <f>+'I) Dépenses thématiques'!O15/C15</f>
        <v>-12.03534552224912</v>
      </c>
      <c r="G15" s="168">
        <f t="shared" si="1"/>
        <v>20.80303005531049</v>
      </c>
      <c r="H15" s="130">
        <f t="shared" si="0"/>
        <v>0</v>
      </c>
      <c r="I15" s="175">
        <f t="shared" si="2"/>
        <v>0</v>
      </c>
      <c r="J15" s="36">
        <f t="shared" si="3"/>
        <v>20.80303005531049</v>
      </c>
    </row>
    <row r="16" spans="1:25" x14ac:dyDescent="0.25">
      <c r="A16" s="53">
        <f>'A) Base RI'!A18</f>
        <v>5412</v>
      </c>
      <c r="B16" s="116" t="str">
        <f>'A) Base RI'!B18</f>
        <v>Rennaz</v>
      </c>
      <c r="C16" s="127">
        <f>'B) D RI'!U18</f>
        <v>26224.228148148151</v>
      </c>
      <c r="D16" s="168">
        <f>'E) Fact soc'!G22/C16</f>
        <v>18.630986714721168</v>
      </c>
      <c r="E16" s="159">
        <f>'H) Péréquation directe'!I27/C16</f>
        <v>7.7880334160615776</v>
      </c>
      <c r="F16" s="206">
        <f>+'I) Dépenses thématiques'!O16/C16</f>
        <v>-3.6940479915591724</v>
      </c>
      <c r="G16" s="168">
        <f t="shared" si="1"/>
        <v>22.724972139223571</v>
      </c>
      <c r="H16" s="130">
        <f t="shared" si="0"/>
        <v>0</v>
      </c>
      <c r="I16" s="175">
        <f t="shared" si="2"/>
        <v>0</v>
      </c>
      <c r="J16" s="36">
        <f t="shared" si="3"/>
        <v>22.724972139223571</v>
      </c>
    </row>
    <row r="17" spans="1:10" x14ac:dyDescent="0.25">
      <c r="A17" s="53">
        <f>'A) Base RI'!A19</f>
        <v>5413</v>
      </c>
      <c r="B17" s="116" t="str">
        <f>'A) Base RI'!B19</f>
        <v>Roche</v>
      </c>
      <c r="C17" s="127">
        <f>'B) D RI'!U19</f>
        <v>38924.228382352943</v>
      </c>
      <c r="D17" s="168">
        <f>'E) Fact soc'!G23/C17</f>
        <v>19.227573748696919</v>
      </c>
      <c r="E17" s="159">
        <f>'H) Péréquation directe'!I28/C17</f>
        <v>-4.219349812625131</v>
      </c>
      <c r="F17" s="206">
        <f>+'I) Dépenses thématiques'!O17/C17</f>
        <v>0</v>
      </c>
      <c r="G17" s="168">
        <f t="shared" si="1"/>
        <v>15.008223936071788</v>
      </c>
      <c r="H17" s="130">
        <f t="shared" si="0"/>
        <v>0</v>
      </c>
      <c r="I17" s="175">
        <f t="shared" si="2"/>
        <v>0</v>
      </c>
      <c r="J17" s="36">
        <f t="shared" si="3"/>
        <v>15.008223936071788</v>
      </c>
    </row>
    <row r="18" spans="1:10" x14ac:dyDescent="0.25">
      <c r="A18" s="53">
        <f>'A) Base RI'!A20</f>
        <v>5414</v>
      </c>
      <c r="B18" s="116" t="str">
        <f>'A) Base RI'!B20</f>
        <v>Villeneuve</v>
      </c>
      <c r="C18" s="127">
        <f>'B) D RI'!U20</f>
        <v>159863.47130434786</v>
      </c>
      <c r="D18" s="168">
        <f>'E) Fact soc'!G24/C18</f>
        <v>19.180314596288945</v>
      </c>
      <c r="E18" s="159">
        <f>'H) Péréquation directe'!I29/C18</f>
        <v>-3.8456121032414985</v>
      </c>
      <c r="F18" s="206">
        <f>+'I) Dépenses thématiques'!O18/C18</f>
        <v>-9.2701109998005116</v>
      </c>
      <c r="G18" s="168">
        <f t="shared" si="1"/>
        <v>6.0645914932469349</v>
      </c>
      <c r="H18" s="130">
        <f t="shared" si="0"/>
        <v>0</v>
      </c>
      <c r="I18" s="175">
        <f t="shared" si="2"/>
        <v>0</v>
      </c>
      <c r="J18" s="36">
        <f t="shared" si="3"/>
        <v>6.0645914932469349</v>
      </c>
    </row>
    <row r="19" spans="1:10" x14ac:dyDescent="0.25">
      <c r="A19" s="53">
        <f>'A) Base RI'!A21</f>
        <v>5415</v>
      </c>
      <c r="B19" s="116" t="str">
        <f>'A) Base RI'!B21</f>
        <v>Yvorne</v>
      </c>
      <c r="C19" s="127">
        <f>'B) D RI'!U21</f>
        <v>35726.744476885644</v>
      </c>
      <c r="D19" s="168">
        <f>'E) Fact soc'!G25/C19</f>
        <v>18.080930250722925</v>
      </c>
      <c r="E19" s="159">
        <f>'H) Péréquation directe'!I30/C19</f>
        <v>9.4060944482209781</v>
      </c>
      <c r="F19" s="206">
        <f>+'I) Dépenses thématiques'!O19/C19</f>
        <v>-2.4512720728754283</v>
      </c>
      <c r="G19" s="168">
        <f t="shared" si="1"/>
        <v>25.035752626068476</v>
      </c>
      <c r="H19" s="130">
        <f t="shared" si="0"/>
        <v>0</v>
      </c>
      <c r="I19" s="175">
        <f t="shared" si="2"/>
        <v>0</v>
      </c>
      <c r="J19" s="36">
        <f t="shared" si="3"/>
        <v>25.035752626068476</v>
      </c>
    </row>
    <row r="20" spans="1:10" x14ac:dyDescent="0.25">
      <c r="A20" s="53">
        <f>'A) Base RI'!A22</f>
        <v>5421</v>
      </c>
      <c r="B20" s="116" t="str">
        <f>'A) Base RI'!B22</f>
        <v>Apples</v>
      </c>
      <c r="C20" s="127">
        <f>'B) D RI'!U22</f>
        <v>59005.563421052633</v>
      </c>
      <c r="D20" s="168">
        <f>'E) Fact soc'!G26/C20</f>
        <v>15.18652896461618</v>
      </c>
      <c r="E20" s="159">
        <f>'H) Péréquation directe'!I31/C20</f>
        <v>13.204856685478374</v>
      </c>
      <c r="F20" s="206">
        <f>+'I) Dépenses thématiques'!O20/C20</f>
        <v>-4.4810594629020519</v>
      </c>
      <c r="G20" s="168">
        <f t="shared" si="1"/>
        <v>23.910326187192503</v>
      </c>
      <c r="H20" s="130">
        <f t="shared" si="0"/>
        <v>0</v>
      </c>
      <c r="I20" s="175">
        <f t="shared" si="2"/>
        <v>0</v>
      </c>
      <c r="J20" s="36">
        <f t="shared" si="3"/>
        <v>23.910326187192503</v>
      </c>
    </row>
    <row r="21" spans="1:10" x14ac:dyDescent="0.25">
      <c r="A21" s="53">
        <f>'A) Base RI'!A23</f>
        <v>5422</v>
      </c>
      <c r="B21" s="116" t="str">
        <f>'A) Base RI'!B23</f>
        <v>Aubonne</v>
      </c>
      <c r="C21" s="127">
        <f>'B) D RI'!U23</f>
        <v>218988.17661764708</v>
      </c>
      <c r="D21" s="168">
        <f>'E) Fact soc'!G27/C21</f>
        <v>20.01656343558945</v>
      </c>
      <c r="E21" s="159">
        <f>'H) Péréquation directe'!I32/C21</f>
        <v>13.263136670529086</v>
      </c>
      <c r="F21" s="206">
        <f>+'I) Dépenses thématiques'!O21/C21</f>
        <v>-0.12081975537591572</v>
      </c>
      <c r="G21" s="168">
        <f t="shared" si="1"/>
        <v>33.158880350742621</v>
      </c>
      <c r="H21" s="130">
        <f t="shared" si="0"/>
        <v>0</v>
      </c>
      <c r="I21" s="175">
        <f t="shared" si="2"/>
        <v>0</v>
      </c>
      <c r="J21" s="36">
        <f t="shared" si="3"/>
        <v>33.158880350742621</v>
      </c>
    </row>
    <row r="22" spans="1:10" x14ac:dyDescent="0.25">
      <c r="A22" s="53">
        <f>'A) Base RI'!A24</f>
        <v>5423</v>
      </c>
      <c r="B22" s="116" t="str">
        <f>'A) Base RI'!B24</f>
        <v>Ballens</v>
      </c>
      <c r="C22" s="127">
        <f>'B) D RI'!U24</f>
        <v>15358.055362318841</v>
      </c>
      <c r="D22" s="168">
        <f>'E) Fact soc'!G28/C22</f>
        <v>15.33241302292002</v>
      </c>
      <c r="E22" s="159">
        <f>'H) Péréquation directe'!I33/C22</f>
        <v>6.5732573133532322</v>
      </c>
      <c r="F22" s="206">
        <f>+'I) Dépenses thématiques'!O22/C22</f>
        <v>-3.7147816660321178</v>
      </c>
      <c r="G22" s="168">
        <f t="shared" si="1"/>
        <v>18.190888670241137</v>
      </c>
      <c r="H22" s="130">
        <f t="shared" si="0"/>
        <v>0</v>
      </c>
      <c r="I22" s="175">
        <f t="shared" si="2"/>
        <v>0</v>
      </c>
      <c r="J22" s="36">
        <f t="shared" si="3"/>
        <v>18.190888670241137</v>
      </c>
    </row>
    <row r="23" spans="1:10" x14ac:dyDescent="0.25">
      <c r="A23" s="53">
        <f>'A) Base RI'!A25</f>
        <v>5424</v>
      </c>
      <c r="B23" s="116" t="str">
        <f>'A) Base RI'!B25</f>
        <v>Berolle</v>
      </c>
      <c r="C23" s="127">
        <f>'B) D RI'!U25</f>
        <v>9058.2428571428572</v>
      </c>
      <c r="D23" s="168">
        <f>'E) Fact soc'!G29/C23</f>
        <v>17.274303172647187</v>
      </c>
      <c r="E23" s="159">
        <f>'H) Péréquation directe'!I34/C23</f>
        <v>4.2586749824232877</v>
      </c>
      <c r="F23" s="206">
        <f>+'I) Dépenses thématiques'!O23/C23</f>
        <v>-2.9522808258508983</v>
      </c>
      <c r="G23" s="168">
        <f t="shared" si="1"/>
        <v>18.580697329219575</v>
      </c>
      <c r="H23" s="130">
        <f t="shared" si="0"/>
        <v>0</v>
      </c>
      <c r="I23" s="175">
        <f t="shared" si="2"/>
        <v>0</v>
      </c>
      <c r="J23" s="36">
        <f t="shared" si="3"/>
        <v>18.580697329219575</v>
      </c>
    </row>
    <row r="24" spans="1:10" x14ac:dyDescent="0.25">
      <c r="A24" s="53">
        <f>'A) Base RI'!A26</f>
        <v>5425</v>
      </c>
      <c r="B24" s="116" t="str">
        <f>'A) Base RI'!B26</f>
        <v>Bière</v>
      </c>
      <c r="C24" s="127">
        <f>'B) D RI'!U26</f>
        <v>39413.041470588236</v>
      </c>
      <c r="D24" s="168">
        <f>'E) Fact soc'!G30/C24</f>
        <v>19.419318507261156</v>
      </c>
      <c r="E24" s="159">
        <f>'H) Péréquation directe'!I35/C24</f>
        <v>-2.2066868385066694</v>
      </c>
      <c r="F24" s="206">
        <f>+'I) Dépenses thématiques'!O24/C24</f>
        <v>-11.965124457354911</v>
      </c>
      <c r="G24" s="168">
        <f t="shared" si="1"/>
        <v>5.2475072113995758</v>
      </c>
      <c r="H24" s="130">
        <f t="shared" si="0"/>
        <v>0</v>
      </c>
      <c r="I24" s="175">
        <f t="shared" si="2"/>
        <v>0</v>
      </c>
      <c r="J24" s="36">
        <f t="shared" si="3"/>
        <v>5.2475072113995758</v>
      </c>
    </row>
    <row r="25" spans="1:10" x14ac:dyDescent="0.25">
      <c r="A25" s="53">
        <f>'A) Base RI'!A27</f>
        <v>5426</v>
      </c>
      <c r="B25" s="116" t="str">
        <f>'A) Base RI'!B27</f>
        <v>Bougy-Villars</v>
      </c>
      <c r="C25" s="127">
        <f>'B) D RI'!U27</f>
        <v>42567.7185483871</v>
      </c>
      <c r="D25" s="168">
        <f>'E) Fact soc'!G31/C25</f>
        <v>88.970726568581469</v>
      </c>
      <c r="E25" s="159">
        <f>'H) Péréquation directe'!I36/C25</f>
        <v>14.479109217308508</v>
      </c>
      <c r="F25" s="206">
        <f>+'I) Dépenses thématiques'!O25/C25</f>
        <v>0</v>
      </c>
      <c r="G25" s="168">
        <f t="shared" si="1"/>
        <v>103.44983578588997</v>
      </c>
      <c r="H25" s="130">
        <f t="shared" si="0"/>
        <v>-47.318538936598152</v>
      </c>
      <c r="I25" s="175">
        <f t="shared" si="2"/>
        <v>-2014242.2475740064</v>
      </c>
      <c r="J25" s="36">
        <f t="shared" si="3"/>
        <v>56.131296849291822</v>
      </c>
    </row>
    <row r="26" spans="1:10" x14ac:dyDescent="0.25">
      <c r="A26" s="53">
        <f>'A) Base RI'!A28</f>
        <v>5427</v>
      </c>
      <c r="B26" s="116" t="str">
        <f>'A) Base RI'!B28</f>
        <v>Féchy</v>
      </c>
      <c r="C26" s="127">
        <f>'B) D RI'!U28</f>
        <v>68786.678798076915</v>
      </c>
      <c r="D26" s="168">
        <f>'E) Fact soc'!G32/C26</f>
        <v>22.603482226124836</v>
      </c>
      <c r="E26" s="159">
        <f>'H) Péréquation directe'!I37/C26</f>
        <v>15.260854099691123</v>
      </c>
      <c r="F26" s="206">
        <f>+'I) Dépenses thématiques'!O26/C26</f>
        <v>0</v>
      </c>
      <c r="G26" s="168">
        <f t="shared" si="1"/>
        <v>37.864336325815955</v>
      </c>
      <c r="H26" s="130">
        <f t="shared" si="0"/>
        <v>0</v>
      </c>
      <c r="I26" s="175">
        <f t="shared" si="2"/>
        <v>0</v>
      </c>
      <c r="J26" s="36">
        <f t="shared" si="3"/>
        <v>37.864336325815955</v>
      </c>
    </row>
    <row r="27" spans="1:10" x14ac:dyDescent="0.25">
      <c r="A27" s="53">
        <f>'A) Base RI'!A29</f>
        <v>5428</v>
      </c>
      <c r="B27" s="116" t="str">
        <f>'A) Base RI'!B29</f>
        <v>Gimel</v>
      </c>
      <c r="C27" s="127">
        <f>'B) D RI'!U29</f>
        <v>58004.622727272719</v>
      </c>
      <c r="D27" s="168">
        <f>'E) Fact soc'!G33/C27</f>
        <v>20.092040534832314</v>
      </c>
      <c r="E27" s="159">
        <f>'H) Péréquation directe'!I38/C27</f>
        <v>1.3950552738691142</v>
      </c>
      <c r="F27" s="206">
        <f>+'I) Dépenses thématiques'!O27/C27</f>
        <v>-4.9503797870164146</v>
      </c>
      <c r="G27" s="168">
        <f t="shared" si="1"/>
        <v>16.536716021685017</v>
      </c>
      <c r="H27" s="130">
        <f t="shared" si="0"/>
        <v>0</v>
      </c>
      <c r="I27" s="175">
        <f t="shared" si="2"/>
        <v>0</v>
      </c>
      <c r="J27" s="36">
        <f t="shared" si="3"/>
        <v>16.536716021685017</v>
      </c>
    </row>
    <row r="28" spans="1:10" x14ac:dyDescent="0.25">
      <c r="A28" s="53">
        <f>'A) Base RI'!A30</f>
        <v>5429</v>
      </c>
      <c r="B28" s="116" t="str">
        <f>'A) Base RI'!B30</f>
        <v>Longirod</v>
      </c>
      <c r="C28" s="127">
        <f>'B) D RI'!U30</f>
        <v>12171.349506172839</v>
      </c>
      <c r="D28" s="168">
        <f>'E) Fact soc'!G34/C28</f>
        <v>21.525999650030826</v>
      </c>
      <c r="E28" s="159">
        <f>'H) Péréquation directe'!I39/C28</f>
        <v>-2.6438259898743204</v>
      </c>
      <c r="F28" s="206">
        <f>+'I) Dépenses thématiques'!O28/C28</f>
        <v>-8.6886782380174825</v>
      </c>
      <c r="G28" s="168">
        <f t="shared" si="1"/>
        <v>10.193495422139025</v>
      </c>
      <c r="H28" s="130">
        <f t="shared" si="0"/>
        <v>0</v>
      </c>
      <c r="I28" s="175">
        <f t="shared" si="2"/>
        <v>0</v>
      </c>
      <c r="J28" s="36">
        <f t="shared" si="3"/>
        <v>10.193495422139025</v>
      </c>
    </row>
    <row r="29" spans="1:10" x14ac:dyDescent="0.25">
      <c r="A29" s="53">
        <f>'A) Base RI'!A31</f>
        <v>5430</v>
      </c>
      <c r="B29" s="116" t="str">
        <f>'A) Base RI'!B31</f>
        <v>Marchissy</v>
      </c>
      <c r="C29" s="127">
        <f>'B) D RI'!U31</f>
        <v>10573.165189873416</v>
      </c>
      <c r="D29" s="168">
        <f>'E) Fact soc'!G35/C29</f>
        <v>19.166179007437044</v>
      </c>
      <c r="E29" s="159">
        <f>'H) Péréquation directe'!I40/C29</f>
        <v>-5.237299362388403</v>
      </c>
      <c r="F29" s="206">
        <f>+'I) Dépenses thématiques'!O29/C29</f>
        <v>-12.10481628653166</v>
      </c>
      <c r="G29" s="168">
        <f t="shared" si="1"/>
        <v>1.8240633585169821</v>
      </c>
      <c r="H29" s="130">
        <f t="shared" si="0"/>
        <v>0</v>
      </c>
      <c r="I29" s="175">
        <f t="shared" si="2"/>
        <v>0</v>
      </c>
      <c r="J29" s="36">
        <f t="shared" si="3"/>
        <v>1.8240633585169821</v>
      </c>
    </row>
    <row r="30" spans="1:10" x14ac:dyDescent="0.25">
      <c r="A30" s="53">
        <f>'A) Base RI'!A32</f>
        <v>5431</v>
      </c>
      <c r="B30" s="116" t="str">
        <f>'A) Base RI'!B32</f>
        <v>Mollens</v>
      </c>
      <c r="C30" s="127">
        <f>'B) D RI'!U32</f>
        <v>11206.031081081082</v>
      </c>
      <c r="D30" s="168">
        <f>'E) Fact soc'!G36/C30</f>
        <v>16.885526859529509</v>
      </c>
      <c r="E30" s="159">
        <f>'H) Péréquation directe'!I41/C30</f>
        <v>12.444507205109559</v>
      </c>
      <c r="F30" s="206">
        <f>+'I) Dépenses thématiques'!O30/C30</f>
        <v>-1.5546905404785674</v>
      </c>
      <c r="G30" s="168">
        <f t="shared" si="1"/>
        <v>27.775343524160501</v>
      </c>
      <c r="H30" s="130">
        <f t="shared" si="0"/>
        <v>0</v>
      </c>
      <c r="I30" s="175">
        <f t="shared" si="2"/>
        <v>0</v>
      </c>
      <c r="J30" s="36">
        <f t="shared" si="3"/>
        <v>27.775343524160501</v>
      </c>
    </row>
    <row r="31" spans="1:10" x14ac:dyDescent="0.25">
      <c r="A31" s="53">
        <f>'A) Base RI'!A33</f>
        <v>5432</v>
      </c>
      <c r="B31" s="116" t="str">
        <f>'A) Base RI'!B33</f>
        <v>Montherod</v>
      </c>
      <c r="C31" s="127">
        <f>'B) D RI'!U33</f>
        <v>17725.419230769232</v>
      </c>
      <c r="D31" s="168">
        <f>'E) Fact soc'!G37/C31</f>
        <v>17.985156098197518</v>
      </c>
      <c r="E31" s="159">
        <f>'H) Péréquation directe'!I42/C31</f>
        <v>8.396151901979561</v>
      </c>
      <c r="F31" s="206">
        <f>+'I) Dépenses thématiques'!O31/C31</f>
        <v>-0.56137949349091232</v>
      </c>
      <c r="G31" s="168">
        <f t="shared" si="1"/>
        <v>25.819928506686168</v>
      </c>
      <c r="H31" s="130">
        <f t="shared" si="0"/>
        <v>0</v>
      </c>
      <c r="I31" s="175">
        <f t="shared" si="2"/>
        <v>0</v>
      </c>
      <c r="J31" s="36">
        <f t="shared" si="3"/>
        <v>25.819928506686168</v>
      </c>
    </row>
    <row r="32" spans="1:10" x14ac:dyDescent="0.25">
      <c r="A32" s="53">
        <f>'A) Base RI'!A34</f>
        <v>5434</v>
      </c>
      <c r="B32" s="116" t="str">
        <f>'A) Base RI'!B34</f>
        <v>Saint-George</v>
      </c>
      <c r="C32" s="127">
        <f>'B) D RI'!U34</f>
        <v>35895.731094890507</v>
      </c>
      <c r="D32" s="168">
        <f>'E) Fact soc'!G38/C32</f>
        <v>17.561089839605742</v>
      </c>
      <c r="E32" s="159">
        <f>'H) Péréquation directe'!I43/C32</f>
        <v>11.761132180827039</v>
      </c>
      <c r="F32" s="206">
        <f>+'I) Dépenses thématiques'!O32/C32</f>
        <v>-1.9677459222609064</v>
      </c>
      <c r="G32" s="168">
        <f t="shared" si="1"/>
        <v>27.354476098171876</v>
      </c>
      <c r="H32" s="130">
        <f t="shared" si="0"/>
        <v>0</v>
      </c>
      <c r="I32" s="175">
        <f t="shared" si="2"/>
        <v>0</v>
      </c>
      <c r="J32" s="36">
        <f t="shared" si="3"/>
        <v>27.354476098171876</v>
      </c>
    </row>
    <row r="33" spans="1:10" x14ac:dyDescent="0.25">
      <c r="A33" s="53">
        <f>'A) Base RI'!A35</f>
        <v>5435</v>
      </c>
      <c r="B33" s="116" t="str">
        <f>'A) Base RI'!B35</f>
        <v>Saint-Livres</v>
      </c>
      <c r="C33" s="127">
        <f>'B) D RI'!U35</f>
        <v>22398.12956521739</v>
      </c>
      <c r="D33" s="168">
        <f>'E) Fact soc'!G39/C33</f>
        <v>15.114406894481197</v>
      </c>
      <c r="E33" s="159">
        <f>'H) Péréquation directe'!I44/C33</f>
        <v>8.7444022241409947</v>
      </c>
      <c r="F33" s="206">
        <f>+'I) Dépenses thématiques'!O33/C33</f>
        <v>-3.8120764161862515</v>
      </c>
      <c r="G33" s="168">
        <f t="shared" si="1"/>
        <v>20.046732702435939</v>
      </c>
      <c r="H33" s="130">
        <f t="shared" si="0"/>
        <v>0</v>
      </c>
      <c r="I33" s="175">
        <f t="shared" si="2"/>
        <v>0</v>
      </c>
      <c r="J33" s="36">
        <f t="shared" si="3"/>
        <v>20.046732702435939</v>
      </c>
    </row>
    <row r="34" spans="1:10" x14ac:dyDescent="0.25">
      <c r="A34" s="53">
        <f>'A) Base RI'!A36</f>
        <v>5436</v>
      </c>
      <c r="B34" s="116" t="str">
        <f>'A) Base RI'!B36</f>
        <v>Saint-Oyens</v>
      </c>
      <c r="C34" s="127">
        <f>'B) D RI'!U36</f>
        <v>10474.604814814815</v>
      </c>
      <c r="D34" s="168">
        <f>'E) Fact soc'!G40/C34</f>
        <v>17.744498485814255</v>
      </c>
      <c r="E34" s="159">
        <f>'H) Péréquation directe'!I45/C34</f>
        <v>2.8517075074718705</v>
      </c>
      <c r="F34" s="206">
        <f>+'I) Dépenses thématiques'!O34/C34</f>
        <v>-4.033843769674335</v>
      </c>
      <c r="G34" s="168">
        <f t="shared" si="1"/>
        <v>16.562362223611792</v>
      </c>
      <c r="H34" s="130">
        <f t="shared" si="0"/>
        <v>0</v>
      </c>
      <c r="I34" s="175">
        <f t="shared" si="2"/>
        <v>0</v>
      </c>
      <c r="J34" s="36">
        <f t="shared" si="3"/>
        <v>16.562362223611792</v>
      </c>
    </row>
    <row r="35" spans="1:10" x14ac:dyDescent="0.25">
      <c r="A35" s="53">
        <f>'A) Base RI'!A37</f>
        <v>5437</v>
      </c>
      <c r="B35" s="116" t="str">
        <f>'A) Base RI'!B37</f>
        <v>Saubraz</v>
      </c>
      <c r="C35" s="127">
        <f>'B) D RI'!U37</f>
        <v>10138.793125</v>
      </c>
      <c r="D35" s="168">
        <f>'E) Fact soc'!G41/C35</f>
        <v>19.76029122765086</v>
      </c>
      <c r="E35" s="159">
        <f>'H) Péréquation directe'!I46/C35</f>
        <v>-6.6686678154517649</v>
      </c>
      <c r="F35" s="206">
        <f>+'I) Dépenses thématiques'!O35/C35</f>
        <v>-4.6122361635720202</v>
      </c>
      <c r="G35" s="168">
        <f t="shared" si="1"/>
        <v>8.4793872486270736</v>
      </c>
      <c r="H35" s="130">
        <f t="shared" si="0"/>
        <v>0</v>
      </c>
      <c r="I35" s="175">
        <f t="shared" si="2"/>
        <v>0</v>
      </c>
      <c r="J35" s="36">
        <f t="shared" si="3"/>
        <v>8.4793872486270736</v>
      </c>
    </row>
    <row r="36" spans="1:10" x14ac:dyDescent="0.25">
      <c r="A36" s="53">
        <f>'A) Base RI'!A38</f>
        <v>5451</v>
      </c>
      <c r="B36" s="116" t="str">
        <f>'A) Base RI'!B38</f>
        <v>Avenches</v>
      </c>
      <c r="C36" s="127">
        <f>'B) D RI'!U38</f>
        <v>109207.82382352941</v>
      </c>
      <c r="D36" s="168">
        <f>'E) Fact soc'!G42/C36</f>
        <v>20.026211495523089</v>
      </c>
      <c r="E36" s="159">
        <f>'H) Péréquation directe'!I47/C36</f>
        <v>-6.0887386246100137</v>
      </c>
      <c r="F36" s="206">
        <f>+'I) Dépenses thématiques'!O36/C36</f>
        <v>-14.627961611374454</v>
      </c>
      <c r="G36" s="168">
        <f t="shared" si="1"/>
        <v>-0.69048874046137776</v>
      </c>
      <c r="H36" s="130">
        <f t="shared" si="0"/>
        <v>0</v>
      </c>
      <c r="I36" s="175">
        <f t="shared" si="2"/>
        <v>0</v>
      </c>
      <c r="J36" s="36">
        <f t="shared" si="3"/>
        <v>-0.69048874046137776</v>
      </c>
    </row>
    <row r="37" spans="1:10" x14ac:dyDescent="0.25">
      <c r="A37" s="53">
        <f>'A) Base RI'!A39</f>
        <v>5456</v>
      </c>
      <c r="B37" s="116" t="str">
        <f>'A) Base RI'!B39</f>
        <v>Cudrefin</v>
      </c>
      <c r="C37" s="127">
        <f>'B) D RI'!U39</f>
        <v>51373.818644067804</v>
      </c>
      <c r="D37" s="168">
        <f>'E) Fact soc'!G43/C37</f>
        <v>16.354781254327563</v>
      </c>
      <c r="E37" s="159">
        <f>'H) Péréquation directe'!I48/C37</f>
        <v>8.2561491809722973</v>
      </c>
      <c r="F37" s="206">
        <f>+'I) Dépenses thématiques'!O37/C37</f>
        <v>-5.6001673835091701</v>
      </c>
      <c r="G37" s="168">
        <f t="shared" si="1"/>
        <v>19.01076305179069</v>
      </c>
      <c r="H37" s="130">
        <f t="shared" si="0"/>
        <v>0</v>
      </c>
      <c r="I37" s="175">
        <f t="shared" si="2"/>
        <v>0</v>
      </c>
      <c r="J37" s="36">
        <f t="shared" si="3"/>
        <v>19.01076305179069</v>
      </c>
    </row>
    <row r="38" spans="1:10" x14ac:dyDescent="0.25">
      <c r="A38" s="53">
        <f>'A) Base RI'!A40</f>
        <v>5458</v>
      </c>
      <c r="B38" s="116" t="str">
        <f>'A) Base RI'!B40</f>
        <v>Faoug</v>
      </c>
      <c r="C38" s="127">
        <f>'B) D RI'!U40</f>
        <v>31692.092968750003</v>
      </c>
      <c r="D38" s="168">
        <f>'E) Fact soc'!G44/C38</f>
        <v>16.995609344105883</v>
      </c>
      <c r="E38" s="159">
        <f>'H) Péréquation directe'!I49/C38</f>
        <v>12.407166279053053</v>
      </c>
      <c r="F38" s="206">
        <f>+'I) Dépenses thématiques'!O38/C38</f>
        <v>-2.3020332132913985</v>
      </c>
      <c r="G38" s="168">
        <f t="shared" si="1"/>
        <v>27.100742409867539</v>
      </c>
      <c r="H38" s="130">
        <f t="shared" si="0"/>
        <v>0</v>
      </c>
      <c r="I38" s="175">
        <f t="shared" si="2"/>
        <v>0</v>
      </c>
      <c r="J38" s="36">
        <f t="shared" si="3"/>
        <v>27.100742409867539</v>
      </c>
    </row>
    <row r="39" spans="1:10" x14ac:dyDescent="0.25">
      <c r="A39" s="53">
        <f>'A) Base RI'!A41</f>
        <v>5464</v>
      </c>
      <c r="B39" s="116" t="str">
        <f>'A) Base RI'!B41</f>
        <v>Vully-les-Lacs</v>
      </c>
      <c r="C39" s="127">
        <f>'B) D RI'!U41</f>
        <v>96310.385124378095</v>
      </c>
      <c r="D39" s="168">
        <f>'E) Fact soc'!G45/C39</f>
        <v>20.185456010569677</v>
      </c>
      <c r="E39" s="159">
        <f>'H) Péréquation directe'!I50/C39</f>
        <v>4.4352205180941127</v>
      </c>
      <c r="F39" s="206">
        <f>+'I) Dépenses thématiques'!O39/C39</f>
        <v>-5.3861275674838343</v>
      </c>
      <c r="G39" s="168">
        <f t="shared" si="1"/>
        <v>19.234548961179954</v>
      </c>
      <c r="H39" s="130">
        <f t="shared" si="0"/>
        <v>0</v>
      </c>
      <c r="I39" s="175">
        <f t="shared" si="2"/>
        <v>0</v>
      </c>
      <c r="J39" s="36">
        <f t="shared" si="3"/>
        <v>19.234548961179954</v>
      </c>
    </row>
    <row r="40" spans="1:10" x14ac:dyDescent="0.25">
      <c r="A40" s="53">
        <f>'A) Base RI'!A42</f>
        <v>5471</v>
      </c>
      <c r="B40" s="116" t="str">
        <f>'A) Base RI'!B42</f>
        <v>Bettens</v>
      </c>
      <c r="C40" s="127">
        <f>'B) D RI'!U42</f>
        <v>16449.086587301586</v>
      </c>
      <c r="D40" s="168">
        <f>'E) Fact soc'!G46/C40</f>
        <v>16.357189225944353</v>
      </c>
      <c r="E40" s="159">
        <f>'H) Péréquation directe'!I51/C40</f>
        <v>3.9840811755553522</v>
      </c>
      <c r="F40" s="206">
        <f>+'I) Dépenses thématiques'!O40/C40</f>
        <v>-1.5927108752970158</v>
      </c>
      <c r="G40" s="168">
        <f t="shared" si="1"/>
        <v>18.748559526202691</v>
      </c>
      <c r="H40" s="130">
        <f t="shared" si="0"/>
        <v>0</v>
      </c>
      <c r="I40" s="175">
        <f t="shared" si="2"/>
        <v>0</v>
      </c>
      <c r="J40" s="36">
        <f t="shared" si="3"/>
        <v>18.748559526202691</v>
      </c>
    </row>
    <row r="41" spans="1:10" x14ac:dyDescent="0.25">
      <c r="A41" s="53">
        <f>'A) Base RI'!A43</f>
        <v>5472</v>
      </c>
      <c r="B41" s="116" t="str">
        <f>'A) Base RI'!B43</f>
        <v>Bournens</v>
      </c>
      <c r="C41" s="127">
        <f>'B) D RI'!U43</f>
        <v>14191.801124999998</v>
      </c>
      <c r="D41" s="168">
        <f>'E) Fact soc'!G47/C41</f>
        <v>18.556594665264946</v>
      </c>
      <c r="E41" s="159">
        <f>'H) Péréquation directe'!I52/C41</f>
        <v>12.161849489534063</v>
      </c>
      <c r="F41" s="206">
        <f>+'I) Dépenses thématiques'!O41/C41</f>
        <v>-2.4954505659439437</v>
      </c>
      <c r="G41" s="168">
        <f t="shared" si="1"/>
        <v>28.222993588855065</v>
      </c>
      <c r="H41" s="130">
        <f t="shared" si="0"/>
        <v>0</v>
      </c>
      <c r="I41" s="175">
        <f t="shared" si="2"/>
        <v>0</v>
      </c>
      <c r="J41" s="36">
        <f t="shared" si="3"/>
        <v>28.222993588855065</v>
      </c>
    </row>
    <row r="42" spans="1:10" x14ac:dyDescent="0.25">
      <c r="A42" s="53">
        <f>'A) Base RI'!A44</f>
        <v>5473</v>
      </c>
      <c r="B42" s="116" t="str">
        <f>'A) Base RI'!B44</f>
        <v>Boussens</v>
      </c>
      <c r="C42" s="127">
        <f>'B) D RI'!U44</f>
        <v>32757.052898550723</v>
      </c>
      <c r="D42" s="168">
        <f>'E) Fact soc'!G48/C42</f>
        <v>16.402446857661761</v>
      </c>
      <c r="E42" s="159">
        <f>'H) Péréquation directe'!I53/C42</f>
        <v>9.5360068682800314</v>
      </c>
      <c r="F42" s="206">
        <f>+'I) Dépenses thématiques'!O42/C42</f>
        <v>0</v>
      </c>
      <c r="G42" s="168">
        <f t="shared" si="1"/>
        <v>25.938453725941791</v>
      </c>
      <c r="H42" s="130">
        <f t="shared" si="0"/>
        <v>0</v>
      </c>
      <c r="I42" s="175">
        <f t="shared" si="2"/>
        <v>0</v>
      </c>
      <c r="J42" s="36">
        <f t="shared" si="3"/>
        <v>25.938453725941791</v>
      </c>
    </row>
    <row r="43" spans="1:10" x14ac:dyDescent="0.25">
      <c r="A43" s="53">
        <f>'A) Base RI'!A45</f>
        <v>5474</v>
      </c>
      <c r="B43" s="116" t="str">
        <f>'A) Base RI'!B45</f>
        <v>La Chaux (Cossonay)</v>
      </c>
      <c r="C43" s="127">
        <f>'B) D RI'!U45</f>
        <v>12924.858852813852</v>
      </c>
      <c r="D43" s="168">
        <f>'E) Fact soc'!G49/C43</f>
        <v>18.62063898942144</v>
      </c>
      <c r="E43" s="159">
        <f>'H) Péréquation directe'!I54/C43</f>
        <v>5.0093637389691548</v>
      </c>
      <c r="F43" s="206">
        <f>+'I) Dépenses thématiques'!O43/C43</f>
        <v>-8.133909816343218</v>
      </c>
      <c r="G43" s="168">
        <f t="shared" si="1"/>
        <v>15.496092912047375</v>
      </c>
      <c r="H43" s="130">
        <f t="shared" si="0"/>
        <v>0</v>
      </c>
      <c r="I43" s="175">
        <f t="shared" si="2"/>
        <v>0</v>
      </c>
      <c r="J43" s="36">
        <f t="shared" si="3"/>
        <v>15.496092912047375</v>
      </c>
    </row>
    <row r="44" spans="1:10" x14ac:dyDescent="0.25">
      <c r="A44" s="53">
        <f>'A) Base RI'!A46</f>
        <v>5475</v>
      </c>
      <c r="B44" s="116" t="str">
        <f>'A) Base RI'!B46</f>
        <v>Chavannes-le-Veyron</v>
      </c>
      <c r="C44" s="127">
        <f>'B) D RI'!U46</f>
        <v>2672.7945454545452</v>
      </c>
      <c r="D44" s="168">
        <f>'E) Fact soc'!G50/C44</f>
        <v>27.402640366537074</v>
      </c>
      <c r="E44" s="159">
        <f>'H) Péréquation directe'!I55/C44</f>
        <v>-18.922050740702176</v>
      </c>
      <c r="F44" s="206">
        <f>+'I) Dépenses thématiques'!O44/C44</f>
        <v>-17.309951543757983</v>
      </c>
      <c r="G44" s="168">
        <f t="shared" si="1"/>
        <v>-8.8293619179230838</v>
      </c>
      <c r="H44" s="130">
        <f t="shared" si="0"/>
        <v>0</v>
      </c>
      <c r="I44" s="175">
        <f t="shared" si="2"/>
        <v>0</v>
      </c>
      <c r="J44" s="36">
        <f t="shared" si="3"/>
        <v>-8.8293619179230838</v>
      </c>
    </row>
    <row r="45" spans="1:10" x14ac:dyDescent="0.25">
      <c r="A45" s="53">
        <f>'A) Base RI'!A47</f>
        <v>5476</v>
      </c>
      <c r="B45" s="116" t="str">
        <f>'A) Base RI'!B47</f>
        <v>Chevilly</v>
      </c>
      <c r="C45" s="127">
        <f>'B) D RI'!U47</f>
        <v>10247.952162162162</v>
      </c>
      <c r="D45" s="168">
        <f>'E) Fact soc'!G51/C45</f>
        <v>17.270367570928247</v>
      </c>
      <c r="E45" s="159">
        <f>'H) Péréquation directe'!I56/C45</f>
        <v>9.4116561486267347</v>
      </c>
      <c r="F45" s="206">
        <f>+'I) Dépenses thématiques'!O45/C45</f>
        <v>-2.5697520628504376</v>
      </c>
      <c r="G45" s="168">
        <f t="shared" si="1"/>
        <v>24.112271656704547</v>
      </c>
      <c r="H45" s="130">
        <f t="shared" si="0"/>
        <v>0</v>
      </c>
      <c r="I45" s="175">
        <f t="shared" si="2"/>
        <v>0</v>
      </c>
      <c r="J45" s="36">
        <f t="shared" si="3"/>
        <v>24.112271656704547</v>
      </c>
    </row>
    <row r="46" spans="1:10" x14ac:dyDescent="0.25">
      <c r="A46" s="53">
        <f>'A) Base RI'!A48</f>
        <v>5477</v>
      </c>
      <c r="B46" s="116" t="str">
        <f>'A) Base RI'!B48</f>
        <v>Cossonay</v>
      </c>
      <c r="C46" s="127">
        <f>'B) D RI'!U48</f>
        <v>125937.08528138528</v>
      </c>
      <c r="D46" s="168">
        <f>'E) Fact soc'!G52/C46</f>
        <v>17.286442914589731</v>
      </c>
      <c r="E46" s="159">
        <f>'H) Péréquation directe'!I57/C46</f>
        <v>4.6077666373251045</v>
      </c>
      <c r="F46" s="206">
        <f>+'I) Dépenses thématiques'!O46/C46</f>
        <v>-4.9027207731708229</v>
      </c>
      <c r="G46" s="168">
        <f t="shared" si="1"/>
        <v>16.99148877874401</v>
      </c>
      <c r="H46" s="130">
        <f t="shared" si="0"/>
        <v>0</v>
      </c>
      <c r="I46" s="175">
        <f t="shared" si="2"/>
        <v>0</v>
      </c>
      <c r="J46" s="36">
        <f t="shared" si="3"/>
        <v>16.99148877874401</v>
      </c>
    </row>
    <row r="47" spans="1:10" x14ac:dyDescent="0.25">
      <c r="A47" s="53">
        <f>'A) Base RI'!A49</f>
        <v>5478</v>
      </c>
      <c r="B47" s="116" t="str">
        <f>'A) Base RI'!B49</f>
        <v>Cottens</v>
      </c>
      <c r="C47" s="127">
        <f>'B) D RI'!U49</f>
        <v>14465.317702702703</v>
      </c>
      <c r="D47" s="168">
        <f>'E) Fact soc'!G53/C47</f>
        <v>15.361946919157146</v>
      </c>
      <c r="E47" s="159">
        <f>'H) Péréquation directe'!I58/C47</f>
        <v>4.9299479355627325</v>
      </c>
      <c r="F47" s="206">
        <f>+'I) Dépenses thématiques'!O47/C47</f>
        <v>-0.67339561321622177</v>
      </c>
      <c r="G47" s="168">
        <f t="shared" si="1"/>
        <v>19.618499241503656</v>
      </c>
      <c r="H47" s="130">
        <f t="shared" si="0"/>
        <v>0</v>
      </c>
      <c r="I47" s="175">
        <f t="shared" si="2"/>
        <v>0</v>
      </c>
      <c r="J47" s="36">
        <f t="shared" si="3"/>
        <v>19.618499241503656</v>
      </c>
    </row>
    <row r="48" spans="1:10" x14ac:dyDescent="0.25">
      <c r="A48" s="53">
        <f>'A) Base RI'!A50</f>
        <v>5479</v>
      </c>
      <c r="B48" s="116" t="str">
        <f>'A) Base RI'!B50</f>
        <v>Cuarnens</v>
      </c>
      <c r="C48" s="127">
        <f>'B) D RI'!U50</f>
        <v>11562.819350649352</v>
      </c>
      <c r="D48" s="168">
        <f>'E) Fact soc'!G54/C48</f>
        <v>19.065723184634027</v>
      </c>
      <c r="E48" s="159">
        <f>'H) Péréquation directe'!I59/C48</f>
        <v>-5.3113549410189718</v>
      </c>
      <c r="F48" s="206">
        <f>+'I) Dépenses thématiques'!O48/C48</f>
        <v>-20.4865310435036</v>
      </c>
      <c r="G48" s="168">
        <f t="shared" si="1"/>
        <v>-6.7321627998885454</v>
      </c>
      <c r="H48" s="130">
        <f t="shared" si="0"/>
        <v>0</v>
      </c>
      <c r="I48" s="175">
        <f t="shared" si="2"/>
        <v>0</v>
      </c>
      <c r="J48" s="36">
        <f t="shared" si="3"/>
        <v>-6.7321627998885454</v>
      </c>
    </row>
    <row r="49" spans="1:10" x14ac:dyDescent="0.25">
      <c r="A49" s="53">
        <f>'A) Base RI'!A51</f>
        <v>5480</v>
      </c>
      <c r="B49" s="116" t="str">
        <f>'A) Base RI'!B51</f>
        <v>Daillens</v>
      </c>
      <c r="C49" s="127">
        <f>'B) D RI'!U51</f>
        <v>34852.093380281687</v>
      </c>
      <c r="D49" s="168">
        <f>'E) Fact soc'!G55/C49</f>
        <v>17.434772921173785</v>
      </c>
      <c r="E49" s="159">
        <f>'H) Péréquation directe'!I60/C49</f>
        <v>11.576753701918552</v>
      </c>
      <c r="F49" s="206">
        <f>+'I) Dépenses thématiques'!O49/C49</f>
        <v>-5.7760755712694616</v>
      </c>
      <c r="G49" s="168">
        <f t="shared" si="1"/>
        <v>23.235451051822874</v>
      </c>
      <c r="H49" s="130">
        <f t="shared" si="0"/>
        <v>0</v>
      </c>
      <c r="I49" s="175">
        <f t="shared" si="2"/>
        <v>0</v>
      </c>
      <c r="J49" s="36">
        <f t="shared" si="3"/>
        <v>23.235451051822874</v>
      </c>
    </row>
    <row r="50" spans="1:10" x14ac:dyDescent="0.25">
      <c r="A50" s="53">
        <f>'A) Base RI'!A52</f>
        <v>5481</v>
      </c>
      <c r="B50" s="116" t="str">
        <f>'A) Base RI'!B52</f>
        <v>Dizy</v>
      </c>
      <c r="C50" s="127">
        <f>'B) D RI'!U52</f>
        <v>8900.2526582278479</v>
      </c>
      <c r="D50" s="168">
        <f>'E) Fact soc'!G56/C50</f>
        <v>15.996233640326649</v>
      </c>
      <c r="E50" s="159">
        <f>'H) Péréquation directe'!I61/C50</f>
        <v>13.609090525976494</v>
      </c>
      <c r="F50" s="206">
        <f>+'I) Dépenses thématiques'!O50/C50</f>
        <v>0</v>
      </c>
      <c r="G50" s="168">
        <f t="shared" si="1"/>
        <v>29.605324166303141</v>
      </c>
      <c r="H50" s="130">
        <f t="shared" si="0"/>
        <v>0</v>
      </c>
      <c r="I50" s="175">
        <f t="shared" si="2"/>
        <v>0</v>
      </c>
      <c r="J50" s="36">
        <f t="shared" si="3"/>
        <v>29.605324166303141</v>
      </c>
    </row>
    <row r="51" spans="1:10" x14ac:dyDescent="0.25">
      <c r="A51" s="53">
        <f>'A) Base RI'!A53</f>
        <v>5482</v>
      </c>
      <c r="B51" s="116" t="str">
        <f>'A) Base RI'!B53</f>
        <v>Eclépens</v>
      </c>
      <c r="C51" s="127">
        <f>'B) D RI'!U53</f>
        <v>26792.007391304349</v>
      </c>
      <c r="D51" s="168">
        <f>'E) Fact soc'!G57/C51</f>
        <v>21.872364422557371</v>
      </c>
      <c r="E51" s="159">
        <f>'H) Péréquation directe'!I62/C51</f>
        <v>8.2654492292105388</v>
      </c>
      <c r="F51" s="206">
        <f>+'I) Dépenses thématiques'!O51/C51</f>
        <v>-8.6266054543196624</v>
      </c>
      <c r="G51" s="168">
        <f t="shared" si="1"/>
        <v>21.511208197448248</v>
      </c>
      <c r="H51" s="130">
        <f t="shared" si="0"/>
        <v>0</v>
      </c>
      <c r="I51" s="175">
        <f t="shared" si="2"/>
        <v>0</v>
      </c>
      <c r="J51" s="36">
        <f t="shared" si="3"/>
        <v>21.511208197448248</v>
      </c>
    </row>
    <row r="52" spans="1:10" x14ac:dyDescent="0.25">
      <c r="A52" s="53">
        <f>'A) Base RI'!A54</f>
        <v>5483</v>
      </c>
      <c r="B52" s="116" t="str">
        <f>'A) Base RI'!B54</f>
        <v>Ferreyres</v>
      </c>
      <c r="C52" s="127">
        <f>'B) D RI'!U54</f>
        <v>9773.8555263157887</v>
      </c>
      <c r="D52" s="168">
        <f>'E) Fact soc'!G58/C52</f>
        <v>15.16244945077529</v>
      </c>
      <c r="E52" s="159">
        <f>'H) Péréquation directe'!I63/C52</f>
        <v>5.5460486352825331</v>
      </c>
      <c r="F52" s="206">
        <f>+'I) Dépenses thématiques'!O52/C52</f>
        <v>-1.7280867340357322</v>
      </c>
      <c r="G52" s="168">
        <f t="shared" si="1"/>
        <v>18.980411352022092</v>
      </c>
      <c r="H52" s="130">
        <f t="shared" si="0"/>
        <v>0</v>
      </c>
      <c r="I52" s="175">
        <f t="shared" si="2"/>
        <v>0</v>
      </c>
      <c r="J52" s="36">
        <f t="shared" si="3"/>
        <v>18.980411352022092</v>
      </c>
    </row>
    <row r="53" spans="1:10" x14ac:dyDescent="0.25">
      <c r="A53" s="53">
        <f>'A) Base RI'!A55</f>
        <v>5484</v>
      </c>
      <c r="B53" s="116" t="str">
        <f>'A) Base RI'!B55</f>
        <v>Gollion</v>
      </c>
      <c r="C53" s="127">
        <f>'B) D RI'!U55</f>
        <v>29063.721351351356</v>
      </c>
      <c r="D53" s="168">
        <f>'E) Fact soc'!G59/C53</f>
        <v>18.46265295631305</v>
      </c>
      <c r="E53" s="159">
        <f>'H) Péréquation directe'!I64/C53</f>
        <v>7.4347180105324435</v>
      </c>
      <c r="F53" s="206">
        <f>+'I) Dépenses thématiques'!O53/C53</f>
        <v>-4.0703005028076777</v>
      </c>
      <c r="G53" s="168">
        <f t="shared" si="1"/>
        <v>21.827070464037817</v>
      </c>
      <c r="H53" s="130">
        <f t="shared" si="0"/>
        <v>0</v>
      </c>
      <c r="I53" s="175">
        <f t="shared" si="2"/>
        <v>0</v>
      </c>
      <c r="J53" s="36">
        <f t="shared" si="3"/>
        <v>21.827070464037817</v>
      </c>
    </row>
    <row r="54" spans="1:10" x14ac:dyDescent="0.25">
      <c r="A54" s="53">
        <f>'A) Base RI'!A56</f>
        <v>5485</v>
      </c>
      <c r="B54" s="116" t="str">
        <f>'A) Base RI'!B56</f>
        <v>Grancy</v>
      </c>
      <c r="C54" s="127">
        <f>'B) D RI'!U56</f>
        <v>15073.947999999999</v>
      </c>
      <c r="D54" s="168">
        <f>'E) Fact soc'!G60/C54</f>
        <v>16.795028646594982</v>
      </c>
      <c r="E54" s="159">
        <f>'H) Péréquation directe'!I65/C54</f>
        <v>12.101326481514699</v>
      </c>
      <c r="F54" s="206">
        <f>+'I) Dépenses thématiques'!O54/C54</f>
        <v>-3.2493200412572967</v>
      </c>
      <c r="G54" s="168">
        <f t="shared" si="1"/>
        <v>25.647035086852387</v>
      </c>
      <c r="H54" s="130">
        <f t="shared" si="0"/>
        <v>0</v>
      </c>
      <c r="I54" s="175">
        <f t="shared" si="2"/>
        <v>0</v>
      </c>
      <c r="J54" s="36">
        <f t="shared" si="3"/>
        <v>25.647035086852387</v>
      </c>
    </row>
    <row r="55" spans="1:10" x14ac:dyDescent="0.25">
      <c r="A55" s="53">
        <f>'A) Base RI'!A57</f>
        <v>5486</v>
      </c>
      <c r="B55" s="116" t="str">
        <f>'A) Base RI'!B57</f>
        <v>L'Isle</v>
      </c>
      <c r="C55" s="127">
        <f>'B) D RI'!U57</f>
        <v>29834.586052631581</v>
      </c>
      <c r="D55" s="168">
        <f>'E) Fact soc'!G61/C55</f>
        <v>18.620435253701004</v>
      </c>
      <c r="E55" s="159">
        <f>'H) Péréquation directe'!I66/C55</f>
        <v>2.713213867273272</v>
      </c>
      <c r="F55" s="206">
        <f>+'I) Dépenses thématiques'!O55/C55</f>
        <v>-10.133909439469816</v>
      </c>
      <c r="G55" s="168">
        <f t="shared" si="1"/>
        <v>11.199739681504459</v>
      </c>
      <c r="H55" s="130">
        <f t="shared" si="0"/>
        <v>0</v>
      </c>
      <c r="I55" s="175">
        <f t="shared" si="2"/>
        <v>0</v>
      </c>
      <c r="J55" s="36">
        <f t="shared" si="3"/>
        <v>11.199739681504459</v>
      </c>
    </row>
    <row r="56" spans="1:10" x14ac:dyDescent="0.25">
      <c r="A56" s="53">
        <f>'A) Base RI'!A58</f>
        <v>5487</v>
      </c>
      <c r="B56" s="116" t="str">
        <f>'A) Base RI'!B58</f>
        <v>Lussery-Villars</v>
      </c>
      <c r="C56" s="127">
        <f>'B) D RI'!U58</f>
        <v>13143.798970588234</v>
      </c>
      <c r="D56" s="168">
        <f>'E) Fact soc'!G62/C56</f>
        <v>16.202233065718406</v>
      </c>
      <c r="E56" s="159">
        <f>'H) Péréquation directe'!I67/C56</f>
        <v>4.9311051109562278</v>
      </c>
      <c r="F56" s="206">
        <f>+'I) Dépenses thématiques'!O56/C56</f>
        <v>-0.27558529821655836</v>
      </c>
      <c r="G56" s="168">
        <f t="shared" si="1"/>
        <v>20.857752878458076</v>
      </c>
      <c r="H56" s="130">
        <f t="shared" si="0"/>
        <v>0</v>
      </c>
      <c r="I56" s="175">
        <f t="shared" si="2"/>
        <v>0</v>
      </c>
      <c r="J56" s="36">
        <f t="shared" si="3"/>
        <v>20.857752878458076</v>
      </c>
    </row>
    <row r="57" spans="1:10" x14ac:dyDescent="0.25">
      <c r="A57" s="53">
        <f>'A) Base RI'!A59</f>
        <v>5488</v>
      </c>
      <c r="B57" s="116" t="str">
        <f>'A) Base RI'!B59</f>
        <v>Mauraz</v>
      </c>
      <c r="C57" s="127">
        <f>'B) D RI'!U59</f>
        <v>1604.8968918918922</v>
      </c>
      <c r="D57" s="168">
        <f>'E) Fact soc'!G63/C57</f>
        <v>14.664437178454055</v>
      </c>
      <c r="E57" s="159">
        <f>'H) Péréquation directe'!I68/C57</f>
        <v>5.3195315291601162</v>
      </c>
      <c r="F57" s="206">
        <f>+'I) Dépenses thématiques'!O57/C57</f>
        <v>-5.0182944469819981</v>
      </c>
      <c r="G57" s="168">
        <f t="shared" si="1"/>
        <v>14.965674260632174</v>
      </c>
      <c r="H57" s="130">
        <f t="shared" si="0"/>
        <v>0</v>
      </c>
      <c r="I57" s="175">
        <f t="shared" si="2"/>
        <v>0</v>
      </c>
      <c r="J57" s="36">
        <f t="shared" si="3"/>
        <v>14.965674260632174</v>
      </c>
    </row>
    <row r="58" spans="1:10" x14ac:dyDescent="0.25">
      <c r="A58" s="53">
        <f>'A) Base RI'!A60</f>
        <v>5489</v>
      </c>
      <c r="B58" s="116" t="str">
        <f>'A) Base RI'!B60</f>
        <v>Mex</v>
      </c>
      <c r="C58" s="127">
        <f>'B) D RI'!U60</f>
        <v>46901.97049180328</v>
      </c>
      <c r="D58" s="168">
        <f>'E) Fact soc'!G64/C58</f>
        <v>19.834053514059633</v>
      </c>
      <c r="E58" s="159">
        <f>'H) Péréquation directe'!I69/C58</f>
        <v>16.058306850848179</v>
      </c>
      <c r="F58" s="206">
        <f>+'I) Dépenses thématiques'!O58/C58</f>
        <v>0</v>
      </c>
      <c r="G58" s="168">
        <f t="shared" si="1"/>
        <v>35.892360364907816</v>
      </c>
      <c r="H58" s="130">
        <f t="shared" si="0"/>
        <v>0</v>
      </c>
      <c r="I58" s="175">
        <f t="shared" si="2"/>
        <v>0</v>
      </c>
      <c r="J58" s="36">
        <f t="shared" si="3"/>
        <v>35.892360364907816</v>
      </c>
    </row>
    <row r="59" spans="1:10" x14ac:dyDescent="0.25">
      <c r="A59" s="53">
        <f>'A) Base RI'!A61</f>
        <v>5490</v>
      </c>
      <c r="B59" s="116" t="str">
        <f>'A) Base RI'!B61</f>
        <v>Moiry</v>
      </c>
      <c r="C59" s="127">
        <f>'B) D RI'!U61</f>
        <v>7445.9272839506175</v>
      </c>
      <c r="D59" s="168">
        <f>'E) Fact soc'!G65/C59</f>
        <v>16.897980344507662</v>
      </c>
      <c r="E59" s="159">
        <f>'H) Péréquation directe'!I70/C59</f>
        <v>-6.4509827199180387</v>
      </c>
      <c r="F59" s="206">
        <f>+'I) Dépenses thématiques'!O59/C59</f>
        <v>-3.7932892383391748</v>
      </c>
      <c r="G59" s="168">
        <f t="shared" si="1"/>
        <v>6.6537083862504494</v>
      </c>
      <c r="H59" s="130">
        <f t="shared" si="0"/>
        <v>0</v>
      </c>
      <c r="I59" s="175">
        <f t="shared" si="2"/>
        <v>0</v>
      </c>
      <c r="J59" s="36">
        <f t="shared" si="3"/>
        <v>6.6537083862504494</v>
      </c>
    </row>
    <row r="60" spans="1:10" x14ac:dyDescent="0.25">
      <c r="A60" s="53">
        <f>'A) Base RI'!A62</f>
        <v>5491</v>
      </c>
      <c r="B60" s="116" t="str">
        <f>'A) Base RI'!B62</f>
        <v>Mont-la-Ville</v>
      </c>
      <c r="C60" s="127">
        <f>'B) D RI'!U62</f>
        <v>8756.4323684210522</v>
      </c>
      <c r="D60" s="168">
        <f>'E) Fact soc'!G66/C60</f>
        <v>21.303231673075647</v>
      </c>
      <c r="E60" s="159">
        <f>'H) Péréquation directe'!I71/C60</f>
        <v>-9.6135395451692229</v>
      </c>
      <c r="F60" s="206">
        <f>+'I) Dépenses thématiques'!O60/C60</f>
        <v>-16.767786682484967</v>
      </c>
      <c r="G60" s="168">
        <f t="shared" si="1"/>
        <v>-5.0780945545785432</v>
      </c>
      <c r="H60" s="130">
        <f t="shared" ref="H60:H113" si="4">IF(G60&gt;H$4,H$4-G60,0)</f>
        <v>0</v>
      </c>
      <c r="I60" s="175">
        <f t="shared" si="2"/>
        <v>0</v>
      </c>
      <c r="J60" s="36">
        <f t="shared" ref="J60:J113" si="5">G60+H60</f>
        <v>-5.0780945545785432</v>
      </c>
    </row>
    <row r="61" spans="1:10" x14ac:dyDescent="0.25">
      <c r="A61" s="53">
        <f>'A) Base RI'!A63</f>
        <v>5492</v>
      </c>
      <c r="B61" s="116" t="str">
        <f>'A) Base RI'!B63</f>
        <v>Montricher</v>
      </c>
      <c r="C61" s="127">
        <f>'B) D RI'!U63</f>
        <v>201844.58625000002</v>
      </c>
      <c r="D61" s="168">
        <f>'E) Fact soc'!G67/C61</f>
        <v>35.781819520870371</v>
      </c>
      <c r="E61" s="159">
        <f>'H) Péréquation directe'!I72/C61</f>
        <v>10.2678653539918</v>
      </c>
      <c r="F61" s="206">
        <f>+'I) Dépenses thématiques'!O61/C61</f>
        <v>-0.98806630954148844</v>
      </c>
      <c r="G61" s="168">
        <f t="shared" si="1"/>
        <v>45.061618565320686</v>
      </c>
      <c r="H61" s="130">
        <f t="shared" si="4"/>
        <v>0</v>
      </c>
      <c r="I61" s="175">
        <f t="shared" ref="I61:I115" si="6">H61*C61</f>
        <v>0</v>
      </c>
      <c r="J61" s="36">
        <f t="shared" si="5"/>
        <v>45.061618565320686</v>
      </c>
    </row>
    <row r="62" spans="1:10" x14ac:dyDescent="0.25">
      <c r="A62" s="53">
        <f>'A) Base RI'!A64</f>
        <v>5493</v>
      </c>
      <c r="B62" s="116" t="str">
        <f>'A) Base RI'!B64</f>
        <v>Orny</v>
      </c>
      <c r="C62" s="127">
        <f>'B) D RI'!U64</f>
        <v>9079.112581664911</v>
      </c>
      <c r="D62" s="168">
        <f>'E) Fact soc'!G68/C62</f>
        <v>28.734561747454002</v>
      </c>
      <c r="E62" s="159">
        <f>'H) Péréquation directe'!I73/C62</f>
        <v>-2.5471770119878774</v>
      </c>
      <c r="F62" s="206">
        <f>+'I) Dépenses thématiques'!O62/C62</f>
        <v>-3.9503090021417178</v>
      </c>
      <c r="G62" s="168">
        <f t="shared" ref="G62:G116" si="7">SUM(D62:F62)</f>
        <v>22.237075733324406</v>
      </c>
      <c r="H62" s="130">
        <f t="shared" si="4"/>
        <v>0</v>
      </c>
      <c r="I62" s="175">
        <f t="shared" si="6"/>
        <v>0</v>
      </c>
      <c r="J62" s="36">
        <f t="shared" si="5"/>
        <v>22.237075733324406</v>
      </c>
    </row>
    <row r="63" spans="1:10" x14ac:dyDescent="0.25">
      <c r="A63" s="53">
        <f>'A) Base RI'!A65</f>
        <v>5494</v>
      </c>
      <c r="B63" s="116" t="str">
        <f>'A) Base RI'!B65</f>
        <v>Pampigny</v>
      </c>
      <c r="C63" s="127">
        <f>'B) D RI'!U65</f>
        <v>36797.992425396827</v>
      </c>
      <c r="D63" s="168">
        <f>'E) Fact soc'!G69/C63</f>
        <v>17.779397464192087</v>
      </c>
      <c r="E63" s="159">
        <f>'H) Péréquation directe'!I74/C63</f>
        <v>7.2093949287347234</v>
      </c>
      <c r="F63" s="206">
        <f>+'I) Dépenses thématiques'!O63/C63</f>
        <v>-7.2572387641396796</v>
      </c>
      <c r="G63" s="168">
        <f t="shared" si="7"/>
        <v>17.731553628787132</v>
      </c>
      <c r="H63" s="130">
        <f t="shared" si="4"/>
        <v>0</v>
      </c>
      <c r="I63" s="175">
        <f t="shared" si="6"/>
        <v>0</v>
      </c>
      <c r="J63" s="36">
        <f t="shared" si="5"/>
        <v>17.731553628787132</v>
      </c>
    </row>
    <row r="64" spans="1:10" x14ac:dyDescent="0.25">
      <c r="A64" s="53">
        <f>'A) Base RI'!A66</f>
        <v>5495</v>
      </c>
      <c r="B64" s="116" t="str">
        <f>'A) Base RI'!B66</f>
        <v>Penthalaz</v>
      </c>
      <c r="C64" s="127">
        <f>'B) D RI'!U66</f>
        <v>99436.02810810809</v>
      </c>
      <c r="D64" s="168">
        <f>'E) Fact soc'!G70/C64</f>
        <v>16.332738277726072</v>
      </c>
      <c r="E64" s="159">
        <f>'H) Péréquation directe'!I75/C64</f>
        <v>-0.29763534915116224</v>
      </c>
      <c r="F64" s="206">
        <f>+'I) Dépenses thématiques'!O64/C64</f>
        <v>-4.2046634612427001</v>
      </c>
      <c r="G64" s="168">
        <f t="shared" si="7"/>
        <v>11.830439467332212</v>
      </c>
      <c r="H64" s="130">
        <f t="shared" si="4"/>
        <v>0</v>
      </c>
      <c r="I64" s="175">
        <f t="shared" si="6"/>
        <v>0</v>
      </c>
      <c r="J64" s="36">
        <f t="shared" si="5"/>
        <v>11.830439467332212</v>
      </c>
    </row>
    <row r="65" spans="1:10" x14ac:dyDescent="0.25">
      <c r="A65" s="53">
        <f>'A) Base RI'!A67</f>
        <v>5496</v>
      </c>
      <c r="B65" s="116" t="str">
        <f>'A) Base RI'!B67</f>
        <v>Penthaz</v>
      </c>
      <c r="C65" s="127">
        <f>'B) D RI'!U67</f>
        <v>52905.64732394366</v>
      </c>
      <c r="D65" s="168">
        <f>'E) Fact soc'!G71/C65</f>
        <v>16.181913933032313</v>
      </c>
      <c r="E65" s="159">
        <f>'H) Péréquation directe'!I76/C65</f>
        <v>3.661121279216863</v>
      </c>
      <c r="F65" s="206">
        <f>+'I) Dépenses thématiques'!O65/C65</f>
        <v>-3.4870099732284152</v>
      </c>
      <c r="G65" s="168">
        <f t="shared" si="7"/>
        <v>16.356025239020763</v>
      </c>
      <c r="H65" s="130">
        <f t="shared" si="4"/>
        <v>0</v>
      </c>
      <c r="I65" s="175">
        <f t="shared" si="6"/>
        <v>0</v>
      </c>
      <c r="J65" s="36">
        <f t="shared" si="5"/>
        <v>16.356025239020763</v>
      </c>
    </row>
    <row r="66" spans="1:10" x14ac:dyDescent="0.25">
      <c r="A66" s="53">
        <f>'A) Base RI'!A68</f>
        <v>5497</v>
      </c>
      <c r="B66" s="116" t="str">
        <f>'A) Base RI'!B68</f>
        <v>Pompaples</v>
      </c>
      <c r="C66" s="127">
        <f>'B) D RI'!U68</f>
        <v>22272.608181818188</v>
      </c>
      <c r="D66" s="168">
        <f>'E) Fact soc'!G72/C66</f>
        <v>22.305803811883809</v>
      </c>
      <c r="E66" s="159">
        <f>'H) Péréquation directe'!I77/C66</f>
        <v>2.5593931744134029</v>
      </c>
      <c r="F66" s="206">
        <f>+'I) Dépenses thématiques'!O66/C66</f>
        <v>-7.3351909416086443</v>
      </c>
      <c r="G66" s="168">
        <f t="shared" si="7"/>
        <v>17.530006044688569</v>
      </c>
      <c r="H66" s="130">
        <f t="shared" si="4"/>
        <v>0</v>
      </c>
      <c r="I66" s="175">
        <f t="shared" si="6"/>
        <v>0</v>
      </c>
      <c r="J66" s="36">
        <f t="shared" si="5"/>
        <v>17.530006044688569</v>
      </c>
    </row>
    <row r="67" spans="1:10" x14ac:dyDescent="0.25">
      <c r="A67" s="53">
        <f>'A) Base RI'!A69</f>
        <v>5498</v>
      </c>
      <c r="B67" s="116" t="str">
        <f>'A) Base RI'!B69</f>
        <v>La Sarraz</v>
      </c>
      <c r="C67" s="127">
        <f>'B) D RI'!U69</f>
        <v>73804.61909090908</v>
      </c>
      <c r="D67" s="168">
        <f>'E) Fact soc'!G73/C67</f>
        <v>17.019111345743486</v>
      </c>
      <c r="E67" s="159">
        <f>'H) Péréquation directe'!I78/C67</f>
        <v>0.6062699467763617</v>
      </c>
      <c r="F67" s="206">
        <f>+'I) Dépenses thématiques'!O67/C67</f>
        <v>-8.0208527174006594</v>
      </c>
      <c r="G67" s="168">
        <f t="shared" si="7"/>
        <v>9.604528575119188</v>
      </c>
      <c r="H67" s="130">
        <f t="shared" si="4"/>
        <v>0</v>
      </c>
      <c r="I67" s="175">
        <f t="shared" si="6"/>
        <v>0</v>
      </c>
      <c r="J67" s="36">
        <f t="shared" si="5"/>
        <v>9.604528575119188</v>
      </c>
    </row>
    <row r="68" spans="1:10" x14ac:dyDescent="0.25">
      <c r="A68" s="53">
        <f>'A) Base RI'!A70</f>
        <v>5499</v>
      </c>
      <c r="B68" s="116" t="str">
        <f>'A) Base RI'!B70</f>
        <v>Senarclens</v>
      </c>
      <c r="C68" s="127">
        <f>'B) D RI'!U70</f>
        <v>18585.936788321167</v>
      </c>
      <c r="D68" s="168">
        <f>'E) Fact soc'!G74/C68</f>
        <v>17.802985999767952</v>
      </c>
      <c r="E68" s="159">
        <f>'H) Péréquation directe'!I79/C68</f>
        <v>14.455856476607586</v>
      </c>
      <c r="F68" s="206">
        <f>+'I) Dépenses thématiques'!O68/C68</f>
        <v>-4.6798654806115181</v>
      </c>
      <c r="G68" s="168">
        <f t="shared" si="7"/>
        <v>27.578976995764016</v>
      </c>
      <c r="H68" s="130">
        <f t="shared" si="4"/>
        <v>0</v>
      </c>
      <c r="I68" s="175">
        <f t="shared" si="6"/>
        <v>0</v>
      </c>
      <c r="J68" s="36">
        <f t="shared" si="5"/>
        <v>27.578976995764016</v>
      </c>
    </row>
    <row r="69" spans="1:10" x14ac:dyDescent="0.25">
      <c r="A69" s="53">
        <f>'A) Base RI'!A71</f>
        <v>5500</v>
      </c>
      <c r="B69" s="116" t="str">
        <f>'A) Base RI'!B71</f>
        <v>Sévery</v>
      </c>
      <c r="C69" s="127">
        <f>'B) D RI'!U71</f>
        <v>8028.7526973684207</v>
      </c>
      <c r="D69" s="168">
        <f>'E) Fact soc'!G75/C69</f>
        <v>15.561717898329915</v>
      </c>
      <c r="E69" s="159">
        <f>'H) Péréquation directe'!I80/C69</f>
        <v>7.8515130615114916</v>
      </c>
      <c r="F69" s="206">
        <f>+'I) Dépenses thématiques'!O69/C69</f>
        <v>-1.4613898136371108</v>
      </c>
      <c r="G69" s="168">
        <f t="shared" si="7"/>
        <v>21.951841146204295</v>
      </c>
      <c r="H69" s="130">
        <f t="shared" si="4"/>
        <v>0</v>
      </c>
      <c r="I69" s="175">
        <f t="shared" si="6"/>
        <v>0</v>
      </c>
      <c r="J69" s="36">
        <f t="shared" si="5"/>
        <v>21.951841146204295</v>
      </c>
    </row>
    <row r="70" spans="1:10" x14ac:dyDescent="0.25">
      <c r="A70" s="53">
        <f>'A) Base RI'!A72</f>
        <v>5501</v>
      </c>
      <c r="B70" s="116" t="str">
        <f>'A) Base RI'!B72</f>
        <v>Sullens</v>
      </c>
      <c r="C70" s="127">
        <f>'B) D RI'!U72</f>
        <v>35737.650142857143</v>
      </c>
      <c r="D70" s="168">
        <f>'E) Fact soc'!G76/C70</f>
        <v>19.486526048626832</v>
      </c>
      <c r="E70" s="159">
        <f>'H) Péréquation directe'!I81/C70</f>
        <v>11.813144370821842</v>
      </c>
      <c r="F70" s="206">
        <f>+'I) Dépenses thématiques'!O70/C70</f>
        <v>-0.3783483933288625</v>
      </c>
      <c r="G70" s="168">
        <f t="shared" si="7"/>
        <v>30.92132202611981</v>
      </c>
      <c r="H70" s="130">
        <f t="shared" si="4"/>
        <v>0</v>
      </c>
      <c r="I70" s="175">
        <f t="shared" si="6"/>
        <v>0</v>
      </c>
      <c r="J70" s="36">
        <f t="shared" si="5"/>
        <v>30.92132202611981</v>
      </c>
    </row>
    <row r="71" spans="1:10" x14ac:dyDescent="0.25">
      <c r="A71" s="53">
        <f>'A) Base RI'!A73</f>
        <v>5503</v>
      </c>
      <c r="B71" s="116" t="str">
        <f>'A) Base RI'!B73</f>
        <v>Vufflens-la-Ville</v>
      </c>
      <c r="C71" s="127">
        <f>'B) D RI'!U73</f>
        <v>64927.66542288557</v>
      </c>
      <c r="D71" s="168">
        <f>'E) Fact soc'!G77/C71</f>
        <v>19.513624315390963</v>
      </c>
      <c r="E71" s="159">
        <f>'H) Péréquation directe'!I82/C71</f>
        <v>15.701441995111869</v>
      </c>
      <c r="F71" s="206">
        <f>+'I) Dépenses thématiques'!O71/C71</f>
        <v>0</v>
      </c>
      <c r="G71" s="168">
        <f t="shared" si="7"/>
        <v>35.215066310502834</v>
      </c>
      <c r="H71" s="130">
        <f t="shared" si="4"/>
        <v>0</v>
      </c>
      <c r="I71" s="175">
        <f t="shared" si="6"/>
        <v>0</v>
      </c>
      <c r="J71" s="36">
        <f t="shared" si="5"/>
        <v>35.215066310502834</v>
      </c>
    </row>
    <row r="72" spans="1:10" x14ac:dyDescent="0.25">
      <c r="A72" s="53">
        <f>'A) Base RI'!A74</f>
        <v>5511</v>
      </c>
      <c r="B72" s="116" t="str">
        <f>'A) Base RI'!B74</f>
        <v>Assens</v>
      </c>
      <c r="C72" s="127">
        <f>'B) D RI'!U74</f>
        <v>39993.346428571429</v>
      </c>
      <c r="D72" s="168">
        <f>'E) Fact soc'!G78/C72</f>
        <v>17.065245902262308</v>
      </c>
      <c r="E72" s="159">
        <f>'H) Péréquation directe'!I83/C72</f>
        <v>12.272402909560418</v>
      </c>
      <c r="F72" s="206">
        <f>+'I) Dépenses thématiques'!O72/C72</f>
        <v>-7.0108328930641104</v>
      </c>
      <c r="G72" s="168">
        <f t="shared" si="7"/>
        <v>22.326815918758612</v>
      </c>
      <c r="H72" s="130">
        <f t="shared" si="4"/>
        <v>0</v>
      </c>
      <c r="I72" s="175">
        <f t="shared" si="6"/>
        <v>0</v>
      </c>
      <c r="J72" s="36">
        <f t="shared" si="5"/>
        <v>22.326815918758612</v>
      </c>
    </row>
    <row r="73" spans="1:10" x14ac:dyDescent="0.25">
      <c r="A73" s="53">
        <f>'A) Base RI'!A75</f>
        <v>5512</v>
      </c>
      <c r="B73" s="116" t="str">
        <f>'A) Base RI'!B75</f>
        <v>Bercher</v>
      </c>
      <c r="C73" s="127">
        <f>'B) D RI'!U75</f>
        <v>35096.262278481016</v>
      </c>
      <c r="D73" s="168">
        <f>'E) Fact soc'!G79/C73</f>
        <v>19.090430430027254</v>
      </c>
      <c r="E73" s="159">
        <f>'H) Péréquation directe'!I84/C73</f>
        <v>2.8910419315442297</v>
      </c>
      <c r="F73" s="206">
        <f>+'I) Dépenses thématiques'!O73/C73</f>
        <v>-4.0938241038652947</v>
      </c>
      <c r="G73" s="168">
        <f t="shared" si="7"/>
        <v>17.887648257706189</v>
      </c>
      <c r="H73" s="130">
        <f t="shared" si="4"/>
        <v>0</v>
      </c>
      <c r="I73" s="175">
        <f t="shared" si="6"/>
        <v>0</v>
      </c>
      <c r="J73" s="36">
        <f t="shared" si="5"/>
        <v>17.887648257706189</v>
      </c>
    </row>
    <row r="74" spans="1:10" x14ac:dyDescent="0.25">
      <c r="A74" s="53">
        <f>'A) Base RI'!A76</f>
        <v>5513</v>
      </c>
      <c r="B74" s="116" t="str">
        <f>'A) Base RI'!B76</f>
        <v>Bioley-Orjulaz</v>
      </c>
      <c r="C74" s="127">
        <f>'B) D RI'!U76</f>
        <v>22441.228030303031</v>
      </c>
      <c r="D74" s="168">
        <f>'E) Fact soc'!G80/C74</f>
        <v>16.823245285326887</v>
      </c>
      <c r="E74" s="159">
        <f>'H) Péréquation directe'!I85/C74</f>
        <v>16.437252093145531</v>
      </c>
      <c r="F74" s="206">
        <f>+'I) Dépenses thématiques'!O74/C74</f>
        <v>-0.31593751462631942</v>
      </c>
      <c r="G74" s="168">
        <f t="shared" si="7"/>
        <v>32.944559863846102</v>
      </c>
      <c r="H74" s="130">
        <f t="shared" si="4"/>
        <v>0</v>
      </c>
      <c r="I74" s="175">
        <f t="shared" si="6"/>
        <v>0</v>
      </c>
      <c r="J74" s="36">
        <f t="shared" si="5"/>
        <v>32.944559863846102</v>
      </c>
    </row>
    <row r="75" spans="1:10" x14ac:dyDescent="0.25">
      <c r="A75" s="53">
        <f>'A) Base RI'!A77</f>
        <v>5514</v>
      </c>
      <c r="B75" s="116" t="str">
        <f>'A) Base RI'!B77</f>
        <v>Bottens</v>
      </c>
      <c r="C75" s="127">
        <f>'B) D RI'!U77</f>
        <v>40579.944927536235</v>
      </c>
      <c r="D75" s="168">
        <f>'E) Fact soc'!G81/C75</f>
        <v>17.86518782589674</v>
      </c>
      <c r="E75" s="159">
        <f>'H) Péréquation directe'!I86/C75</f>
        <v>7.4784353718047898</v>
      </c>
      <c r="F75" s="206">
        <f>+'I) Dépenses thématiques'!O75/C75</f>
        <v>-0.47393175602725957</v>
      </c>
      <c r="G75" s="168">
        <f t="shared" si="7"/>
        <v>24.86969144167427</v>
      </c>
      <c r="H75" s="130">
        <f t="shared" si="4"/>
        <v>0</v>
      </c>
      <c r="I75" s="175">
        <f t="shared" si="6"/>
        <v>0</v>
      </c>
      <c r="J75" s="36">
        <f t="shared" si="5"/>
        <v>24.86969144167427</v>
      </c>
    </row>
    <row r="76" spans="1:10" x14ac:dyDescent="0.25">
      <c r="A76" s="53">
        <f>'A) Base RI'!A78</f>
        <v>5515</v>
      </c>
      <c r="B76" s="116" t="str">
        <f>'A) Base RI'!B78</f>
        <v>Bretigny-sur-Morrens</v>
      </c>
      <c r="C76" s="127">
        <f>'B) D RI'!U78</f>
        <v>25654.980410958906</v>
      </c>
      <c r="D76" s="168">
        <f>'E) Fact soc'!G82/C76</f>
        <v>16.278826444653145</v>
      </c>
      <c r="E76" s="159">
        <f>'H) Péréquation directe'!I87/C76</f>
        <v>6.8102347466922071</v>
      </c>
      <c r="F76" s="206">
        <f>+'I) Dépenses thématiques'!O76/C76</f>
        <v>-1.9364273162475225</v>
      </c>
      <c r="G76" s="168">
        <f t="shared" si="7"/>
        <v>21.152633875097827</v>
      </c>
      <c r="H76" s="130">
        <f t="shared" si="4"/>
        <v>0</v>
      </c>
      <c r="I76" s="175">
        <f t="shared" si="6"/>
        <v>0</v>
      </c>
      <c r="J76" s="36">
        <f t="shared" si="5"/>
        <v>21.152633875097827</v>
      </c>
    </row>
    <row r="77" spans="1:10" x14ac:dyDescent="0.25">
      <c r="A77" s="53">
        <f>'A) Base RI'!A79</f>
        <v>5516</v>
      </c>
      <c r="B77" s="116" t="str">
        <f>'A) Base RI'!B79</f>
        <v>Cugy</v>
      </c>
      <c r="C77" s="127">
        <f>'B) D RI'!U79</f>
        <v>107712.55485714282</v>
      </c>
      <c r="D77" s="168">
        <f>'E) Fact soc'!G83/C77</f>
        <v>16.881163634498805</v>
      </c>
      <c r="E77" s="159">
        <f>'H) Péréquation directe'!I88/C77</f>
        <v>9.6976875531422113</v>
      </c>
      <c r="F77" s="206">
        <f>+'I) Dépenses thématiques'!O77/C77</f>
        <v>-1.5344309644769398</v>
      </c>
      <c r="G77" s="168">
        <f t="shared" si="7"/>
        <v>25.044420223164074</v>
      </c>
      <c r="H77" s="130">
        <f t="shared" si="4"/>
        <v>0</v>
      </c>
      <c r="I77" s="175">
        <f t="shared" si="6"/>
        <v>0</v>
      </c>
      <c r="J77" s="36">
        <f t="shared" si="5"/>
        <v>25.044420223164074</v>
      </c>
    </row>
    <row r="78" spans="1:10" x14ac:dyDescent="0.25">
      <c r="A78" s="53">
        <f>'A) Base RI'!A80</f>
        <v>5518</v>
      </c>
      <c r="B78" s="116" t="str">
        <f>'A) Base RI'!B80</f>
        <v>Echallens</v>
      </c>
      <c r="C78" s="127">
        <f>'B) D RI'!U80</f>
        <v>187267.45324324328</v>
      </c>
      <c r="D78" s="168">
        <f>'E) Fact soc'!G84/C78</f>
        <v>18.376121819656269</v>
      </c>
      <c r="E78" s="159">
        <f>'H) Péréquation directe'!I89/C78</f>
        <v>-0.42541945704449435</v>
      </c>
      <c r="F78" s="206">
        <f>+'I) Dépenses thématiques'!O78/C78</f>
        <v>-4.4096065216025728</v>
      </c>
      <c r="G78" s="168">
        <f t="shared" si="7"/>
        <v>13.541095841009202</v>
      </c>
      <c r="H78" s="130">
        <f t="shared" si="4"/>
        <v>0</v>
      </c>
      <c r="I78" s="175">
        <f t="shared" si="6"/>
        <v>0</v>
      </c>
      <c r="J78" s="36">
        <f t="shared" si="5"/>
        <v>13.541095841009202</v>
      </c>
    </row>
    <row r="79" spans="1:10" x14ac:dyDescent="0.25">
      <c r="A79" s="53">
        <f>'A) Base RI'!A81</f>
        <v>5520</v>
      </c>
      <c r="B79" s="116" t="str">
        <f>'A) Base RI'!B81</f>
        <v>Essertines-sur-Yverdon</v>
      </c>
      <c r="C79" s="127">
        <f>'B) D RI'!U81</f>
        <v>28096.496575342466</v>
      </c>
      <c r="D79" s="168">
        <f>'E) Fact soc'!G85/C79</f>
        <v>16.819314561036123</v>
      </c>
      <c r="E79" s="159">
        <f>'H) Péréquation directe'!I90/C79</f>
        <v>5.0282407421889186</v>
      </c>
      <c r="F79" s="206">
        <f>+'I) Dépenses thématiques'!O79/C79</f>
        <v>-3.7369258900619897</v>
      </c>
      <c r="G79" s="168">
        <f t="shared" si="7"/>
        <v>18.110629413163053</v>
      </c>
      <c r="H79" s="130">
        <f t="shared" si="4"/>
        <v>0</v>
      </c>
      <c r="I79" s="175">
        <f t="shared" si="6"/>
        <v>0</v>
      </c>
      <c r="J79" s="36">
        <f t="shared" si="5"/>
        <v>18.110629413163053</v>
      </c>
    </row>
    <row r="80" spans="1:10" x14ac:dyDescent="0.25">
      <c r="A80" s="53">
        <f>'A) Base RI'!A82</f>
        <v>5521</v>
      </c>
      <c r="B80" s="116" t="str">
        <f>'A) Base RI'!B82</f>
        <v>Etagnières</v>
      </c>
      <c r="C80" s="127">
        <f>'B) D RI'!U82</f>
        <v>40658.047260273968</v>
      </c>
      <c r="D80" s="168">
        <f>'E) Fact soc'!G86/C80</f>
        <v>16.010056894269972</v>
      </c>
      <c r="E80" s="159">
        <f>'H) Péréquation directe'!I91/C80</f>
        <v>10.606897165424122</v>
      </c>
      <c r="F80" s="206">
        <f>+'I) Dépenses thématiques'!O80/C80</f>
        <v>-0.39464107776131307</v>
      </c>
      <c r="G80" s="168">
        <f t="shared" si="7"/>
        <v>26.222312981932781</v>
      </c>
      <c r="H80" s="130">
        <f t="shared" si="4"/>
        <v>0</v>
      </c>
      <c r="I80" s="175">
        <f t="shared" si="6"/>
        <v>0</v>
      </c>
      <c r="J80" s="36">
        <f t="shared" si="5"/>
        <v>26.222312981932781</v>
      </c>
    </row>
    <row r="81" spans="1:10" x14ac:dyDescent="0.25">
      <c r="A81" s="53">
        <f>'A) Base RI'!A83</f>
        <v>5522</v>
      </c>
      <c r="B81" s="116" t="str">
        <f>'A) Base RI'!B83</f>
        <v>Fey</v>
      </c>
      <c r="C81" s="127">
        <f>'B) D RI'!U83</f>
        <v>19109.159333333333</v>
      </c>
      <c r="D81" s="168">
        <f>'E) Fact soc'!G87/C81</f>
        <v>18.775812704166174</v>
      </c>
      <c r="E81" s="159">
        <f>'H) Péréquation directe'!I92/C81</f>
        <v>1.3440494323790431</v>
      </c>
      <c r="F81" s="206">
        <f>+'I) Dépenses thématiques'!O81/C81</f>
        <v>-4.1013814081301465</v>
      </c>
      <c r="G81" s="168">
        <f t="shared" si="7"/>
        <v>16.018480728415071</v>
      </c>
      <c r="H81" s="130">
        <f t="shared" si="4"/>
        <v>0</v>
      </c>
      <c r="I81" s="175">
        <f t="shared" si="6"/>
        <v>0</v>
      </c>
      <c r="J81" s="36">
        <f t="shared" si="5"/>
        <v>16.018480728415071</v>
      </c>
    </row>
    <row r="82" spans="1:10" x14ac:dyDescent="0.25">
      <c r="A82" s="53">
        <f>'A) Base RI'!A84</f>
        <v>5523</v>
      </c>
      <c r="B82" s="116" t="str">
        <f>'A) Base RI'!B84</f>
        <v>Froideville</v>
      </c>
      <c r="C82" s="127">
        <f>'B) D RI'!U84</f>
        <v>77198.057236842113</v>
      </c>
      <c r="D82" s="168">
        <f>'E) Fact soc'!G88/C82</f>
        <v>18.595444717529446</v>
      </c>
      <c r="E82" s="159">
        <f>'H) Péréquation directe'!I93/C82</f>
        <v>1.4214360550011855</v>
      </c>
      <c r="F82" s="206">
        <f>+'I) Dépenses thématiques'!O82/C82</f>
        <v>-2.005326448722121</v>
      </c>
      <c r="G82" s="168">
        <f t="shared" si="7"/>
        <v>18.011554323808511</v>
      </c>
      <c r="H82" s="130">
        <f t="shared" si="4"/>
        <v>0</v>
      </c>
      <c r="I82" s="175">
        <f t="shared" si="6"/>
        <v>0</v>
      </c>
      <c r="J82" s="36">
        <f t="shared" si="5"/>
        <v>18.011554323808511</v>
      </c>
    </row>
    <row r="83" spans="1:10" x14ac:dyDescent="0.25">
      <c r="A83" s="53">
        <f>'A) Base RI'!A85</f>
        <v>5527</v>
      </c>
      <c r="B83" s="116" t="str">
        <f>'A) Base RI'!B85</f>
        <v>Morrens</v>
      </c>
      <c r="C83" s="127">
        <f>'B) D RI'!U85</f>
        <v>37560.717323943667</v>
      </c>
      <c r="D83" s="168">
        <f>'E) Fact soc'!G89/C83</f>
        <v>15.637831794022096</v>
      </c>
      <c r="E83" s="159">
        <f>'H) Péréquation directe'!I94/C83</f>
        <v>9.9994667776800679</v>
      </c>
      <c r="F83" s="206">
        <f>+'I) Dépenses thématiques'!O83/C83</f>
        <v>-0.31677733732791519</v>
      </c>
      <c r="G83" s="168">
        <f t="shared" si="7"/>
        <v>25.320521234374247</v>
      </c>
      <c r="H83" s="130">
        <f t="shared" si="4"/>
        <v>0</v>
      </c>
      <c r="I83" s="175">
        <f t="shared" si="6"/>
        <v>0</v>
      </c>
      <c r="J83" s="36">
        <f t="shared" si="5"/>
        <v>25.320521234374247</v>
      </c>
    </row>
    <row r="84" spans="1:10" x14ac:dyDescent="0.25">
      <c r="A84" s="53">
        <f>'A) Base RI'!A86</f>
        <v>5529</v>
      </c>
      <c r="B84" s="116" t="str">
        <f>'A) Base RI'!B86</f>
        <v>Oulens-sous-Echallens</v>
      </c>
      <c r="C84" s="127">
        <f>'B) D RI'!U86</f>
        <v>19874.862394366199</v>
      </c>
      <c r="D84" s="168">
        <f>'E) Fact soc'!G90/C84</f>
        <v>16.530188460863499</v>
      </c>
      <c r="E84" s="159">
        <f>'H) Péréquation directe'!I95/C84</f>
        <v>10.897028895259801</v>
      </c>
      <c r="F84" s="206">
        <f>+'I) Dépenses thématiques'!O84/C84</f>
        <v>-6.2525867538921203</v>
      </c>
      <c r="G84" s="168">
        <f t="shared" si="7"/>
        <v>21.174630602231179</v>
      </c>
      <c r="H84" s="130">
        <f t="shared" si="4"/>
        <v>0</v>
      </c>
      <c r="I84" s="175">
        <f t="shared" si="6"/>
        <v>0</v>
      </c>
      <c r="J84" s="36">
        <f t="shared" si="5"/>
        <v>21.174630602231179</v>
      </c>
    </row>
    <row r="85" spans="1:10" x14ac:dyDescent="0.25">
      <c r="A85" s="53">
        <f>'A) Base RI'!A87</f>
        <v>5530</v>
      </c>
      <c r="B85" s="116" t="str">
        <f>'A) Base RI'!B87</f>
        <v>Pailly</v>
      </c>
      <c r="C85" s="127">
        <f>'B) D RI'!U87</f>
        <v>15272.027655913982</v>
      </c>
      <c r="D85" s="168">
        <f>'E) Fact soc'!G91/C85</f>
        <v>15.052450488376611</v>
      </c>
      <c r="E85" s="159">
        <f>'H) Péréquation directe'!I96/C85</f>
        <v>2.1058159190802126</v>
      </c>
      <c r="F85" s="206">
        <f>+'I) Dépenses thématiques'!O85/C85</f>
        <v>-23.412595496965604</v>
      </c>
      <c r="G85" s="168">
        <f t="shared" si="7"/>
        <v>-6.2543290895087829</v>
      </c>
      <c r="H85" s="130">
        <f t="shared" si="4"/>
        <v>0</v>
      </c>
      <c r="I85" s="175">
        <f t="shared" si="6"/>
        <v>0</v>
      </c>
      <c r="J85" s="36">
        <f t="shared" si="5"/>
        <v>-6.2543290895087829</v>
      </c>
    </row>
    <row r="86" spans="1:10" x14ac:dyDescent="0.25">
      <c r="A86" s="53">
        <f>'A) Base RI'!A88</f>
        <v>5531</v>
      </c>
      <c r="B86" s="116" t="str">
        <f>'A) Base RI'!B88</f>
        <v>Penthéréaz</v>
      </c>
      <c r="C86" s="127">
        <f>'B) D RI'!U88</f>
        <v>12101.700128205126</v>
      </c>
      <c r="D86" s="168">
        <f>'E) Fact soc'!G92/C86</f>
        <v>16.992630300206677</v>
      </c>
      <c r="E86" s="159">
        <f>'H) Péréquation directe'!I97/C86</f>
        <v>3.1125697409017805</v>
      </c>
      <c r="F86" s="206">
        <f>+'I) Dépenses thématiques'!O86/C86</f>
        <v>-5.9258950833449786</v>
      </c>
      <c r="G86" s="168">
        <f t="shared" si="7"/>
        <v>14.179304957763478</v>
      </c>
      <c r="H86" s="130">
        <f t="shared" si="4"/>
        <v>0</v>
      </c>
      <c r="I86" s="175">
        <f t="shared" si="6"/>
        <v>0</v>
      </c>
      <c r="J86" s="36">
        <f t="shared" si="5"/>
        <v>14.179304957763478</v>
      </c>
    </row>
    <row r="87" spans="1:10" x14ac:dyDescent="0.25">
      <c r="A87" s="53">
        <f>'A) Base RI'!A89</f>
        <v>5533</v>
      </c>
      <c r="B87" s="116" t="str">
        <f>'A) Base RI'!B89</f>
        <v>Poliez-Pittet</v>
      </c>
      <c r="C87" s="127">
        <f>'B) D RI'!U89</f>
        <v>27045.170985915491</v>
      </c>
      <c r="D87" s="168">
        <f>'E) Fact soc'!G93/C87</f>
        <v>15.57135786358389</v>
      </c>
      <c r="E87" s="159">
        <f>'H) Péréquation directe'!I98/C87</f>
        <v>7.9058032139341687</v>
      </c>
      <c r="F87" s="206">
        <f>+'I) Dépenses thématiques'!O87/C87</f>
        <v>-1.2887106652546774</v>
      </c>
      <c r="G87" s="168">
        <f t="shared" si="7"/>
        <v>22.188450412263382</v>
      </c>
      <c r="H87" s="130">
        <f t="shared" si="4"/>
        <v>0</v>
      </c>
      <c r="I87" s="175">
        <f t="shared" si="6"/>
        <v>0</v>
      </c>
      <c r="J87" s="36">
        <f t="shared" si="5"/>
        <v>22.188450412263382</v>
      </c>
    </row>
    <row r="88" spans="1:10" x14ac:dyDescent="0.25">
      <c r="A88" s="53">
        <f>'A) Base RI'!A90</f>
        <v>5534</v>
      </c>
      <c r="B88" s="116" t="str">
        <f>'A) Base RI'!B90</f>
        <v>Rueyres</v>
      </c>
      <c r="C88" s="127">
        <f>'B) D RI'!U90</f>
        <v>10934.157945205479</v>
      </c>
      <c r="D88" s="168">
        <f>'E) Fact soc'!G94/C88</f>
        <v>27.669580849563491</v>
      </c>
      <c r="E88" s="159">
        <f>'H) Péréquation directe'!I99/C88</f>
        <v>14.13746440243589</v>
      </c>
      <c r="F88" s="206">
        <f>+'I) Dépenses thématiques'!O88/C88</f>
        <v>-4.3793995572900268</v>
      </c>
      <c r="G88" s="168">
        <f t="shared" si="7"/>
        <v>37.427645694709355</v>
      </c>
      <c r="H88" s="130">
        <f t="shared" si="4"/>
        <v>0</v>
      </c>
      <c r="I88" s="175">
        <f t="shared" si="6"/>
        <v>0</v>
      </c>
      <c r="J88" s="36">
        <f t="shared" si="5"/>
        <v>37.427645694709355</v>
      </c>
    </row>
    <row r="89" spans="1:10" x14ac:dyDescent="0.25">
      <c r="A89" s="53">
        <f>'A) Base RI'!A91</f>
        <v>5535</v>
      </c>
      <c r="B89" s="116" t="str">
        <f>'A) Base RI'!B91</f>
        <v>Saint-Barthélemy</v>
      </c>
      <c r="C89" s="127">
        <f>'B) D RI'!U91</f>
        <v>20697.547200000001</v>
      </c>
      <c r="D89" s="168">
        <f>'E) Fact soc'!G95/C89</f>
        <v>15.684158007983074</v>
      </c>
      <c r="E89" s="159">
        <f>'H) Péréquation directe'!I100/C89</f>
        <v>0.12518167099359073</v>
      </c>
      <c r="F89" s="206">
        <f>+'I) Dépenses thématiques'!O89/C89</f>
        <v>0</v>
      </c>
      <c r="G89" s="168">
        <f t="shared" si="7"/>
        <v>15.809339678976665</v>
      </c>
      <c r="H89" s="130">
        <f t="shared" si="4"/>
        <v>0</v>
      </c>
      <c r="I89" s="175">
        <f t="shared" si="6"/>
        <v>0</v>
      </c>
      <c r="J89" s="36">
        <f t="shared" si="5"/>
        <v>15.809339678976665</v>
      </c>
    </row>
    <row r="90" spans="1:10" x14ac:dyDescent="0.25">
      <c r="A90" s="53">
        <f>'A) Base RI'!A92</f>
        <v>5537</v>
      </c>
      <c r="B90" s="116" t="str">
        <f>'A) Base RI'!B92</f>
        <v>Villars-le-Terroir</v>
      </c>
      <c r="C90" s="127">
        <f>'B) D RI'!U92</f>
        <v>30041.138287671231</v>
      </c>
      <c r="D90" s="168">
        <f>'E) Fact soc'!G96/C90</f>
        <v>16.60888979674824</v>
      </c>
      <c r="E90" s="159">
        <f>'H) Péréquation directe'!I101/C90</f>
        <v>2.4924867688274448</v>
      </c>
      <c r="F90" s="206">
        <f>+'I) Dépenses thématiques'!O90/C90</f>
        <v>-2.8340787085578882</v>
      </c>
      <c r="G90" s="168">
        <f t="shared" si="7"/>
        <v>16.267297857017795</v>
      </c>
      <c r="H90" s="130">
        <f t="shared" si="4"/>
        <v>0</v>
      </c>
      <c r="I90" s="175">
        <f t="shared" si="6"/>
        <v>0</v>
      </c>
      <c r="J90" s="36">
        <f t="shared" si="5"/>
        <v>16.267297857017795</v>
      </c>
    </row>
    <row r="91" spans="1:10" x14ac:dyDescent="0.25">
      <c r="A91" s="53">
        <f>'A) Base RI'!A93</f>
        <v>5539</v>
      </c>
      <c r="B91" s="116" t="str">
        <f>'A) Base RI'!B93</f>
        <v>Vuarrens</v>
      </c>
      <c r="C91" s="127">
        <f>'B) D RI'!U93</f>
        <v>22727.031566666661</v>
      </c>
      <c r="D91" s="168">
        <f>'E) Fact soc'!G97/C91</f>
        <v>16.831966398251108</v>
      </c>
      <c r="E91" s="159">
        <f>'H) Péréquation directe'!I102/C91</f>
        <v>-6.5794918685652188</v>
      </c>
      <c r="F91" s="206">
        <f>+'I) Dépenses thématiques'!O91/C91</f>
        <v>-13.205994387135368</v>
      </c>
      <c r="G91" s="168">
        <f t="shared" si="7"/>
        <v>-2.9535198574494785</v>
      </c>
      <c r="H91" s="130">
        <f t="shared" si="4"/>
        <v>0</v>
      </c>
      <c r="I91" s="175">
        <f t="shared" si="6"/>
        <v>0</v>
      </c>
      <c r="J91" s="36">
        <f t="shared" si="5"/>
        <v>-2.9535198574494785</v>
      </c>
    </row>
    <row r="92" spans="1:10" x14ac:dyDescent="0.25">
      <c r="A92" s="53">
        <f>'A) Base RI'!A94</f>
        <v>5540</v>
      </c>
      <c r="B92" s="116" t="str">
        <f>'A) Base RI'!B94</f>
        <v>Montilliez</v>
      </c>
      <c r="C92" s="127">
        <f>'B) D RI'!U94</f>
        <v>54875.674391891895</v>
      </c>
      <c r="D92" s="168">
        <f>'E) Fact soc'!G98/C92</f>
        <v>17.208159903447569</v>
      </c>
      <c r="E92" s="159">
        <f>'H) Péréquation directe'!I103/C92</f>
        <v>4.3980627704955113</v>
      </c>
      <c r="F92" s="206">
        <f>+'I) Dépenses thématiques'!O92/C92</f>
        <v>-3.4313525324100804</v>
      </c>
      <c r="G92" s="168">
        <f>SUM(D92:F92)</f>
        <v>18.174870141532999</v>
      </c>
      <c r="H92" s="130">
        <f t="shared" si="4"/>
        <v>0</v>
      </c>
      <c r="I92" s="175">
        <f>H92*C92</f>
        <v>0</v>
      </c>
      <c r="J92" s="36">
        <f>G92+H92</f>
        <v>18.174870141532999</v>
      </c>
    </row>
    <row r="93" spans="1:10" x14ac:dyDescent="0.25">
      <c r="A93" s="53">
        <f>'A) Base RI'!A95</f>
        <v>5541</v>
      </c>
      <c r="B93" s="116" t="str">
        <f>'A) Base RI'!B95</f>
        <v>Goumoëns</v>
      </c>
      <c r="C93" s="127">
        <f>'B) D RI'!U95</f>
        <v>32498.070519480509</v>
      </c>
      <c r="D93" s="168">
        <f>'E) Fact soc'!G99/C93</f>
        <v>20.133669263892994</v>
      </c>
      <c r="E93" s="159">
        <f>'H) Péréquation directe'!I104/C93</f>
        <v>4.8884193984057287</v>
      </c>
      <c r="F93" s="206">
        <f>+'I) Dépenses thématiques'!O93/C93</f>
        <v>-2.1589566902315065</v>
      </c>
      <c r="G93" s="168">
        <f>SUM(D93:F93)</f>
        <v>22.863131972067215</v>
      </c>
      <c r="H93" s="130">
        <f t="shared" si="4"/>
        <v>0</v>
      </c>
      <c r="I93" s="175">
        <f>H93*C93</f>
        <v>0</v>
      </c>
      <c r="J93" s="36">
        <f>G93+H93</f>
        <v>22.863131972067215</v>
      </c>
    </row>
    <row r="94" spans="1:10" x14ac:dyDescent="0.25">
      <c r="A94" s="53">
        <f>'A) Base RI'!A96</f>
        <v>5551</v>
      </c>
      <c r="B94" s="116" t="str">
        <f>'A) Base RI'!B96</f>
        <v>Bonvillars</v>
      </c>
      <c r="C94" s="127">
        <f>'B) D RI'!U96</f>
        <v>19291.965896103895</v>
      </c>
      <c r="D94" s="168">
        <f>'E) Fact soc'!G100/C94</f>
        <v>15.71146396197534</v>
      </c>
      <c r="E94" s="159">
        <f>'H) Péréquation directe'!I105/C94</f>
        <v>14.440883129144801</v>
      </c>
      <c r="F94" s="206">
        <f>+'I) Dépenses thématiques'!O94/C94</f>
        <v>-3.3966363515517624</v>
      </c>
      <c r="G94" s="168">
        <f>SUM(D94:F94)</f>
        <v>26.755710739568379</v>
      </c>
      <c r="H94" s="130">
        <f t="shared" si="4"/>
        <v>0</v>
      </c>
      <c r="I94" s="175">
        <f>H94*C94</f>
        <v>0</v>
      </c>
      <c r="J94" s="36">
        <f>G94+H94</f>
        <v>26.755710739568379</v>
      </c>
    </row>
    <row r="95" spans="1:10" x14ac:dyDescent="0.25">
      <c r="A95" s="53">
        <f>'A) Base RI'!A97</f>
        <v>5552</v>
      </c>
      <c r="B95" s="116" t="str">
        <f>'A) Base RI'!B97</f>
        <v>Bullet</v>
      </c>
      <c r="C95" s="127">
        <f>'B) D RI'!U97</f>
        <v>15735.537571428569</v>
      </c>
      <c r="D95" s="168">
        <f>'E) Fact soc'!G101/C95</f>
        <v>20.550436597258241</v>
      </c>
      <c r="E95" s="159">
        <f>'H) Péréquation directe'!I106/C95</f>
        <v>-0.31628042416390456</v>
      </c>
      <c r="F95" s="206">
        <f>+'I) Dépenses thématiques'!O95/C95</f>
        <v>-11.672683348479715</v>
      </c>
      <c r="G95" s="168">
        <f t="shared" si="7"/>
        <v>8.5614728246146221</v>
      </c>
      <c r="H95" s="130">
        <f t="shared" si="4"/>
        <v>0</v>
      </c>
      <c r="I95" s="175">
        <f t="shared" si="6"/>
        <v>0</v>
      </c>
      <c r="J95" s="36">
        <f t="shared" si="5"/>
        <v>8.5614728246146221</v>
      </c>
    </row>
    <row r="96" spans="1:10" x14ac:dyDescent="0.25">
      <c r="A96" s="53">
        <f>'A) Base RI'!A98</f>
        <v>5553</v>
      </c>
      <c r="B96" s="116" t="str">
        <f>'A) Base RI'!B98</f>
        <v>Champagne</v>
      </c>
      <c r="C96" s="127">
        <f>'B) D RI'!U98</f>
        <v>33369.783650793652</v>
      </c>
      <c r="D96" s="168">
        <f>'E) Fact soc'!G102/C96</f>
        <v>19.583850103568889</v>
      </c>
      <c r="E96" s="159">
        <f>'H) Péréquation directe'!I107/C96</f>
        <v>9.661319397548171</v>
      </c>
      <c r="F96" s="206">
        <f>+'I) Dépenses thématiques'!O96/C96</f>
        <v>-9.8766677698273124</v>
      </c>
      <c r="G96" s="168">
        <f t="shared" si="7"/>
        <v>19.368501731289747</v>
      </c>
      <c r="H96" s="130">
        <f t="shared" si="4"/>
        <v>0</v>
      </c>
      <c r="I96" s="175">
        <f t="shared" si="6"/>
        <v>0</v>
      </c>
      <c r="J96" s="36">
        <f t="shared" si="5"/>
        <v>19.368501731289747</v>
      </c>
    </row>
    <row r="97" spans="1:10" x14ac:dyDescent="0.25">
      <c r="A97" s="53">
        <f>'A) Base RI'!A99</f>
        <v>5554</v>
      </c>
      <c r="B97" s="116" t="str">
        <f>'A) Base RI'!B99</f>
        <v>Concise</v>
      </c>
      <c r="C97" s="127">
        <f>'B) D RI'!U99</f>
        <v>28986.7088</v>
      </c>
      <c r="D97" s="168">
        <f>'E) Fact soc'!G103/C97</f>
        <v>17.32011604600455</v>
      </c>
      <c r="E97" s="159">
        <f>'H) Péréquation directe'!I108/C97</f>
        <v>4.9446657256829054</v>
      </c>
      <c r="F97" s="206">
        <f>+'I) Dépenses thématiques'!O97/C97</f>
        <v>-3.4039567282113321</v>
      </c>
      <c r="G97" s="168">
        <f t="shared" si="7"/>
        <v>18.860825043476126</v>
      </c>
      <c r="H97" s="130">
        <f t="shared" si="4"/>
        <v>0</v>
      </c>
      <c r="I97" s="175">
        <f t="shared" si="6"/>
        <v>0</v>
      </c>
      <c r="J97" s="36">
        <f t="shared" si="5"/>
        <v>18.860825043476126</v>
      </c>
    </row>
    <row r="98" spans="1:10" x14ac:dyDescent="0.25">
      <c r="A98" s="53">
        <f>'A) Base RI'!A100</f>
        <v>5555</v>
      </c>
      <c r="B98" s="116" t="str">
        <f>'A) Base RI'!B100</f>
        <v>Corcelles-près-Concise</v>
      </c>
      <c r="C98" s="127">
        <f>'B) D RI'!U100</f>
        <v>11040.372394366199</v>
      </c>
      <c r="D98" s="168">
        <f>'E) Fact soc'!G104/C98</f>
        <v>18.410586630904142</v>
      </c>
      <c r="E98" s="159">
        <f>'H) Péréquation directe'!I109/C98</f>
        <v>4.8250129690866048</v>
      </c>
      <c r="F98" s="206">
        <f>+'I) Dépenses thématiques'!O98/C98</f>
        <v>-8.863453845448511</v>
      </c>
      <c r="G98" s="168">
        <f t="shared" si="7"/>
        <v>14.372145754542235</v>
      </c>
      <c r="H98" s="130">
        <f t="shared" si="4"/>
        <v>0</v>
      </c>
      <c r="I98" s="175">
        <f t="shared" si="6"/>
        <v>0</v>
      </c>
      <c r="J98" s="36">
        <f t="shared" si="5"/>
        <v>14.372145754542235</v>
      </c>
    </row>
    <row r="99" spans="1:10" x14ac:dyDescent="0.25">
      <c r="A99" s="53">
        <f>'A) Base RI'!A101</f>
        <v>5556</v>
      </c>
      <c r="B99" s="116" t="str">
        <f>'A) Base RI'!B101</f>
        <v>Fiez</v>
      </c>
      <c r="C99" s="127">
        <f>'B) D RI'!U101</f>
        <v>12472.754202898552</v>
      </c>
      <c r="D99" s="168">
        <f>'E) Fact soc'!G105/C99</f>
        <v>16.662865079342811</v>
      </c>
      <c r="E99" s="159">
        <f>'H) Péréquation directe'!I110/C99</f>
        <v>5.4879548705456562</v>
      </c>
      <c r="F99" s="206">
        <f>+'I) Dépenses thématiques'!O99/C99</f>
        <v>-2.9874982365471401</v>
      </c>
      <c r="G99" s="168">
        <f t="shared" si="7"/>
        <v>19.163321713341329</v>
      </c>
      <c r="H99" s="130">
        <f t="shared" si="4"/>
        <v>0</v>
      </c>
      <c r="I99" s="175">
        <f t="shared" si="6"/>
        <v>0</v>
      </c>
      <c r="J99" s="36">
        <f t="shared" si="5"/>
        <v>19.163321713341329</v>
      </c>
    </row>
    <row r="100" spans="1:10" x14ac:dyDescent="0.25">
      <c r="A100" s="53">
        <f>'A) Base RI'!A102</f>
        <v>5557</v>
      </c>
      <c r="B100" s="116" t="str">
        <f>'A) Base RI'!B102</f>
        <v>Fontaines-sur-Grandson</v>
      </c>
      <c r="C100" s="127">
        <f>'B) D RI'!U102</f>
        <v>4030.2872463768117</v>
      </c>
      <c r="D100" s="168">
        <f>'E) Fact soc'!G106/C100</f>
        <v>19.026121327841469</v>
      </c>
      <c r="E100" s="159">
        <f>'H) Péréquation directe'!I111/C100</f>
        <v>-8.9415767536619146</v>
      </c>
      <c r="F100" s="206">
        <f>+'I) Dépenses thématiques'!O100/C100</f>
        <v>-8.6234316134964928</v>
      </c>
      <c r="G100" s="168">
        <f t="shared" si="7"/>
        <v>1.461112960683062</v>
      </c>
      <c r="H100" s="130">
        <f t="shared" si="4"/>
        <v>0</v>
      </c>
      <c r="I100" s="175">
        <f t="shared" si="6"/>
        <v>0</v>
      </c>
      <c r="J100" s="36">
        <f t="shared" si="5"/>
        <v>1.461112960683062</v>
      </c>
    </row>
    <row r="101" spans="1:10" x14ac:dyDescent="0.25">
      <c r="A101" s="53">
        <f>'A) Base RI'!A103</f>
        <v>5559</v>
      </c>
      <c r="B101" s="116" t="str">
        <f>'A) Base RI'!B103</f>
        <v>Giez</v>
      </c>
      <c r="C101" s="127">
        <f>'B) D RI'!U103</f>
        <v>18149.138484848489</v>
      </c>
      <c r="D101" s="168">
        <f>'E) Fact soc'!G107/C101</f>
        <v>23.89900911915073</v>
      </c>
      <c r="E101" s="159">
        <f>'H) Péréquation directe'!I112/C101</f>
        <v>16.342848754569562</v>
      </c>
      <c r="F101" s="206">
        <f>+'I) Dépenses thématiques'!O101/C101</f>
        <v>0</v>
      </c>
      <c r="G101" s="168">
        <f t="shared" si="7"/>
        <v>40.241857873720292</v>
      </c>
      <c r="H101" s="130">
        <f t="shared" si="4"/>
        <v>0</v>
      </c>
      <c r="I101" s="175">
        <f t="shared" si="6"/>
        <v>0</v>
      </c>
      <c r="J101" s="36">
        <f t="shared" si="5"/>
        <v>40.241857873720292</v>
      </c>
    </row>
    <row r="102" spans="1:10" x14ac:dyDescent="0.25">
      <c r="A102" s="53">
        <f>'A) Base RI'!A104</f>
        <v>5560</v>
      </c>
      <c r="B102" s="116" t="str">
        <f>'A) Base RI'!B104</f>
        <v>Grandevent</v>
      </c>
      <c r="C102" s="127">
        <f>'B) D RI'!U104</f>
        <v>6446.6273529411765</v>
      </c>
      <c r="D102" s="168">
        <f>'E) Fact soc'!G108/C102</f>
        <v>15.585298533545657</v>
      </c>
      <c r="E102" s="159">
        <f>'H) Péréquation directe'!I113/C102</f>
        <v>4.1654754192709085</v>
      </c>
      <c r="F102" s="206">
        <f>+'I) Dépenses thématiques'!O102/C102</f>
        <v>-2.8020776826879703</v>
      </c>
      <c r="G102" s="168">
        <f t="shared" si="7"/>
        <v>16.948696270128597</v>
      </c>
      <c r="H102" s="130">
        <f t="shared" si="4"/>
        <v>0</v>
      </c>
      <c r="I102" s="175">
        <f t="shared" si="6"/>
        <v>0</v>
      </c>
      <c r="J102" s="36">
        <f t="shared" si="5"/>
        <v>16.948696270128597</v>
      </c>
    </row>
    <row r="103" spans="1:10" x14ac:dyDescent="0.25">
      <c r="A103" s="53">
        <f>'A) Base RI'!A105</f>
        <v>5561</v>
      </c>
      <c r="B103" s="116" t="str">
        <f>'A) Base RI'!B105</f>
        <v>Grandson</v>
      </c>
      <c r="C103" s="127">
        <f>'B) D RI'!U105</f>
        <v>115170.40130434782</v>
      </c>
      <c r="D103" s="168">
        <f>'E) Fact soc'!G109/C103</f>
        <v>18.494728338369868</v>
      </c>
      <c r="E103" s="159">
        <f>'H) Péréquation directe'!I114/C103</f>
        <v>5.2633199674497533</v>
      </c>
      <c r="F103" s="206">
        <f>+'I) Dépenses thématiques'!O103/C103</f>
        <v>-6.2952492013624974</v>
      </c>
      <c r="G103" s="168">
        <f t="shared" si="7"/>
        <v>17.462799104457122</v>
      </c>
      <c r="H103" s="130">
        <f t="shared" si="4"/>
        <v>0</v>
      </c>
      <c r="I103" s="175">
        <f t="shared" si="6"/>
        <v>0</v>
      </c>
      <c r="J103" s="36">
        <f t="shared" si="5"/>
        <v>17.462799104457122</v>
      </c>
    </row>
    <row r="104" spans="1:10" x14ac:dyDescent="0.25">
      <c r="A104" s="53">
        <f>'A) Base RI'!A106</f>
        <v>5562</v>
      </c>
      <c r="B104" s="116" t="str">
        <f>'A) Base RI'!B106</f>
        <v>Mauborget</v>
      </c>
      <c r="C104" s="127">
        <f>'B) D RI'!U106</f>
        <v>3662.5545714285713</v>
      </c>
      <c r="D104" s="168">
        <f>'E) Fact soc'!G110/C104</f>
        <v>16.855380642504635</v>
      </c>
      <c r="E104" s="159">
        <f>'H) Péréquation directe'!I115/C104</f>
        <v>5.8316907981224197</v>
      </c>
      <c r="F104" s="206">
        <f>+'I) Dépenses thématiques'!O104/C104</f>
        <v>-5.2629106877706731</v>
      </c>
      <c r="G104" s="168">
        <f t="shared" si="7"/>
        <v>17.42416075285638</v>
      </c>
      <c r="H104" s="130">
        <f t="shared" si="4"/>
        <v>0</v>
      </c>
      <c r="I104" s="175">
        <f t="shared" si="6"/>
        <v>0</v>
      </c>
      <c r="J104" s="36">
        <f t="shared" si="5"/>
        <v>17.42416075285638</v>
      </c>
    </row>
    <row r="105" spans="1:10" x14ac:dyDescent="0.25">
      <c r="A105" s="53">
        <f>'A) Base RI'!A107</f>
        <v>5563</v>
      </c>
      <c r="B105" s="116" t="str">
        <f>'A) Base RI'!B107</f>
        <v>Mutrux</v>
      </c>
      <c r="C105" s="127">
        <f>'B) D RI'!U107</f>
        <v>4275.1686624203812</v>
      </c>
      <c r="D105" s="168">
        <f>'E) Fact soc'!G111/C105</f>
        <v>17.802529744936479</v>
      </c>
      <c r="E105" s="159">
        <f>'H) Péréquation directe'!I116/C105</f>
        <v>-1.699597403072963</v>
      </c>
      <c r="F105" s="206">
        <f>+'I) Dépenses thématiques'!O105/C105</f>
        <v>-4.9121250405753791</v>
      </c>
      <c r="G105" s="168">
        <f t="shared" si="7"/>
        <v>11.190807301288135</v>
      </c>
      <c r="H105" s="130">
        <f t="shared" si="4"/>
        <v>0</v>
      </c>
      <c r="I105" s="175">
        <f t="shared" si="6"/>
        <v>0</v>
      </c>
      <c r="J105" s="36">
        <f t="shared" si="5"/>
        <v>11.190807301288135</v>
      </c>
    </row>
    <row r="106" spans="1:10" x14ac:dyDescent="0.25">
      <c r="A106" s="53">
        <f>'A) Base RI'!A108</f>
        <v>5564</v>
      </c>
      <c r="B106" s="116" t="str">
        <f>'A) Base RI'!B108</f>
        <v>Novalles</v>
      </c>
      <c r="C106" s="127">
        <f>'B) D RI'!U108</f>
        <v>2063.0078618421053</v>
      </c>
      <c r="D106" s="168">
        <f>'E) Fact soc'!G112/C106</f>
        <v>21.920892801765568</v>
      </c>
      <c r="E106" s="159">
        <f>'H) Péréquation directe'!I117/C106</f>
        <v>-13.01718240342683</v>
      </c>
      <c r="F106" s="206">
        <f>+'I) Dépenses thématiques'!O106/C106</f>
        <v>-4.5697425539459502</v>
      </c>
      <c r="G106" s="168">
        <f t="shared" si="7"/>
        <v>4.333967844392788</v>
      </c>
      <c r="H106" s="130">
        <f t="shared" si="4"/>
        <v>0</v>
      </c>
      <c r="I106" s="175">
        <f t="shared" si="6"/>
        <v>0</v>
      </c>
      <c r="J106" s="36">
        <f t="shared" si="5"/>
        <v>4.333967844392788</v>
      </c>
    </row>
    <row r="107" spans="1:10" x14ac:dyDescent="0.25">
      <c r="A107" s="53">
        <f>'A) Base RI'!A109</f>
        <v>5565</v>
      </c>
      <c r="B107" s="116" t="str">
        <f>'A) Base RI'!B109</f>
        <v>Onnens</v>
      </c>
      <c r="C107" s="127">
        <f>'B) D RI'!U109</f>
        <v>17902.806410256413</v>
      </c>
      <c r="D107" s="168">
        <f>'E) Fact soc'!G113/C107</f>
        <v>15.65100987522864</v>
      </c>
      <c r="E107" s="159">
        <f>'H) Péréquation directe'!I118/C107</f>
        <v>11.896516886289277</v>
      </c>
      <c r="F107" s="206">
        <f>+'I) Dépenses thématiques'!O107/C107</f>
        <v>-3.2085219656853567</v>
      </c>
      <c r="G107" s="168">
        <f t="shared" si="7"/>
        <v>24.339004795832558</v>
      </c>
      <c r="H107" s="130">
        <f t="shared" si="4"/>
        <v>0</v>
      </c>
      <c r="I107" s="175">
        <f t="shared" si="6"/>
        <v>0</v>
      </c>
      <c r="J107" s="36">
        <f t="shared" si="5"/>
        <v>24.339004795832558</v>
      </c>
    </row>
    <row r="108" spans="1:10" x14ac:dyDescent="0.25">
      <c r="A108" s="53">
        <f>'A) Base RI'!A110</f>
        <v>5566</v>
      </c>
      <c r="B108" s="116" t="str">
        <f>'A) Base RI'!B110</f>
        <v>Provence</v>
      </c>
      <c r="C108" s="127">
        <f>'B) D RI'!U110</f>
        <v>8605.0976954732487</v>
      </c>
      <c r="D108" s="168">
        <f>'E) Fact soc'!G114/C108</f>
        <v>20.21426609267111</v>
      </c>
      <c r="E108" s="159">
        <f>'H) Péréquation directe'!I119/C108</f>
        <v>-12.090519259228563</v>
      </c>
      <c r="F108" s="206">
        <f>+'I) Dépenses thématiques'!O108/C108</f>
        <v>-14.480532146888081</v>
      </c>
      <c r="G108" s="168">
        <f t="shared" si="7"/>
        <v>-6.356785313445533</v>
      </c>
      <c r="H108" s="130">
        <f t="shared" si="4"/>
        <v>0</v>
      </c>
      <c r="I108" s="175">
        <f t="shared" si="6"/>
        <v>0</v>
      </c>
      <c r="J108" s="36">
        <f t="shared" si="5"/>
        <v>-6.356785313445533</v>
      </c>
    </row>
    <row r="109" spans="1:10" x14ac:dyDescent="0.25">
      <c r="A109" s="53">
        <f>'A) Base RI'!A111</f>
        <v>5568</v>
      </c>
      <c r="B109" s="116" t="str">
        <f>'A) Base RI'!B111</f>
        <v>Sainte-Croix</v>
      </c>
      <c r="C109" s="127">
        <f>'B) D RI'!U111</f>
        <v>96229.339714285714</v>
      </c>
      <c r="D109" s="168">
        <f>'E) Fact soc'!G115/C109</f>
        <v>23.790716830870963</v>
      </c>
      <c r="E109" s="159">
        <f>'H) Péréquation directe'!I120/C109</f>
        <v>-23.066890173908817</v>
      </c>
      <c r="F109" s="206">
        <f>+'I) Dépenses thématiques'!O109/C109</f>
        <v>-10.262698118792814</v>
      </c>
      <c r="G109" s="168">
        <f t="shared" si="7"/>
        <v>-9.5388714618306683</v>
      </c>
      <c r="H109" s="130">
        <f t="shared" si="4"/>
        <v>0</v>
      </c>
      <c r="I109" s="175">
        <f t="shared" si="6"/>
        <v>0</v>
      </c>
      <c r="J109" s="36">
        <f t="shared" si="5"/>
        <v>-9.5388714618306683</v>
      </c>
    </row>
    <row r="110" spans="1:10" x14ac:dyDescent="0.25">
      <c r="A110" s="53">
        <f>'A) Base RI'!A112</f>
        <v>5571</v>
      </c>
      <c r="B110" s="116" t="str">
        <f>'A) Base RI'!B112</f>
        <v>Tévenon</v>
      </c>
      <c r="C110" s="127">
        <f>'B) D RI'!U112</f>
        <v>20963.465799086756</v>
      </c>
      <c r="D110" s="168">
        <f>'E) Fact soc'!G116/C110</f>
        <v>24.117177097472247</v>
      </c>
      <c r="E110" s="159">
        <f>'H) Péréquation directe'!I121/C110</f>
        <v>0.70160014625438849</v>
      </c>
      <c r="F110" s="206">
        <f>+'I) Dépenses thématiques'!O110/C110</f>
        <v>-6.0525687239113495</v>
      </c>
      <c r="G110" s="168">
        <f t="shared" si="7"/>
        <v>18.766208519815287</v>
      </c>
      <c r="H110" s="130">
        <f t="shared" si="4"/>
        <v>0</v>
      </c>
      <c r="I110" s="175">
        <f t="shared" si="6"/>
        <v>0</v>
      </c>
      <c r="J110" s="36">
        <f t="shared" si="5"/>
        <v>18.766208519815287</v>
      </c>
    </row>
    <row r="111" spans="1:10" x14ac:dyDescent="0.25">
      <c r="A111" s="53">
        <f>'A) Base RI'!A113</f>
        <v>5581</v>
      </c>
      <c r="B111" s="116" t="str">
        <f>'A) Base RI'!B113</f>
        <v>Belmont-sur-Lausanne</v>
      </c>
      <c r="C111" s="127">
        <f>'B) D RI'!U113</f>
        <v>187042.91923261393</v>
      </c>
      <c r="D111" s="168">
        <f>'E) Fact soc'!G117/C111</f>
        <v>16.392777397513424</v>
      </c>
      <c r="E111" s="159">
        <f>'H) Péréquation directe'!I122/C111</f>
        <v>12.85593384759369</v>
      </c>
      <c r="F111" s="206">
        <f>+'I) Dépenses thématiques'!O111/C111</f>
        <v>-3.1124334402118881</v>
      </c>
      <c r="G111" s="168">
        <f t="shared" si="7"/>
        <v>26.136277804895226</v>
      </c>
      <c r="H111" s="130">
        <f t="shared" si="4"/>
        <v>0</v>
      </c>
      <c r="I111" s="175">
        <f t="shared" si="6"/>
        <v>0</v>
      </c>
      <c r="J111" s="36">
        <f t="shared" si="5"/>
        <v>26.136277804895226</v>
      </c>
    </row>
    <row r="112" spans="1:10" x14ac:dyDescent="0.25">
      <c r="A112" s="53">
        <f>'A) Base RI'!A114</f>
        <v>5582</v>
      </c>
      <c r="B112" s="116" t="str">
        <f>'A) Base RI'!B114</f>
        <v>Cheseaux-sur-Lausanne</v>
      </c>
      <c r="C112" s="127">
        <f>'B) D RI'!U114</f>
        <v>203617.184295302</v>
      </c>
      <c r="D112" s="168">
        <f>'E) Fact soc'!G118/C112</f>
        <v>16.876999991161579</v>
      </c>
      <c r="E112" s="159">
        <f>'H) Péréquation directe'!I123/C112</f>
        <v>11.424531938419555</v>
      </c>
      <c r="F112" s="206">
        <f>+'I) Dépenses thématiques'!O112/C112</f>
        <v>-0.28855462315257235</v>
      </c>
      <c r="G112" s="168">
        <f t="shared" si="7"/>
        <v>28.012977306428564</v>
      </c>
      <c r="H112" s="130">
        <f t="shared" si="4"/>
        <v>0</v>
      </c>
      <c r="I112" s="175">
        <f t="shared" si="6"/>
        <v>0</v>
      </c>
      <c r="J112" s="36">
        <f t="shared" si="5"/>
        <v>28.012977306428564</v>
      </c>
    </row>
    <row r="113" spans="1:10" x14ac:dyDescent="0.25">
      <c r="A113" s="53">
        <f>'A) Base RI'!A115</f>
        <v>5583</v>
      </c>
      <c r="B113" s="116" t="str">
        <f>'A) Base RI'!B115</f>
        <v>Crissier</v>
      </c>
      <c r="C113" s="127">
        <f>'B) D RI'!U115</f>
        <v>311741.22092307697</v>
      </c>
      <c r="D113" s="168">
        <f>'E) Fact soc'!G119/C113</f>
        <v>17.361844045310118</v>
      </c>
      <c r="E113" s="159">
        <f>'H) Péréquation directe'!I124/C113</f>
        <v>6.512124387589286</v>
      </c>
      <c r="F113" s="206">
        <f>+'I) Dépenses thématiques'!O113/C113</f>
        <v>-6.7357044692521439</v>
      </c>
      <c r="G113" s="168">
        <f t="shared" si="7"/>
        <v>17.138263963647258</v>
      </c>
      <c r="H113" s="130">
        <f t="shared" si="4"/>
        <v>0</v>
      </c>
      <c r="I113" s="175">
        <f t="shared" si="6"/>
        <v>0</v>
      </c>
      <c r="J113" s="36">
        <f t="shared" si="5"/>
        <v>17.138263963647258</v>
      </c>
    </row>
    <row r="114" spans="1:10" x14ac:dyDescent="0.25">
      <c r="A114" s="53">
        <f>'A) Base RI'!A116</f>
        <v>5584</v>
      </c>
      <c r="B114" s="116" t="str">
        <f>'A) Base RI'!B116</f>
        <v>Epalinges</v>
      </c>
      <c r="C114" s="127">
        <f>'B) D RI'!U116</f>
        <v>455692.51</v>
      </c>
      <c r="D114" s="168">
        <f>'E) Fact soc'!G120/C114</f>
        <v>19.631015551664532</v>
      </c>
      <c r="E114" s="159">
        <f>'H) Péréquation directe'!I125/C114</f>
        <v>8.9261094247949728</v>
      </c>
      <c r="F114" s="206">
        <f>+'I) Dépenses thématiques'!O114/C114</f>
        <v>-6.364997032302222</v>
      </c>
      <c r="G114" s="168">
        <f t="shared" si="7"/>
        <v>22.192127944157285</v>
      </c>
      <c r="H114" s="130">
        <f t="shared" ref="H114:H168" si="8">IF(G114&gt;H$4,H$4-G114,0)</f>
        <v>0</v>
      </c>
      <c r="I114" s="175">
        <f t="shared" si="6"/>
        <v>0</v>
      </c>
      <c r="J114" s="36">
        <f t="shared" ref="J114:J168" si="9">G114+H114</f>
        <v>22.192127944157285</v>
      </c>
    </row>
    <row r="115" spans="1:10" x14ac:dyDescent="0.25">
      <c r="A115" s="53">
        <f>'A) Base RI'!A117</f>
        <v>5585</v>
      </c>
      <c r="B115" s="116" t="str">
        <f>'A) Base RI'!B117</f>
        <v>Jouxtens-Mézery</v>
      </c>
      <c r="C115" s="127">
        <f>'B) D RI'!U117</f>
        <v>201546.16339622639</v>
      </c>
      <c r="D115" s="168">
        <f>'E) Fact soc'!G121/C115</f>
        <v>29.109176698449172</v>
      </c>
      <c r="E115" s="159">
        <f>'H) Péréquation directe'!I126/C115</f>
        <v>11.78349175483495</v>
      </c>
      <c r="F115" s="206">
        <f>+'I) Dépenses thématiques'!O115/C115</f>
        <v>0</v>
      </c>
      <c r="G115" s="168">
        <f t="shared" si="7"/>
        <v>40.892668453284124</v>
      </c>
      <c r="H115" s="130">
        <f t="shared" si="8"/>
        <v>0</v>
      </c>
      <c r="I115" s="175">
        <f t="shared" si="6"/>
        <v>0</v>
      </c>
      <c r="J115" s="36">
        <f t="shared" si="9"/>
        <v>40.892668453284124</v>
      </c>
    </row>
    <row r="116" spans="1:10" x14ac:dyDescent="0.25">
      <c r="A116" s="53">
        <f>'A) Base RI'!A118</f>
        <v>5586</v>
      </c>
      <c r="B116" s="116" t="str">
        <f>'A) Base RI'!B118</f>
        <v>Lausanne</v>
      </c>
      <c r="C116" s="127">
        <f>'B) D RI'!U118</f>
        <v>6075429.3645991571</v>
      </c>
      <c r="D116" s="168">
        <f>'E) Fact soc'!G122/C116</f>
        <v>17.247354247894027</v>
      </c>
      <c r="E116" s="159">
        <f>'H) Péréquation directe'!I127/C116</f>
        <v>-3.8199844016224702</v>
      </c>
      <c r="F116" s="206">
        <f>+'I) Dépenses thématiques'!O116/C116</f>
        <v>-7.2067817921026966</v>
      </c>
      <c r="G116" s="168">
        <f t="shared" si="7"/>
        <v>6.2205880541688598</v>
      </c>
      <c r="H116" s="130">
        <f t="shared" si="8"/>
        <v>0</v>
      </c>
      <c r="I116" s="175">
        <f t="shared" ref="I116:I169" si="10">H116*C116</f>
        <v>0</v>
      </c>
      <c r="J116" s="36">
        <f t="shared" si="9"/>
        <v>6.2205880541688598</v>
      </c>
    </row>
    <row r="117" spans="1:10" x14ac:dyDescent="0.25">
      <c r="A117" s="53">
        <f>'A) Base RI'!A119</f>
        <v>5587</v>
      </c>
      <c r="B117" s="116" t="str">
        <f>'A) Base RI'!B119</f>
        <v>Le Mont-sur-Lausanne</v>
      </c>
      <c r="C117" s="127">
        <f>'B) D RI'!U119</f>
        <v>413343.80273333337</v>
      </c>
      <c r="D117" s="168">
        <f>'E) Fact soc'!G123/C117</f>
        <v>17.325805324596793</v>
      </c>
      <c r="E117" s="159">
        <f>'H) Péréquation directe'!I128/C117</f>
        <v>10.142743028546443</v>
      </c>
      <c r="F117" s="206">
        <f>+'I) Dépenses thématiques'!O117/C117</f>
        <v>-5.0866916536161328</v>
      </c>
      <c r="G117" s="168">
        <f t="shared" ref="G117:G170" si="11">SUM(D117:F117)</f>
        <v>22.381856699527102</v>
      </c>
      <c r="H117" s="130">
        <f t="shared" si="8"/>
        <v>0</v>
      </c>
      <c r="I117" s="175">
        <f t="shared" si="10"/>
        <v>0</v>
      </c>
      <c r="J117" s="36">
        <f t="shared" si="9"/>
        <v>22.381856699527102</v>
      </c>
    </row>
    <row r="118" spans="1:10" x14ac:dyDescent="0.25">
      <c r="A118" s="53">
        <f>'A) Base RI'!A120</f>
        <v>5588</v>
      </c>
      <c r="B118" s="116" t="str">
        <f>'A) Base RI'!B120</f>
        <v>Paudex</v>
      </c>
      <c r="C118" s="127">
        <f>'B) D RI'!U120</f>
        <v>160000.57716608592</v>
      </c>
      <c r="D118" s="168">
        <f>'E) Fact soc'!G124/C118</f>
        <v>26.884257603079455</v>
      </c>
      <c r="E118" s="159">
        <f>'H) Péréquation directe'!I129/C118</f>
        <v>12.774866461339483</v>
      </c>
      <c r="F118" s="206">
        <f>+'I) Dépenses thématiques'!O118/C118</f>
        <v>0</v>
      </c>
      <c r="G118" s="168">
        <f t="shared" si="11"/>
        <v>39.65912406441894</v>
      </c>
      <c r="H118" s="130">
        <f t="shared" si="8"/>
        <v>0</v>
      </c>
      <c r="I118" s="175">
        <f t="shared" si="10"/>
        <v>0</v>
      </c>
      <c r="J118" s="36">
        <f t="shared" si="9"/>
        <v>39.65912406441894</v>
      </c>
    </row>
    <row r="119" spans="1:10" x14ac:dyDescent="0.25">
      <c r="A119" s="53">
        <f>'A) Base RI'!A121</f>
        <v>5589</v>
      </c>
      <c r="B119" s="116" t="str">
        <f>'A) Base RI'!B121</f>
        <v>Prilly</v>
      </c>
      <c r="C119" s="127">
        <f>'B) D RI'!U121</f>
        <v>437574.2323809524</v>
      </c>
      <c r="D119" s="168">
        <f>'E) Fact soc'!G125/C119</f>
        <v>18.293007241550658</v>
      </c>
      <c r="E119" s="159">
        <f>'H) Péréquation directe'!I130/C119</f>
        <v>-0.63972461608517517</v>
      </c>
      <c r="F119" s="206">
        <f>+'I) Dépenses thématiques'!O119/C119</f>
        <v>-4.0362501184242463</v>
      </c>
      <c r="G119" s="168">
        <f t="shared" si="11"/>
        <v>13.617032507041237</v>
      </c>
      <c r="H119" s="130">
        <f t="shared" si="8"/>
        <v>0</v>
      </c>
      <c r="I119" s="175">
        <f t="shared" si="10"/>
        <v>0</v>
      </c>
      <c r="J119" s="36">
        <f t="shared" si="9"/>
        <v>13.617032507041237</v>
      </c>
    </row>
    <row r="120" spans="1:10" x14ac:dyDescent="0.25">
      <c r="A120" s="53">
        <f>'A) Base RI'!A122</f>
        <v>5590</v>
      </c>
      <c r="B120" s="116" t="str">
        <f>'A) Base RI'!B122</f>
        <v>Pully</v>
      </c>
      <c r="C120" s="127">
        <f>'B) D RI'!U122</f>
        <v>1422298.2200936768</v>
      </c>
      <c r="D120" s="168">
        <f>'E) Fact soc'!G126/C120</f>
        <v>22.822273036657474</v>
      </c>
      <c r="E120" s="159">
        <f>'H) Péréquation directe'!I131/C120</f>
        <v>7.4770858071191633</v>
      </c>
      <c r="F120" s="206">
        <f>+'I) Dépenses thématiques'!O120/C120</f>
        <v>-1.2322095259782253</v>
      </c>
      <c r="G120" s="168">
        <f t="shared" si="11"/>
        <v>29.067149317798414</v>
      </c>
      <c r="H120" s="130">
        <f t="shared" si="8"/>
        <v>0</v>
      </c>
      <c r="I120" s="175">
        <f t="shared" si="10"/>
        <v>0</v>
      </c>
      <c r="J120" s="36">
        <f t="shared" si="9"/>
        <v>29.067149317798414</v>
      </c>
    </row>
    <row r="121" spans="1:10" x14ac:dyDescent="0.25">
      <c r="A121" s="53">
        <f>'A) Base RI'!A123</f>
        <v>5591</v>
      </c>
      <c r="B121" s="116" t="str">
        <f>'A) Base RI'!B123</f>
        <v>Renens</v>
      </c>
      <c r="C121" s="127">
        <f>'B) D RI'!U123</f>
        <v>529647.11015468603</v>
      </c>
      <c r="D121" s="168">
        <f>'E) Fact soc'!G127/C121</f>
        <v>17.856027800946656</v>
      </c>
      <c r="E121" s="159">
        <f>'H) Péréquation directe'!I132/C121</f>
        <v>-27.035461199775902</v>
      </c>
      <c r="F121" s="206">
        <f>+'I) Dépenses thématiques'!O121/C121</f>
        <v>-9.9645075163131089</v>
      </c>
      <c r="G121" s="168">
        <f t="shared" si="11"/>
        <v>-19.143940915142355</v>
      </c>
      <c r="H121" s="130">
        <f t="shared" si="8"/>
        <v>0</v>
      </c>
      <c r="I121" s="175">
        <f t="shared" si="10"/>
        <v>0</v>
      </c>
      <c r="J121" s="36">
        <f t="shared" si="9"/>
        <v>-19.143940915142355</v>
      </c>
    </row>
    <row r="122" spans="1:10" x14ac:dyDescent="0.25">
      <c r="A122" s="53">
        <f>'A) Base RI'!A124</f>
        <v>5592</v>
      </c>
      <c r="B122" s="116" t="str">
        <f>'A) Base RI'!B124</f>
        <v>Romanel-sur-Lausanne</v>
      </c>
      <c r="C122" s="127">
        <f>'B) D RI'!U124</f>
        <v>116555.94314285714</v>
      </c>
      <c r="D122" s="168">
        <f>'E) Fact soc'!G128/C122</f>
        <v>16.349372366694904</v>
      </c>
      <c r="E122" s="159">
        <f>'H) Péréquation directe'!I133/C122</f>
        <v>5.0529310125954758</v>
      </c>
      <c r="F122" s="206">
        <f>+'I) Dépenses thématiques'!O122/C122</f>
        <v>-1.6132019382738989</v>
      </c>
      <c r="G122" s="168">
        <f t="shared" si="11"/>
        <v>19.789101441016481</v>
      </c>
      <c r="H122" s="130">
        <f t="shared" si="8"/>
        <v>0</v>
      </c>
      <c r="I122" s="175">
        <f t="shared" si="10"/>
        <v>0</v>
      </c>
      <c r="J122" s="36">
        <f t="shared" si="9"/>
        <v>19.789101441016481</v>
      </c>
    </row>
    <row r="123" spans="1:10" x14ac:dyDescent="0.25">
      <c r="A123" s="53">
        <f>'A) Base RI'!A125</f>
        <v>5601</v>
      </c>
      <c r="B123" s="116" t="str">
        <f>'A) Base RI'!B125</f>
        <v>Chexbres</v>
      </c>
      <c r="C123" s="127">
        <f>'B) D RI'!U125</f>
        <v>99746.160000000018</v>
      </c>
      <c r="D123" s="168">
        <f>'E) Fact soc'!G129/C123</f>
        <v>17.447339347319502</v>
      </c>
      <c r="E123" s="159">
        <f>'H) Péréquation directe'!I134/C123</f>
        <v>13.298337348673837</v>
      </c>
      <c r="F123" s="206">
        <f>+'I) Dépenses thématiques'!O123/C123</f>
        <v>-1.9986661102451662</v>
      </c>
      <c r="G123" s="168">
        <f t="shared" si="11"/>
        <v>28.747010585748171</v>
      </c>
      <c r="H123" s="130">
        <f t="shared" si="8"/>
        <v>0</v>
      </c>
      <c r="I123" s="175">
        <f t="shared" si="10"/>
        <v>0</v>
      </c>
      <c r="J123" s="36">
        <f t="shared" si="9"/>
        <v>28.747010585748171</v>
      </c>
    </row>
    <row r="124" spans="1:10" x14ac:dyDescent="0.25">
      <c r="A124" s="53">
        <f>'A) Base RI'!A126</f>
        <v>5604</v>
      </c>
      <c r="B124" s="116" t="str">
        <f>'A) Base RI'!B126</f>
        <v>Forel (Lavaux)</v>
      </c>
      <c r="C124" s="127">
        <f>'B) D RI'!U126</f>
        <v>71240.347352941171</v>
      </c>
      <c r="D124" s="168">
        <f>'E) Fact soc'!G130/C124</f>
        <v>16.774540590152171</v>
      </c>
      <c r="E124" s="159">
        <f>'H) Péréquation directe'!I135/C124</f>
        <v>6.8600797756298713</v>
      </c>
      <c r="F124" s="206">
        <f>+'I) Dépenses thématiques'!O124/C124</f>
        <v>-3.5830120221081039</v>
      </c>
      <c r="G124" s="168">
        <f t="shared" si="11"/>
        <v>20.051608343673937</v>
      </c>
      <c r="H124" s="130">
        <f t="shared" si="8"/>
        <v>0</v>
      </c>
      <c r="I124" s="175">
        <f t="shared" si="10"/>
        <v>0</v>
      </c>
      <c r="J124" s="36">
        <f t="shared" si="9"/>
        <v>20.051608343673937</v>
      </c>
    </row>
    <row r="125" spans="1:10" x14ac:dyDescent="0.25">
      <c r="A125" s="53">
        <f>'A) Base RI'!A127</f>
        <v>5606</v>
      </c>
      <c r="B125" s="116" t="str">
        <f>'A) Base RI'!B127</f>
        <v>Lutry</v>
      </c>
      <c r="C125" s="127">
        <f>'B) D RI'!U127</f>
        <v>770648.37755469768</v>
      </c>
      <c r="D125" s="168">
        <f>'E) Fact soc'!G131/C125</f>
        <v>23.490327576588943</v>
      </c>
      <c r="E125" s="159">
        <f>'H) Péréquation directe'!I136/C125</f>
        <v>10.160945147456792</v>
      </c>
      <c r="F125" s="206">
        <f>+'I) Dépenses thématiques'!O125/C125</f>
        <v>-2.8285391272733134</v>
      </c>
      <c r="G125" s="168">
        <f t="shared" si="11"/>
        <v>30.822733596772419</v>
      </c>
      <c r="H125" s="130">
        <f t="shared" si="8"/>
        <v>0</v>
      </c>
      <c r="I125" s="175">
        <f t="shared" si="10"/>
        <v>0</v>
      </c>
      <c r="J125" s="36">
        <f t="shared" si="9"/>
        <v>30.822733596772419</v>
      </c>
    </row>
    <row r="126" spans="1:10" x14ac:dyDescent="0.25">
      <c r="A126" s="53">
        <f>'A) Base RI'!A128</f>
        <v>5607</v>
      </c>
      <c r="B126" s="116" t="str">
        <f>'A) Base RI'!B128</f>
        <v>Puidoux</v>
      </c>
      <c r="C126" s="127">
        <f>'B) D RI'!U128</f>
        <v>97147.534937888209</v>
      </c>
      <c r="D126" s="168">
        <f>'E) Fact soc'!G132/C126</f>
        <v>19.087110077717018</v>
      </c>
      <c r="E126" s="159">
        <f>'H) Péréquation directe'!I137/C126</f>
        <v>4.9247661226033026</v>
      </c>
      <c r="F126" s="206">
        <f>+'I) Dépenses thématiques'!O126/C126</f>
        <v>-8.2326277048289533</v>
      </c>
      <c r="G126" s="168">
        <f t="shared" si="11"/>
        <v>15.779248495491366</v>
      </c>
      <c r="H126" s="130">
        <f t="shared" si="8"/>
        <v>0</v>
      </c>
      <c r="I126" s="175">
        <f t="shared" si="10"/>
        <v>0</v>
      </c>
      <c r="J126" s="36">
        <f t="shared" si="9"/>
        <v>15.779248495491366</v>
      </c>
    </row>
    <row r="127" spans="1:10" x14ac:dyDescent="0.25">
      <c r="A127" s="53">
        <f>'A) Base RI'!A129</f>
        <v>5609</v>
      </c>
      <c r="B127" s="116" t="str">
        <f>'A) Base RI'!B129</f>
        <v>Rivaz</v>
      </c>
      <c r="C127" s="127">
        <f>'B) D RI'!U129</f>
        <v>16888.91165354331</v>
      </c>
      <c r="D127" s="168">
        <f>'E) Fact soc'!G133/C127</f>
        <v>25.778550322661264</v>
      </c>
      <c r="E127" s="159">
        <f>'H) Péréquation directe'!I138/C127</f>
        <v>16.475185874721969</v>
      </c>
      <c r="F127" s="206">
        <f>+'I) Dépenses thématiques'!O127/C127</f>
        <v>-4.1293367230021572</v>
      </c>
      <c r="G127" s="168">
        <f t="shared" si="11"/>
        <v>38.124399474381079</v>
      </c>
      <c r="H127" s="130">
        <f t="shared" si="8"/>
        <v>0</v>
      </c>
      <c r="I127" s="175">
        <f t="shared" si="10"/>
        <v>0</v>
      </c>
      <c r="J127" s="36">
        <f t="shared" si="9"/>
        <v>38.124399474381079</v>
      </c>
    </row>
    <row r="128" spans="1:10" x14ac:dyDescent="0.25">
      <c r="A128" s="53">
        <f>'A) Base RI'!A130</f>
        <v>5610</v>
      </c>
      <c r="B128" s="116" t="str">
        <f>'A) Base RI'!B130</f>
        <v>St-Saphorin (Lavaux)</v>
      </c>
      <c r="C128" s="127">
        <f>'B) D RI'!U130</f>
        <v>20007.714179104478</v>
      </c>
      <c r="D128" s="168">
        <f>'E) Fact soc'!G134/C128</f>
        <v>18.297898219991875</v>
      </c>
      <c r="E128" s="159">
        <f>'H) Péréquation directe'!I139/C128</f>
        <v>16.598011429075516</v>
      </c>
      <c r="F128" s="206">
        <f>+'I) Dépenses thématiques'!O128/C128</f>
        <v>-3.9446148344026106</v>
      </c>
      <c r="G128" s="168">
        <f t="shared" si="11"/>
        <v>30.951294814664781</v>
      </c>
      <c r="H128" s="130">
        <f t="shared" si="8"/>
        <v>0</v>
      </c>
      <c r="I128" s="175">
        <f t="shared" si="10"/>
        <v>0</v>
      </c>
      <c r="J128" s="36">
        <f t="shared" si="9"/>
        <v>30.951294814664781</v>
      </c>
    </row>
    <row r="129" spans="1:10" x14ac:dyDescent="0.25">
      <c r="A129" s="53">
        <f>'A) Base RI'!A131</f>
        <v>5611</v>
      </c>
      <c r="B129" s="116" t="str">
        <f>'A) Base RI'!B131</f>
        <v>Savigny</v>
      </c>
      <c r="C129" s="127">
        <f>'B) D RI'!U131</f>
        <v>115537.42516908211</v>
      </c>
      <c r="D129" s="168">
        <f>'E) Fact soc'!G135/C129</f>
        <v>17.224446366534437</v>
      </c>
      <c r="E129" s="159">
        <f>'H) Péréquation directe'!I140/C129</f>
        <v>5.7925575213970069</v>
      </c>
      <c r="F129" s="206">
        <f>+'I) Dépenses thématiques'!O129/C129</f>
        <v>-3.801742197426758</v>
      </c>
      <c r="G129" s="168">
        <f t="shared" si="11"/>
        <v>19.215261690504686</v>
      </c>
      <c r="H129" s="130">
        <f t="shared" si="8"/>
        <v>0</v>
      </c>
      <c r="I129" s="175">
        <f t="shared" si="10"/>
        <v>0</v>
      </c>
      <c r="J129" s="36">
        <f t="shared" si="9"/>
        <v>19.215261690504686</v>
      </c>
    </row>
    <row r="130" spans="1:10" x14ac:dyDescent="0.25">
      <c r="A130" s="53">
        <f>'A) Base RI'!A132</f>
        <v>5613</v>
      </c>
      <c r="B130" s="116" t="str">
        <f>'A) Base RI'!B132</f>
        <v>Bourg-en-Lavaux</v>
      </c>
      <c r="C130" s="127">
        <f>'B) D RI'!U132</f>
        <v>301872.13311475411</v>
      </c>
      <c r="D130" s="168">
        <f>'E) Fact soc'!G136/C130</f>
        <v>18.013113696777886</v>
      </c>
      <c r="E130" s="159">
        <f>'H) Péréquation directe'!I141/C130</f>
        <v>11.993530231220227</v>
      </c>
      <c r="F130" s="206">
        <f>+'I) Dépenses thématiques'!O130/C130</f>
        <v>-0.88163958496190598</v>
      </c>
      <c r="G130" s="168">
        <f t="shared" si="11"/>
        <v>29.125004343036206</v>
      </c>
      <c r="H130" s="130">
        <f t="shared" si="8"/>
        <v>0</v>
      </c>
      <c r="I130" s="175">
        <f t="shared" si="10"/>
        <v>0</v>
      </c>
      <c r="J130" s="36">
        <f t="shared" si="9"/>
        <v>29.125004343036206</v>
      </c>
    </row>
    <row r="131" spans="1:10" x14ac:dyDescent="0.25">
      <c r="A131" s="53">
        <f>'A) Base RI'!A133</f>
        <v>5621</v>
      </c>
      <c r="B131" s="116" t="str">
        <f>'A) Base RI'!B133</f>
        <v>Aclens</v>
      </c>
      <c r="C131" s="127">
        <f>'B) D RI'!U133</f>
        <v>26820.105850439882</v>
      </c>
      <c r="D131" s="168">
        <f>'E) Fact soc'!G137/C131</f>
        <v>17.846708176038511</v>
      </c>
      <c r="E131" s="159">
        <f>'H) Péréquation directe'!I142/C131</f>
        <v>16.644014480437807</v>
      </c>
      <c r="F131" s="206">
        <f>+'I) Dépenses thématiques'!O131/C131</f>
        <v>-1.1392534645576833</v>
      </c>
      <c r="G131" s="168">
        <f t="shared" si="11"/>
        <v>33.351469191918639</v>
      </c>
      <c r="H131" s="130">
        <f t="shared" si="8"/>
        <v>0</v>
      </c>
      <c r="I131" s="175">
        <f t="shared" si="10"/>
        <v>0</v>
      </c>
      <c r="J131" s="36">
        <f t="shared" si="9"/>
        <v>33.351469191918639</v>
      </c>
    </row>
    <row r="132" spans="1:10" x14ac:dyDescent="0.25">
      <c r="A132" s="53">
        <f>'A) Base RI'!A134</f>
        <v>5622</v>
      </c>
      <c r="B132" s="116" t="str">
        <f>'A) Base RI'!B134</f>
        <v>Bremblens</v>
      </c>
      <c r="C132" s="127">
        <f>'B) D RI'!U134</f>
        <v>32681.756515151512</v>
      </c>
      <c r="D132" s="168">
        <f>'E) Fact soc'!G138/C132</f>
        <v>21.443229360827857</v>
      </c>
      <c r="E132" s="159">
        <f>'H) Péréquation directe'!I143/C132</f>
        <v>16.237991271726674</v>
      </c>
      <c r="F132" s="206">
        <f>+'I) Dépenses thématiques'!O132/C132</f>
        <v>0</v>
      </c>
      <c r="G132" s="168">
        <f t="shared" si="11"/>
        <v>37.681220632554528</v>
      </c>
      <c r="H132" s="130">
        <f t="shared" si="8"/>
        <v>0</v>
      </c>
      <c r="I132" s="175">
        <f t="shared" si="10"/>
        <v>0</v>
      </c>
      <c r="J132" s="36">
        <f t="shared" si="9"/>
        <v>37.681220632554528</v>
      </c>
    </row>
    <row r="133" spans="1:10" x14ac:dyDescent="0.25">
      <c r="A133" s="53">
        <f>'A) Base RI'!A135</f>
        <v>5623</v>
      </c>
      <c r="B133" s="116" t="str">
        <f>'A) Base RI'!B135</f>
        <v>Buchillon</v>
      </c>
      <c r="C133" s="127">
        <f>'B) D RI'!U135</f>
        <v>82402.410188679249</v>
      </c>
      <c r="D133" s="168">
        <f>'E) Fact soc'!G139/C133</f>
        <v>37.52325588751247</v>
      </c>
      <c r="E133" s="159">
        <f>'H) Péréquation directe'!I144/C133</f>
        <v>12.450860102969052</v>
      </c>
      <c r="F133" s="206">
        <f>+'I) Dépenses thématiques'!O133/C133</f>
        <v>0</v>
      </c>
      <c r="G133" s="168">
        <f t="shared" si="11"/>
        <v>49.974115990481522</v>
      </c>
      <c r="H133" s="130">
        <f t="shared" si="8"/>
        <v>0</v>
      </c>
      <c r="I133" s="175">
        <f t="shared" si="10"/>
        <v>0</v>
      </c>
      <c r="J133" s="36">
        <f t="shared" si="9"/>
        <v>49.974115990481522</v>
      </c>
    </row>
    <row r="134" spans="1:10" x14ac:dyDescent="0.25">
      <c r="A134" s="53">
        <f>'A) Base RI'!A136</f>
        <v>5624</v>
      </c>
      <c r="B134" s="116" t="str">
        <f>'A) Base RI'!B136</f>
        <v>Bussigny</v>
      </c>
      <c r="C134" s="127">
        <f>'B) D RI'!U136</f>
        <v>334130.13322580641</v>
      </c>
      <c r="D134" s="168">
        <f>'E) Fact soc'!G140/C134</f>
        <v>17.74043538333736</v>
      </c>
      <c r="E134" s="159">
        <f>'H) Péréquation directe'!I145/C134</f>
        <v>6.2180311003727455</v>
      </c>
      <c r="F134" s="206">
        <f>+'I) Dépenses thématiques'!O134/C134</f>
        <v>-2.7261270806764846</v>
      </c>
      <c r="G134" s="168">
        <f t="shared" si="11"/>
        <v>21.23233940303362</v>
      </c>
      <c r="H134" s="130">
        <f t="shared" si="8"/>
        <v>0</v>
      </c>
      <c r="I134" s="175">
        <f t="shared" si="10"/>
        <v>0</v>
      </c>
      <c r="J134" s="36">
        <f t="shared" si="9"/>
        <v>21.23233940303362</v>
      </c>
    </row>
    <row r="135" spans="1:10" x14ac:dyDescent="0.25">
      <c r="A135" s="53">
        <f>'A) Base RI'!A137</f>
        <v>5625</v>
      </c>
      <c r="B135" s="116" t="str">
        <f>'A) Base RI'!B137</f>
        <v>Bussy-Chardonney</v>
      </c>
      <c r="C135" s="127">
        <f>'B) D RI'!U137</f>
        <v>13745.926324786325</v>
      </c>
      <c r="D135" s="168">
        <f>'E) Fact soc'!G141/C135</f>
        <v>18.806151505653826</v>
      </c>
      <c r="E135" s="159">
        <f>'H) Péréquation directe'!I146/C135</f>
        <v>11.445892668899722</v>
      </c>
      <c r="F135" s="206">
        <f>+'I) Dépenses thématiques'!O135/C135</f>
        <v>-3.3063120030355355</v>
      </c>
      <c r="G135" s="168">
        <f t="shared" si="11"/>
        <v>26.94573217151801</v>
      </c>
      <c r="H135" s="130">
        <f t="shared" si="8"/>
        <v>0</v>
      </c>
      <c r="I135" s="175">
        <f t="shared" si="10"/>
        <v>0</v>
      </c>
      <c r="J135" s="36">
        <f t="shared" si="9"/>
        <v>26.94573217151801</v>
      </c>
    </row>
    <row r="136" spans="1:10" x14ac:dyDescent="0.25">
      <c r="A136" s="53">
        <f>'A) Base RI'!A138</f>
        <v>5627</v>
      </c>
      <c r="B136" s="116" t="str">
        <f>'A) Base RI'!B138</f>
        <v>Chavannes-près-Renens</v>
      </c>
      <c r="C136" s="127">
        <f>'B) D RI'!U138</f>
        <v>171770.86046413501</v>
      </c>
      <c r="D136" s="168">
        <f>'E) Fact soc'!G142/C136</f>
        <v>16.988280081269021</v>
      </c>
      <c r="E136" s="159">
        <f>'H) Péréquation directe'!I147/C136</f>
        <v>-23.884872308309134</v>
      </c>
      <c r="F136" s="206">
        <f>+'I) Dépenses thématiques'!O136/C136</f>
        <v>-7.4255210068433186</v>
      </c>
      <c r="G136" s="168">
        <f t="shared" si="11"/>
        <v>-14.322113233883432</v>
      </c>
      <c r="H136" s="130">
        <f t="shared" si="8"/>
        <v>0</v>
      </c>
      <c r="I136" s="175">
        <f t="shared" si="10"/>
        <v>0</v>
      </c>
      <c r="J136" s="36">
        <f t="shared" si="9"/>
        <v>-14.322113233883432</v>
      </c>
    </row>
    <row r="137" spans="1:10" x14ac:dyDescent="0.25">
      <c r="A137" s="53">
        <f>'A) Base RI'!A139</f>
        <v>5628</v>
      </c>
      <c r="B137" s="116" t="str">
        <f>'A) Base RI'!B139</f>
        <v>Chigny</v>
      </c>
      <c r="C137" s="127">
        <f>'B) D RI'!U139</f>
        <v>19361.666733870967</v>
      </c>
      <c r="D137" s="168">
        <f>'E) Fact soc'!G143/C137</f>
        <v>16.975828393622685</v>
      </c>
      <c r="E137" s="159">
        <f>'H) Péréquation directe'!I148/C137</f>
        <v>16.770081858836249</v>
      </c>
      <c r="F137" s="206">
        <f>+'I) Dépenses thématiques'!O137/C137</f>
        <v>0</v>
      </c>
      <c r="G137" s="168">
        <f t="shared" si="11"/>
        <v>33.745910252458934</v>
      </c>
      <c r="H137" s="130">
        <f t="shared" si="8"/>
        <v>0</v>
      </c>
      <c r="I137" s="175">
        <f t="shared" si="10"/>
        <v>0</v>
      </c>
      <c r="J137" s="36">
        <f t="shared" si="9"/>
        <v>33.745910252458934</v>
      </c>
    </row>
    <row r="138" spans="1:10" x14ac:dyDescent="0.25">
      <c r="A138" s="53">
        <f>'A) Base RI'!A140</f>
        <v>5629</v>
      </c>
      <c r="B138" s="116" t="str">
        <f>'A) Base RI'!B140</f>
        <v>Clarmont</v>
      </c>
      <c r="C138" s="127">
        <f>'B) D RI'!U140</f>
        <v>7536.1791999999996</v>
      </c>
      <c r="D138" s="168">
        <f>'E) Fact soc'!G144/C138</f>
        <v>20.114529846101874</v>
      </c>
      <c r="E138" s="159">
        <f>'H) Péréquation directe'!I149/C138</f>
        <v>15.731495164532729</v>
      </c>
      <c r="F138" s="206">
        <f>+'I) Dépenses thématiques'!O138/C138</f>
        <v>-7.8806646543634482</v>
      </c>
      <c r="G138" s="168">
        <f t="shared" si="11"/>
        <v>27.965360356271155</v>
      </c>
      <c r="H138" s="130">
        <f t="shared" si="8"/>
        <v>0</v>
      </c>
      <c r="I138" s="175">
        <f t="shared" si="10"/>
        <v>0</v>
      </c>
      <c r="J138" s="36">
        <f t="shared" si="9"/>
        <v>27.965360356271155</v>
      </c>
    </row>
    <row r="139" spans="1:10" x14ac:dyDescent="0.25">
      <c r="A139" s="53">
        <f>'A) Base RI'!A141</f>
        <v>5631</v>
      </c>
      <c r="B139" s="116" t="str">
        <f>'A) Base RI'!B141</f>
        <v>Denens</v>
      </c>
      <c r="C139" s="127">
        <f>'B) D RI'!U141</f>
        <v>42221.936176470583</v>
      </c>
      <c r="D139" s="168">
        <f>'E) Fact soc'!G145/C139</f>
        <v>21.842484952797836</v>
      </c>
      <c r="E139" s="159">
        <f>'H) Péréquation directe'!I150/C139</f>
        <v>16.763551182033034</v>
      </c>
      <c r="F139" s="206">
        <f>+'I) Dépenses thématiques'!O139/C139</f>
        <v>0</v>
      </c>
      <c r="G139" s="168">
        <f t="shared" si="11"/>
        <v>38.606036134830873</v>
      </c>
      <c r="H139" s="130">
        <f t="shared" si="8"/>
        <v>0</v>
      </c>
      <c r="I139" s="175">
        <f t="shared" si="10"/>
        <v>0</v>
      </c>
      <c r="J139" s="36">
        <f t="shared" si="9"/>
        <v>38.606036134830873</v>
      </c>
    </row>
    <row r="140" spans="1:10" x14ac:dyDescent="0.25">
      <c r="A140" s="53">
        <f>'A) Base RI'!A142</f>
        <v>5632</v>
      </c>
      <c r="B140" s="116" t="str">
        <f>'A) Base RI'!B142</f>
        <v>Denges</v>
      </c>
      <c r="C140" s="127">
        <f>'B) D RI'!U142</f>
        <v>67310.066612903232</v>
      </c>
      <c r="D140" s="168">
        <f>'E) Fact soc'!G146/C140</f>
        <v>17.456811402073814</v>
      </c>
      <c r="E140" s="159">
        <f>'H) Péréquation directe'!I151/C140</f>
        <v>12.914007528025223</v>
      </c>
      <c r="F140" s="206">
        <f>+'I) Dépenses thématiques'!O140/C140</f>
        <v>0</v>
      </c>
      <c r="G140" s="168">
        <f t="shared" si="11"/>
        <v>30.370818930099038</v>
      </c>
      <c r="H140" s="130">
        <f t="shared" si="8"/>
        <v>0</v>
      </c>
      <c r="I140" s="175">
        <f t="shared" si="10"/>
        <v>0</v>
      </c>
      <c r="J140" s="36">
        <f t="shared" si="9"/>
        <v>30.370818930099038</v>
      </c>
    </row>
    <row r="141" spans="1:10" x14ac:dyDescent="0.25">
      <c r="A141" s="53">
        <f>'A) Base RI'!A143</f>
        <v>5633</v>
      </c>
      <c r="B141" s="116" t="str">
        <f>'A) Base RI'!B143</f>
        <v>Echandens</v>
      </c>
      <c r="C141" s="127">
        <f>'B) D RI'!U143</f>
        <v>139554.44612903227</v>
      </c>
      <c r="D141" s="168">
        <f>'E) Fact soc'!G147/C141</f>
        <v>16.815453920138154</v>
      </c>
      <c r="E141" s="159">
        <f>'H) Péréquation directe'!I152/C141</f>
        <v>13.572582018940951</v>
      </c>
      <c r="F141" s="206">
        <f>+'I) Dépenses thématiques'!O141/C141</f>
        <v>-1.5447352549146467</v>
      </c>
      <c r="G141" s="168">
        <f t="shared" si="11"/>
        <v>28.843300684164458</v>
      </c>
      <c r="H141" s="130">
        <f t="shared" si="8"/>
        <v>0</v>
      </c>
      <c r="I141" s="175">
        <f t="shared" si="10"/>
        <v>0</v>
      </c>
      <c r="J141" s="36">
        <f t="shared" si="9"/>
        <v>28.843300684164458</v>
      </c>
    </row>
    <row r="142" spans="1:10" x14ac:dyDescent="0.25">
      <c r="A142" s="53">
        <f>'A) Base RI'!A144</f>
        <v>5634</v>
      </c>
      <c r="B142" s="116" t="str">
        <f>'A) Base RI'!B144</f>
        <v>Echichens</v>
      </c>
      <c r="C142" s="127">
        <f>'B) D RI'!U144</f>
        <v>125699.21529411766</v>
      </c>
      <c r="D142" s="168">
        <f>'E) Fact soc'!G148/C142</f>
        <v>18.728728779675428</v>
      </c>
      <c r="E142" s="159">
        <f>'H) Péréquation directe'!I153/C142</f>
        <v>13.275486801626892</v>
      </c>
      <c r="F142" s="206">
        <f>+'I) Dépenses thématiques'!O142/C142</f>
        <v>0</v>
      </c>
      <c r="G142" s="168">
        <f t="shared" si="11"/>
        <v>32.004215581302319</v>
      </c>
      <c r="H142" s="130">
        <f t="shared" si="8"/>
        <v>0</v>
      </c>
      <c r="I142" s="175">
        <f t="shared" si="10"/>
        <v>0</v>
      </c>
      <c r="J142" s="36">
        <f t="shared" si="9"/>
        <v>32.004215581302319</v>
      </c>
    </row>
    <row r="143" spans="1:10" x14ac:dyDescent="0.25">
      <c r="A143" s="53">
        <f>'A) Base RI'!A145</f>
        <v>5635</v>
      </c>
      <c r="B143" s="116" t="str">
        <f>'A) Base RI'!B145</f>
        <v>Ecublens</v>
      </c>
      <c r="C143" s="127">
        <f>'B) D RI'!U145</f>
        <v>424543.31159592536</v>
      </c>
      <c r="D143" s="168">
        <f>'E) Fact soc'!G149/C143</f>
        <v>18.149384590387797</v>
      </c>
      <c r="E143" s="159">
        <f>'H) Péréquation directe'!I154/C143</f>
        <v>-2.2333912758764023</v>
      </c>
      <c r="F143" s="206">
        <f>+'I) Dépenses thématiques'!O143/C143</f>
        <v>-6.4640526174953052</v>
      </c>
      <c r="G143" s="168">
        <f t="shared" si="11"/>
        <v>9.4519406970160897</v>
      </c>
      <c r="H143" s="130">
        <f t="shared" si="8"/>
        <v>0</v>
      </c>
      <c r="I143" s="175">
        <f t="shared" si="10"/>
        <v>0</v>
      </c>
      <c r="J143" s="36">
        <f t="shared" si="9"/>
        <v>9.4519406970160897</v>
      </c>
    </row>
    <row r="144" spans="1:10" x14ac:dyDescent="0.25">
      <c r="A144" s="53">
        <f>'A) Base RI'!A146</f>
        <v>5636</v>
      </c>
      <c r="B144" s="116" t="str">
        <f>'A) Base RI'!B146</f>
        <v>Etoy</v>
      </c>
      <c r="C144" s="127">
        <f>'B) D RI'!U146</f>
        <v>150854.83475409835</v>
      </c>
      <c r="D144" s="168">
        <f>'E) Fact soc'!G150/C144</f>
        <v>32.281581331189265</v>
      </c>
      <c r="E144" s="159">
        <f>'H) Péréquation directe'!I155/C144</f>
        <v>13.545825833303432</v>
      </c>
      <c r="F144" s="206">
        <f>+'I) Dépenses thématiques'!O144/C144</f>
        <v>0</v>
      </c>
      <c r="G144" s="168">
        <f t="shared" si="11"/>
        <v>45.827407164492698</v>
      </c>
      <c r="H144" s="130">
        <f t="shared" si="8"/>
        <v>0</v>
      </c>
      <c r="I144" s="175">
        <f t="shared" si="10"/>
        <v>0</v>
      </c>
      <c r="J144" s="36">
        <f t="shared" si="9"/>
        <v>45.827407164492698</v>
      </c>
    </row>
    <row r="145" spans="1:10" x14ac:dyDescent="0.25">
      <c r="A145" s="53">
        <f>'A) Base RI'!A147</f>
        <v>5637</v>
      </c>
      <c r="B145" s="116" t="str">
        <f>'A) Base RI'!B147</f>
        <v>Lavigny</v>
      </c>
      <c r="C145" s="127">
        <f>'B) D RI'!U147</f>
        <v>35788.809619686814</v>
      </c>
      <c r="D145" s="168">
        <f>'E) Fact soc'!G151/C145</f>
        <v>18.539408754030408</v>
      </c>
      <c r="E145" s="159">
        <f>'H) Péréquation directe'!I156/C145</f>
        <v>10.434377325537669</v>
      </c>
      <c r="F145" s="206">
        <f>+'I) Dépenses thématiques'!O145/C145</f>
        <v>-1.6884751382305405</v>
      </c>
      <c r="G145" s="168">
        <f t="shared" si="11"/>
        <v>27.285310941337539</v>
      </c>
      <c r="H145" s="130">
        <f t="shared" si="8"/>
        <v>0</v>
      </c>
      <c r="I145" s="175">
        <f t="shared" si="10"/>
        <v>0</v>
      </c>
      <c r="J145" s="36">
        <f t="shared" si="9"/>
        <v>27.285310941337539</v>
      </c>
    </row>
    <row r="146" spans="1:10" x14ac:dyDescent="0.25">
      <c r="A146" s="53">
        <f>'A) Base RI'!A148</f>
        <v>5638</v>
      </c>
      <c r="B146" s="116" t="str">
        <f>'A) Base RI'!B148</f>
        <v>Lonay</v>
      </c>
      <c r="C146" s="127">
        <f>'B) D RI'!U148</f>
        <v>150874.30218181817</v>
      </c>
      <c r="D146" s="168">
        <f>'E) Fact soc'!G152/C146</f>
        <v>24.801245079402353</v>
      </c>
      <c r="E146" s="159">
        <f>'H) Péréquation directe'!I157/C146</f>
        <v>14.009189290821604</v>
      </c>
      <c r="F146" s="206">
        <f>+'I) Dépenses thématiques'!O146/C146</f>
        <v>-2.2381767578323855</v>
      </c>
      <c r="G146" s="168">
        <f t="shared" si="11"/>
        <v>36.572257612391574</v>
      </c>
      <c r="H146" s="130">
        <f t="shared" si="8"/>
        <v>0</v>
      </c>
      <c r="I146" s="175">
        <f t="shared" si="10"/>
        <v>0</v>
      </c>
      <c r="J146" s="36">
        <f t="shared" si="9"/>
        <v>36.572257612391574</v>
      </c>
    </row>
    <row r="147" spans="1:10" x14ac:dyDescent="0.25">
      <c r="A147" s="53">
        <f>'A) Base RI'!A149</f>
        <v>5639</v>
      </c>
      <c r="B147" s="116" t="str">
        <f>'A) Base RI'!B149</f>
        <v>Lully</v>
      </c>
      <c r="C147" s="127">
        <f>'B) D RI'!U149</f>
        <v>41723.705573770494</v>
      </c>
      <c r="D147" s="168">
        <f>'E) Fact soc'!G153/C147</f>
        <v>16.435907353108554</v>
      </c>
      <c r="E147" s="159">
        <f>'H) Péréquation directe'!I158/C147</f>
        <v>16.704301283180772</v>
      </c>
      <c r="F147" s="206">
        <f>+'I) Dépenses thématiques'!O147/C147</f>
        <v>0</v>
      </c>
      <c r="G147" s="168">
        <f t="shared" si="11"/>
        <v>33.14020863628933</v>
      </c>
      <c r="H147" s="130">
        <f t="shared" si="8"/>
        <v>0</v>
      </c>
      <c r="I147" s="175">
        <f t="shared" si="10"/>
        <v>0</v>
      </c>
      <c r="J147" s="36">
        <f t="shared" si="9"/>
        <v>33.14020863628933</v>
      </c>
    </row>
    <row r="148" spans="1:10" x14ac:dyDescent="0.25">
      <c r="A148" s="53">
        <f>'A) Base RI'!A150</f>
        <v>5640</v>
      </c>
      <c r="B148" s="116" t="str">
        <f>'A) Base RI'!B150</f>
        <v>Lussy-sur-Morges</v>
      </c>
      <c r="C148" s="127">
        <f>'B) D RI'!U150</f>
        <v>54175.567575757566</v>
      </c>
      <c r="D148" s="168">
        <f>'E) Fact soc'!G154/C148</f>
        <v>25.250001661636485</v>
      </c>
      <c r="E148" s="159">
        <f>'H) Péréquation directe'!I159/C148</f>
        <v>14.851468070857425</v>
      </c>
      <c r="F148" s="206">
        <f>+'I) Dépenses thématiques'!O148/C148</f>
        <v>0</v>
      </c>
      <c r="G148" s="168">
        <f t="shared" si="11"/>
        <v>40.101469732493911</v>
      </c>
      <c r="H148" s="130">
        <f t="shared" si="8"/>
        <v>0</v>
      </c>
      <c r="I148" s="175">
        <f t="shared" si="10"/>
        <v>0</v>
      </c>
      <c r="J148" s="36">
        <f t="shared" si="9"/>
        <v>40.101469732493911</v>
      </c>
    </row>
    <row r="149" spans="1:10" x14ac:dyDescent="0.25">
      <c r="A149" s="53">
        <f>'A) Base RI'!A151</f>
        <v>5642</v>
      </c>
      <c r="B149" s="116" t="str">
        <f>'A) Base RI'!B151</f>
        <v>Morges</v>
      </c>
      <c r="C149" s="127">
        <f>'B) D RI'!U151</f>
        <v>781778.61635036487</v>
      </c>
      <c r="D149" s="168">
        <f>'E) Fact soc'!G155/C149</f>
        <v>17.855995636074734</v>
      </c>
      <c r="E149" s="159">
        <f>'H) Péréquation directe'!I160/C149</f>
        <v>5.1788223422919115</v>
      </c>
      <c r="F149" s="206">
        <f>+'I) Dépenses thématiques'!O149/C149</f>
        <v>-0.31829901527489396</v>
      </c>
      <c r="G149" s="168">
        <f t="shared" si="11"/>
        <v>22.716518963091751</v>
      </c>
      <c r="H149" s="130">
        <f t="shared" si="8"/>
        <v>0</v>
      </c>
      <c r="I149" s="175">
        <f t="shared" si="10"/>
        <v>0</v>
      </c>
      <c r="J149" s="36">
        <f t="shared" si="9"/>
        <v>22.716518963091751</v>
      </c>
    </row>
    <row r="150" spans="1:10" x14ac:dyDescent="0.25">
      <c r="A150" s="53">
        <f>'A) Base RI'!A152</f>
        <v>5643</v>
      </c>
      <c r="B150" s="116" t="str">
        <f>'A) Base RI'!B152</f>
        <v>Préverenges</v>
      </c>
      <c r="C150" s="127">
        <f>'B) D RI'!U152</f>
        <v>262779.91921874997</v>
      </c>
      <c r="D150" s="168">
        <f>'E) Fact soc'!G156/C150</f>
        <v>16.750777914191982</v>
      </c>
      <c r="E150" s="159">
        <f>'H) Péréquation directe'!I161/C150</f>
        <v>11.184555636903363</v>
      </c>
      <c r="F150" s="206">
        <f>+'I) Dépenses thématiques'!O150/C150</f>
        <v>0</v>
      </c>
      <c r="G150" s="168">
        <f t="shared" si="11"/>
        <v>27.935333551095347</v>
      </c>
      <c r="H150" s="130">
        <f t="shared" si="8"/>
        <v>0</v>
      </c>
      <c r="I150" s="175">
        <f t="shared" si="10"/>
        <v>0</v>
      </c>
      <c r="J150" s="36">
        <f t="shared" si="9"/>
        <v>27.935333551095347</v>
      </c>
    </row>
    <row r="151" spans="1:10" x14ac:dyDescent="0.25">
      <c r="A151" s="53">
        <f>'A) Base RI'!A153</f>
        <v>5644</v>
      </c>
      <c r="B151" s="116" t="str">
        <f>'A) Base RI'!B153</f>
        <v>Reverolle</v>
      </c>
      <c r="C151" s="127">
        <f>'B) D RI'!U153</f>
        <v>14128.860263157892</v>
      </c>
      <c r="D151" s="168">
        <f>'E) Fact soc'!G157/C151</f>
        <v>16.899804321432715</v>
      </c>
      <c r="E151" s="159">
        <f>'H) Péréquation directe'!I162/C151</f>
        <v>12.563350184885248</v>
      </c>
      <c r="F151" s="206">
        <f>+'I) Dépenses thématiques'!O151/C151</f>
        <v>-3.2652083521318702</v>
      </c>
      <c r="G151" s="168">
        <f t="shared" si="11"/>
        <v>26.197946154186091</v>
      </c>
      <c r="H151" s="130">
        <f t="shared" si="8"/>
        <v>0</v>
      </c>
      <c r="I151" s="175">
        <f t="shared" si="10"/>
        <v>0</v>
      </c>
      <c r="J151" s="36">
        <f t="shared" si="9"/>
        <v>26.197946154186091</v>
      </c>
    </row>
    <row r="152" spans="1:10" x14ac:dyDescent="0.25">
      <c r="A152" s="53">
        <f>'A) Base RI'!A154</f>
        <v>5645</v>
      </c>
      <c r="B152" s="116" t="str">
        <f>'A) Base RI'!B154</f>
        <v>Romanel-sur-Morges</v>
      </c>
      <c r="C152" s="127">
        <f>'B) D RI'!U154</f>
        <v>26355.884598214288</v>
      </c>
      <c r="D152" s="168">
        <f>'E) Fact soc'!G158/C152</f>
        <v>17.349655909636198</v>
      </c>
      <c r="E152" s="159">
        <f>'H) Péréquation directe'!I163/C152</f>
        <v>16.774875043819545</v>
      </c>
      <c r="F152" s="206">
        <f>+'I) Dépenses thématiques'!O152/C152</f>
        <v>0</v>
      </c>
      <c r="G152" s="168">
        <f t="shared" si="11"/>
        <v>34.124530953455746</v>
      </c>
      <c r="H152" s="130">
        <f t="shared" si="8"/>
        <v>0</v>
      </c>
      <c r="I152" s="175">
        <f t="shared" si="10"/>
        <v>0</v>
      </c>
      <c r="J152" s="36">
        <f t="shared" si="9"/>
        <v>34.124530953455746</v>
      </c>
    </row>
    <row r="153" spans="1:10" x14ac:dyDescent="0.25">
      <c r="A153" s="53">
        <f>'A) Base RI'!A155</f>
        <v>5646</v>
      </c>
      <c r="B153" s="116" t="str">
        <f>'A) Base RI'!B155</f>
        <v>Saint-Prex</v>
      </c>
      <c r="C153" s="127">
        <f>'B) D RI'!U155</f>
        <v>529776.58672727272</v>
      </c>
      <c r="D153" s="168">
        <f>'E) Fact soc'!G159/C153</f>
        <v>23.161235142780953</v>
      </c>
      <c r="E153" s="159">
        <f>'H) Péréquation directe'!I164/C153</f>
        <v>11.326870740757734</v>
      </c>
      <c r="F153" s="206">
        <f>+'I) Dépenses thématiques'!O153/C153</f>
        <v>0</v>
      </c>
      <c r="G153" s="168">
        <f t="shared" si="11"/>
        <v>34.488105883538687</v>
      </c>
      <c r="H153" s="130">
        <f t="shared" si="8"/>
        <v>0</v>
      </c>
      <c r="I153" s="175">
        <f t="shared" si="10"/>
        <v>0</v>
      </c>
      <c r="J153" s="36">
        <f t="shared" si="9"/>
        <v>34.488105883538687</v>
      </c>
    </row>
    <row r="154" spans="1:10" x14ac:dyDescent="0.25">
      <c r="A154" s="53">
        <f>'A) Base RI'!A156</f>
        <v>5648</v>
      </c>
      <c r="B154" s="116" t="str">
        <f>'A) Base RI'!B156</f>
        <v>Saint-Sulpice</v>
      </c>
      <c r="C154" s="127">
        <f>'B) D RI'!U156</f>
        <v>320539.61704545456</v>
      </c>
      <c r="D154" s="168">
        <f>'E) Fact soc'!G160/C154</f>
        <v>23.403244501050182</v>
      </c>
      <c r="E154" s="159">
        <f>'H) Péréquation directe'!I165/C154</f>
        <v>12.329130261656253</v>
      </c>
      <c r="F154" s="206">
        <f>+'I) Dépenses thématiques'!O154/C154</f>
        <v>-3.3482679653458025E-2</v>
      </c>
      <c r="G154" s="168">
        <f t="shared" si="11"/>
        <v>35.698892083052975</v>
      </c>
      <c r="H154" s="130">
        <f t="shared" si="8"/>
        <v>0</v>
      </c>
      <c r="I154" s="175">
        <f t="shared" si="10"/>
        <v>0</v>
      </c>
      <c r="J154" s="36">
        <f t="shared" si="9"/>
        <v>35.698892083052975</v>
      </c>
    </row>
    <row r="155" spans="1:10" x14ac:dyDescent="0.25">
      <c r="A155" s="53">
        <f>'A) Base RI'!A157</f>
        <v>5649</v>
      </c>
      <c r="B155" s="116" t="str">
        <f>'A) Base RI'!B157</f>
        <v>Tolochenaz</v>
      </c>
      <c r="C155" s="127">
        <f>'B) D RI'!U157</f>
        <v>78727.730769230766</v>
      </c>
      <c r="D155" s="168">
        <f>'E) Fact soc'!G161/C155</f>
        <v>20.376431803551945</v>
      </c>
      <c r="E155" s="159">
        <f>'H) Péréquation directe'!I166/C155</f>
        <v>12.762821192335112</v>
      </c>
      <c r="F155" s="206">
        <f>+'I) Dépenses thématiques'!O155/C155</f>
        <v>-1.2512204725897709</v>
      </c>
      <c r="G155" s="168">
        <f t="shared" si="11"/>
        <v>31.888032523297284</v>
      </c>
      <c r="H155" s="130">
        <f t="shared" si="8"/>
        <v>0</v>
      </c>
      <c r="I155" s="175">
        <f t="shared" si="10"/>
        <v>0</v>
      </c>
      <c r="J155" s="36">
        <f t="shared" si="9"/>
        <v>31.888032523297284</v>
      </c>
    </row>
    <row r="156" spans="1:10" x14ac:dyDescent="0.25">
      <c r="A156" s="53">
        <f>'A) Base RI'!A158</f>
        <v>5650</v>
      </c>
      <c r="B156" s="116" t="str">
        <f>'A) Base RI'!B158</f>
        <v>Vaux-sur-Morges</v>
      </c>
      <c r="C156" s="127">
        <f>'B) D RI'!U158</f>
        <v>258152.18179487175</v>
      </c>
      <c r="D156" s="168">
        <f>'E) Fact soc'!G162/C156</f>
        <v>29.776755574461468</v>
      </c>
      <c r="E156" s="159">
        <f>'H) Péréquation directe'!I167/C156</f>
        <v>6.9609209438012112</v>
      </c>
      <c r="F156" s="206">
        <f>+'I) Dépenses thématiques'!O156/C156</f>
        <v>0</v>
      </c>
      <c r="G156" s="168">
        <f t="shared" si="11"/>
        <v>36.737676518262681</v>
      </c>
      <c r="H156" s="130">
        <f t="shared" si="8"/>
        <v>0</v>
      </c>
      <c r="I156" s="175">
        <f t="shared" si="10"/>
        <v>0</v>
      </c>
      <c r="J156" s="36">
        <f t="shared" si="9"/>
        <v>36.737676518262681</v>
      </c>
    </row>
    <row r="157" spans="1:10" x14ac:dyDescent="0.25">
      <c r="A157" s="53">
        <f>'A) Base RI'!A159</f>
        <v>5651</v>
      </c>
      <c r="B157" s="116" t="str">
        <f>'A) Base RI'!B159</f>
        <v>Villars-Sainte-Croix</v>
      </c>
      <c r="C157" s="127">
        <f>'B) D RI'!U159</f>
        <v>39092.930338983046</v>
      </c>
      <c r="D157" s="168">
        <f>'E) Fact soc'!G163/C157</f>
        <v>20.424635711728239</v>
      </c>
      <c r="E157" s="159">
        <f>'H) Péréquation directe'!I168/C157</f>
        <v>16.438242464183421</v>
      </c>
      <c r="F157" s="206">
        <f>+'I) Dépenses thématiques'!O157/C157</f>
        <v>0</v>
      </c>
      <c r="G157" s="168">
        <f t="shared" si="11"/>
        <v>36.862878175911661</v>
      </c>
      <c r="H157" s="130">
        <f t="shared" si="8"/>
        <v>0</v>
      </c>
      <c r="I157" s="175">
        <f t="shared" si="10"/>
        <v>0</v>
      </c>
      <c r="J157" s="36">
        <f t="shared" si="9"/>
        <v>36.862878175911661</v>
      </c>
    </row>
    <row r="158" spans="1:10" x14ac:dyDescent="0.25">
      <c r="A158" s="53">
        <f>'A) Base RI'!A160</f>
        <v>5652</v>
      </c>
      <c r="B158" s="116" t="str">
        <f>'A) Base RI'!B160</f>
        <v>Villars-sous-Yens</v>
      </c>
      <c r="C158" s="127">
        <f>'B) D RI'!U160</f>
        <v>21921.455131578947</v>
      </c>
      <c r="D158" s="168">
        <f>'E) Fact soc'!G164/C158</f>
        <v>17.603046162818501</v>
      </c>
      <c r="E158" s="159">
        <f>'H) Péréquation directe'!I169/C158</f>
        <v>11.186465071263516</v>
      </c>
      <c r="F158" s="206">
        <f>+'I) Dépenses thématiques'!O158/C158</f>
        <v>-6.2016600690137738</v>
      </c>
      <c r="G158" s="168">
        <f t="shared" si="11"/>
        <v>22.587851165068244</v>
      </c>
      <c r="H158" s="130">
        <f t="shared" si="8"/>
        <v>0</v>
      </c>
      <c r="I158" s="175">
        <f t="shared" si="10"/>
        <v>0</v>
      </c>
      <c r="J158" s="36">
        <f t="shared" si="9"/>
        <v>22.587851165068244</v>
      </c>
    </row>
    <row r="159" spans="1:10" x14ac:dyDescent="0.25">
      <c r="A159" s="53">
        <f>'A) Base RI'!A161</f>
        <v>5653</v>
      </c>
      <c r="B159" s="116" t="str">
        <f>'A) Base RI'!B161</f>
        <v>Vufflens-le-Château</v>
      </c>
      <c r="C159" s="127">
        <f>'B) D RI'!U161</f>
        <v>61105.159227272721</v>
      </c>
      <c r="D159" s="168">
        <f>'E) Fact soc'!G165/C159</f>
        <v>19.808688995713727</v>
      </c>
      <c r="E159" s="159">
        <f>'H) Péréquation directe'!I170/C159</f>
        <v>15.61358887629549</v>
      </c>
      <c r="F159" s="206">
        <f>+'I) Dépenses thématiques'!O159/C159</f>
        <v>0</v>
      </c>
      <c r="G159" s="168">
        <f t="shared" si="11"/>
        <v>35.422277872009218</v>
      </c>
      <c r="H159" s="130">
        <f t="shared" si="8"/>
        <v>0</v>
      </c>
      <c r="I159" s="175">
        <f t="shared" si="10"/>
        <v>0</v>
      </c>
      <c r="J159" s="36">
        <f t="shared" si="9"/>
        <v>35.422277872009218</v>
      </c>
    </row>
    <row r="160" spans="1:10" x14ac:dyDescent="0.25">
      <c r="A160" s="53">
        <f>'A) Base RI'!A162</f>
        <v>5654</v>
      </c>
      <c r="B160" s="116" t="str">
        <f>'A) Base RI'!B162</f>
        <v>Vullierens</v>
      </c>
      <c r="C160" s="127">
        <f>'B) D RI'!U162</f>
        <v>17141.735000000001</v>
      </c>
      <c r="D160" s="168">
        <f>'E) Fact soc'!G166/C160</f>
        <v>17.499397000199053</v>
      </c>
      <c r="E160" s="159">
        <f>'H) Péréquation directe'!I171/C160</f>
        <v>11.617187131599488</v>
      </c>
      <c r="F160" s="206">
        <f>+'I) Dépenses thématiques'!O160/C160</f>
        <v>-27.937348223759997</v>
      </c>
      <c r="G160" s="168">
        <f t="shared" si="11"/>
        <v>1.1792359080385424</v>
      </c>
      <c r="H160" s="130">
        <f t="shared" si="8"/>
        <v>0</v>
      </c>
      <c r="I160" s="175">
        <f t="shared" si="10"/>
        <v>0</v>
      </c>
      <c r="J160" s="36">
        <f t="shared" si="9"/>
        <v>1.1792359080385424</v>
      </c>
    </row>
    <row r="161" spans="1:10" x14ac:dyDescent="0.25">
      <c r="A161" s="53">
        <f>'A) Base RI'!A163</f>
        <v>5655</v>
      </c>
      <c r="B161" s="116" t="str">
        <f>'A) Base RI'!B163</f>
        <v>Yens</v>
      </c>
      <c r="C161" s="127">
        <f>'B) D RI'!U163</f>
        <v>83580.564109589031</v>
      </c>
      <c r="D161" s="168">
        <f>'E) Fact soc'!G167/C161</f>
        <v>17.538207332603761</v>
      </c>
      <c r="E161" s="159">
        <f>'H) Péréquation directe'!I172/C161</f>
        <v>15.319703353929217</v>
      </c>
      <c r="F161" s="206">
        <f>+'I) Dépenses thématiques'!O161/C161</f>
        <v>0</v>
      </c>
      <c r="G161" s="168">
        <f t="shared" si="11"/>
        <v>32.857910686532975</v>
      </c>
      <c r="H161" s="130">
        <f t="shared" si="8"/>
        <v>0</v>
      </c>
      <c r="I161" s="175">
        <f t="shared" si="10"/>
        <v>0</v>
      </c>
      <c r="J161" s="36">
        <f t="shared" si="9"/>
        <v>32.857910686532975</v>
      </c>
    </row>
    <row r="162" spans="1:10" x14ac:dyDescent="0.25">
      <c r="A162" s="53">
        <f>'A) Base RI'!A164</f>
        <v>5661</v>
      </c>
      <c r="B162" s="116" t="str">
        <f>'A) Base RI'!B164</f>
        <v>Boulens</v>
      </c>
      <c r="C162" s="127">
        <f>'B) D RI'!U164</f>
        <v>9592.9711392405043</v>
      </c>
      <c r="D162" s="168">
        <f>'E) Fact soc'!G168/C162</f>
        <v>17.141407520082879</v>
      </c>
      <c r="E162" s="159">
        <f>'H) Péréquation directe'!I173/C162</f>
        <v>-2.4718301607122641</v>
      </c>
      <c r="F162" s="206">
        <f>+'I) Dépenses thématiques'!O162/C162</f>
        <v>-2.4741856435285965</v>
      </c>
      <c r="G162" s="168">
        <f t="shared" si="11"/>
        <v>12.195391715842019</v>
      </c>
      <c r="H162" s="130">
        <f t="shared" si="8"/>
        <v>0</v>
      </c>
      <c r="I162" s="175">
        <f t="shared" si="10"/>
        <v>0</v>
      </c>
      <c r="J162" s="36">
        <f t="shared" si="9"/>
        <v>12.195391715842019</v>
      </c>
    </row>
    <row r="163" spans="1:10" x14ac:dyDescent="0.25">
      <c r="A163" s="53">
        <f>'A) Base RI'!A165</f>
        <v>5662</v>
      </c>
      <c r="B163" s="116" t="str">
        <f>'A) Base RI'!B165</f>
        <v>Brenles</v>
      </c>
      <c r="C163" s="127">
        <f>'B) D RI'!U165</f>
        <v>5126.068504273504</v>
      </c>
      <c r="D163" s="168">
        <f>'E) Fact soc'!G169/C163</f>
        <v>19.499209671123356</v>
      </c>
      <c r="E163" s="159">
        <f>'H) Péréquation directe'!I174/C163</f>
        <v>11.355861225381998</v>
      </c>
      <c r="F163" s="206">
        <f>+'I) Dépenses thématiques'!O163/C163</f>
        <v>-3.2764604313132195</v>
      </c>
      <c r="G163" s="168">
        <f t="shared" si="11"/>
        <v>27.578610465192135</v>
      </c>
      <c r="H163" s="130">
        <f t="shared" si="8"/>
        <v>0</v>
      </c>
      <c r="I163" s="175">
        <f t="shared" si="10"/>
        <v>0</v>
      </c>
      <c r="J163" s="36">
        <f t="shared" si="9"/>
        <v>27.578610465192135</v>
      </c>
    </row>
    <row r="164" spans="1:10" x14ac:dyDescent="0.25">
      <c r="A164" s="53">
        <f>'A) Base RI'!A166</f>
        <v>5663</v>
      </c>
      <c r="B164" s="116" t="str">
        <f>'A) Base RI'!B166</f>
        <v>Bussy-sur-Moudon</v>
      </c>
      <c r="C164" s="127">
        <f>'B) D RI'!U166</f>
        <v>5468.4132499999996</v>
      </c>
      <c r="D164" s="168">
        <f>'E) Fact soc'!G170/C164</f>
        <v>16.557097723082791</v>
      </c>
      <c r="E164" s="159">
        <f>'H) Péréquation directe'!I175/C164</f>
        <v>-2.5129336983589572</v>
      </c>
      <c r="F164" s="206">
        <f>+'I) Dépenses thématiques'!O164/C164</f>
        <v>-8.5851186716491323</v>
      </c>
      <c r="G164" s="168">
        <f t="shared" si="11"/>
        <v>5.4590453530747016</v>
      </c>
      <c r="H164" s="130">
        <f t="shared" si="8"/>
        <v>0</v>
      </c>
      <c r="I164" s="175">
        <f t="shared" si="10"/>
        <v>0</v>
      </c>
      <c r="J164" s="36">
        <f t="shared" si="9"/>
        <v>5.4590453530747016</v>
      </c>
    </row>
    <row r="165" spans="1:10" x14ac:dyDescent="0.25">
      <c r="A165" s="53">
        <f>'A) Base RI'!A167</f>
        <v>5665</v>
      </c>
      <c r="B165" s="116" t="str">
        <f>'A) Base RI'!B167</f>
        <v>Chavannes-sur-Moudon</v>
      </c>
      <c r="C165" s="127">
        <f>'B) D RI'!U167</f>
        <v>4982.8790410958891</v>
      </c>
      <c r="D165" s="168">
        <f>'E) Fact soc'!G171/C165</f>
        <v>14.907268680086068</v>
      </c>
      <c r="E165" s="159">
        <f>'H) Péréquation directe'!I176/C165</f>
        <v>-6.7923565312689682</v>
      </c>
      <c r="F165" s="206">
        <f>+'I) Dépenses thématiques'!O165/C165</f>
        <v>-2.9816025429182744</v>
      </c>
      <c r="G165" s="168">
        <f t="shared" si="11"/>
        <v>5.133309605898825</v>
      </c>
      <c r="H165" s="130">
        <f t="shared" si="8"/>
        <v>0</v>
      </c>
      <c r="I165" s="175">
        <f t="shared" si="10"/>
        <v>0</v>
      </c>
      <c r="J165" s="36">
        <f t="shared" si="9"/>
        <v>5.133309605898825</v>
      </c>
    </row>
    <row r="166" spans="1:10" x14ac:dyDescent="0.25">
      <c r="A166" s="53">
        <f>'A) Base RI'!A168</f>
        <v>5666</v>
      </c>
      <c r="B166" s="116" t="str">
        <f>'A) Base RI'!B168</f>
        <v>Chesalles-sur-Moudon</v>
      </c>
      <c r="C166" s="127">
        <f>'B) D RI'!U168</f>
        <v>3797.0531999999998</v>
      </c>
      <c r="D166" s="168">
        <f>'E) Fact soc'!G172/C166</f>
        <v>14.664437178454055</v>
      </c>
      <c r="E166" s="159">
        <f>'H) Péréquation directe'!I177/C166</f>
        <v>-15.218398265237983</v>
      </c>
      <c r="F166" s="206">
        <f>+'I) Dépenses thématiques'!O166/C166</f>
        <v>0</v>
      </c>
      <c r="G166" s="168">
        <f t="shared" si="11"/>
        <v>-0.55396108678392864</v>
      </c>
      <c r="H166" s="130">
        <f t="shared" si="8"/>
        <v>0</v>
      </c>
      <c r="I166" s="175">
        <f t="shared" si="10"/>
        <v>0</v>
      </c>
      <c r="J166" s="36">
        <f t="shared" si="9"/>
        <v>-0.55396108678392864</v>
      </c>
    </row>
    <row r="167" spans="1:10" x14ac:dyDescent="0.25">
      <c r="A167" s="53">
        <f>'A) Base RI'!A169</f>
        <v>5668</v>
      </c>
      <c r="B167" s="116" t="str">
        <f>'A) Base RI'!B169</f>
        <v>Cremin</v>
      </c>
      <c r="C167" s="127">
        <f>'B) D RI'!U169</f>
        <v>1016.3289610389612</v>
      </c>
      <c r="D167" s="168">
        <f>'E) Fact soc'!G173/C167</f>
        <v>17.448402910481967</v>
      </c>
      <c r="E167" s="159">
        <f>'H) Péréquation directe'!I178/C167</f>
        <v>-24.124757168041022</v>
      </c>
      <c r="F167" s="206">
        <f>+'I) Dépenses thématiques'!O167/C167</f>
        <v>-2.3469607148675209</v>
      </c>
      <c r="G167" s="168">
        <f t="shared" si="11"/>
        <v>-9.0233149724265758</v>
      </c>
      <c r="H167" s="130">
        <f t="shared" si="8"/>
        <v>0</v>
      </c>
      <c r="I167" s="175">
        <f t="shared" si="10"/>
        <v>0</v>
      </c>
      <c r="J167" s="36">
        <f t="shared" si="9"/>
        <v>-9.0233149724265758</v>
      </c>
    </row>
    <row r="168" spans="1:10" x14ac:dyDescent="0.25">
      <c r="A168" s="53">
        <f>'A) Base RI'!A170</f>
        <v>5669</v>
      </c>
      <c r="B168" s="116" t="str">
        <f>'A) Base RI'!B170</f>
        <v>Curtilles</v>
      </c>
      <c r="C168" s="127">
        <f>'B) D RI'!U170</f>
        <v>8279.174027777779</v>
      </c>
      <c r="D168" s="168">
        <f>'E) Fact soc'!G174/C168</f>
        <v>15.030802227651376</v>
      </c>
      <c r="E168" s="159">
        <f>'H) Péréquation directe'!I179/C168</f>
        <v>1.5010055961418565</v>
      </c>
      <c r="F168" s="206">
        <f>+'I) Dépenses thématiques'!O168/C168</f>
        <v>-3.6794040346493815</v>
      </c>
      <c r="G168" s="168">
        <f t="shared" si="11"/>
        <v>12.852403789143851</v>
      </c>
      <c r="H168" s="130">
        <f t="shared" si="8"/>
        <v>0</v>
      </c>
      <c r="I168" s="175">
        <f t="shared" si="10"/>
        <v>0</v>
      </c>
      <c r="J168" s="36">
        <f t="shared" si="9"/>
        <v>12.852403789143851</v>
      </c>
    </row>
    <row r="169" spans="1:10" x14ac:dyDescent="0.25">
      <c r="A169" s="53">
        <f>'A) Base RI'!A171</f>
        <v>5671</v>
      </c>
      <c r="B169" s="116" t="str">
        <f>'A) Base RI'!B171</f>
        <v>Dompierre</v>
      </c>
      <c r="C169" s="127">
        <f>'B) D RI'!U171</f>
        <v>6672.7971250000001</v>
      </c>
      <c r="D169" s="168">
        <f>'E) Fact soc'!G175/C169</f>
        <v>14.664437178454055</v>
      </c>
      <c r="E169" s="159">
        <f>'H) Péréquation directe'!I180/C169</f>
        <v>-0.3421419260422886</v>
      </c>
      <c r="F169" s="206">
        <f>+'I) Dépenses thématiques'!O169/C169</f>
        <v>-7.462781966139536</v>
      </c>
      <c r="G169" s="168">
        <f t="shared" si="11"/>
        <v>6.8595132862722306</v>
      </c>
      <c r="H169" s="130">
        <f t="shared" ref="H169:H223" si="12">IF(G169&gt;H$4,H$4-G169,0)</f>
        <v>0</v>
      </c>
      <c r="I169" s="175">
        <f t="shared" si="10"/>
        <v>0</v>
      </c>
      <c r="J169" s="36">
        <f t="shared" ref="J169:J223" si="13">G169+H169</f>
        <v>6.8595132862722306</v>
      </c>
    </row>
    <row r="170" spans="1:10" x14ac:dyDescent="0.25">
      <c r="A170" s="53">
        <f>'A) Base RI'!A172</f>
        <v>5672</v>
      </c>
      <c r="B170" s="116" t="str">
        <f>'A) Base RI'!B172</f>
        <v>Forel-sur-Lucens</v>
      </c>
      <c r="C170" s="127">
        <f>'B) D RI'!U172</f>
        <v>4096.3695000000007</v>
      </c>
      <c r="D170" s="168">
        <f>'E) Fact soc'!G176/C170</f>
        <v>14.932967641831443</v>
      </c>
      <c r="E170" s="159">
        <f>'H) Péréquation directe'!I181/C170</f>
        <v>6.6781069279967131E-2</v>
      </c>
      <c r="F170" s="206">
        <f>+'I) Dépenses thématiques'!O170/C170</f>
        <v>-2.3470786005826603</v>
      </c>
      <c r="G170" s="168">
        <f t="shared" si="11"/>
        <v>12.652670110528749</v>
      </c>
      <c r="H170" s="130">
        <f t="shared" si="12"/>
        <v>0</v>
      </c>
      <c r="I170" s="175">
        <f t="shared" ref="I170:I225" si="14">H170*C170</f>
        <v>0</v>
      </c>
      <c r="J170" s="36">
        <f t="shared" si="13"/>
        <v>12.652670110528749</v>
      </c>
    </row>
    <row r="171" spans="1:10" x14ac:dyDescent="0.25">
      <c r="A171" s="53">
        <f>'A) Base RI'!A173</f>
        <v>5673</v>
      </c>
      <c r="B171" s="116" t="str">
        <f>'A) Base RI'!B173</f>
        <v>Hermenches</v>
      </c>
      <c r="C171" s="127">
        <f>'B) D RI'!U173</f>
        <v>7873.3323555555571</v>
      </c>
      <c r="D171" s="168">
        <f>'E) Fact soc'!G177/C171</f>
        <v>16.286557828675075</v>
      </c>
      <c r="E171" s="159">
        <f>'H) Péréquation directe'!I182/C171</f>
        <v>-11.423673764670363</v>
      </c>
      <c r="F171" s="206">
        <f>+'I) Dépenses thématiques'!O171/C171</f>
        <v>-3.2156581495254479</v>
      </c>
      <c r="G171" s="168">
        <f t="shared" ref="G171:G226" si="15">SUM(D171:F171)</f>
        <v>1.647225914479264</v>
      </c>
      <c r="H171" s="130">
        <f t="shared" si="12"/>
        <v>0</v>
      </c>
      <c r="I171" s="175">
        <f t="shared" si="14"/>
        <v>0</v>
      </c>
      <c r="J171" s="36">
        <f t="shared" si="13"/>
        <v>1.647225914479264</v>
      </c>
    </row>
    <row r="172" spans="1:10" x14ac:dyDescent="0.25">
      <c r="A172" s="53">
        <f>'A) Base RI'!A174</f>
        <v>5674</v>
      </c>
      <c r="B172" s="116" t="str">
        <f>'A) Base RI'!B174</f>
        <v>Lovatens</v>
      </c>
      <c r="C172" s="127">
        <f>'B) D RI'!U174</f>
        <v>3776.8391809523814</v>
      </c>
      <c r="D172" s="168">
        <f>'E) Fact soc'!G178/C172</f>
        <v>21.974293033380402</v>
      </c>
      <c r="E172" s="159">
        <f>'H) Péréquation directe'!I183/C172</f>
        <v>-0.22539613673507669</v>
      </c>
      <c r="F172" s="206">
        <f>+'I) Dépenses thématiques'!O172/C172</f>
        <v>-5.4938181762790306</v>
      </c>
      <c r="G172" s="168">
        <f t="shared" si="15"/>
        <v>16.255078720366292</v>
      </c>
      <c r="H172" s="130">
        <f t="shared" si="12"/>
        <v>0</v>
      </c>
      <c r="I172" s="175">
        <f t="shared" si="14"/>
        <v>0</v>
      </c>
      <c r="J172" s="36">
        <f t="shared" si="13"/>
        <v>16.255078720366292</v>
      </c>
    </row>
    <row r="173" spans="1:10" x14ac:dyDescent="0.25">
      <c r="A173" s="53">
        <f>'A) Base RI'!A175</f>
        <v>5675</v>
      </c>
      <c r="B173" s="116" t="str">
        <f>'A) Base RI'!B175</f>
        <v>Lucens</v>
      </c>
      <c r="C173" s="127">
        <f>'B) D RI'!U175</f>
        <v>77479.696914600558</v>
      </c>
      <c r="D173" s="168">
        <f>'E) Fact soc'!G179/C173</f>
        <v>17.056572503974067</v>
      </c>
      <c r="E173" s="159">
        <f>'H) Péréquation directe'!I184/C173</f>
        <v>-10.117582256533908</v>
      </c>
      <c r="F173" s="206">
        <f>+'I) Dépenses thématiques'!O173/C173</f>
        <v>-5.2528777831011455</v>
      </c>
      <c r="G173" s="168">
        <f t="shared" si="15"/>
        <v>1.686112464339014</v>
      </c>
      <c r="H173" s="130">
        <f t="shared" si="12"/>
        <v>0</v>
      </c>
      <c r="I173" s="175">
        <f t="shared" si="14"/>
        <v>0</v>
      </c>
      <c r="J173" s="36">
        <f t="shared" si="13"/>
        <v>1.686112464339014</v>
      </c>
    </row>
    <row r="174" spans="1:10" x14ac:dyDescent="0.25">
      <c r="A174" s="53">
        <f>'A) Base RI'!A176</f>
        <v>5678</v>
      </c>
      <c r="B174" s="116" t="str">
        <f>'A) Base RI'!B176</f>
        <v>Moudon</v>
      </c>
      <c r="C174" s="127">
        <f>'B) D RI'!U176</f>
        <v>123116.47720000001</v>
      </c>
      <c r="D174" s="168">
        <f>'E) Fact soc'!G180/C174</f>
        <v>17.926750551403618</v>
      </c>
      <c r="E174" s="159">
        <f>'H) Péréquation directe'!I185/C174</f>
        <v>-26.527454186034628</v>
      </c>
      <c r="F174" s="206">
        <f>+'I) Dépenses thématiques'!O174/C174</f>
        <v>-10.54285022424995</v>
      </c>
      <c r="G174" s="168">
        <f t="shared" si="15"/>
        <v>-19.14355385888096</v>
      </c>
      <c r="H174" s="130">
        <f t="shared" si="12"/>
        <v>0</v>
      </c>
      <c r="I174" s="175">
        <f t="shared" si="14"/>
        <v>0</v>
      </c>
      <c r="J174" s="36">
        <f t="shared" si="13"/>
        <v>-19.14355385888096</v>
      </c>
    </row>
    <row r="175" spans="1:10" x14ac:dyDescent="0.25">
      <c r="A175" s="53">
        <f>'A) Base RI'!A177</f>
        <v>5680</v>
      </c>
      <c r="B175" s="116" t="str">
        <f>'A) Base RI'!B177</f>
        <v>Ogens</v>
      </c>
      <c r="C175" s="127">
        <f>'B) D RI'!U177</f>
        <v>8504.3488034188031</v>
      </c>
      <c r="D175" s="168">
        <f>'E) Fact soc'!G181/C175</f>
        <v>16.985011681708954</v>
      </c>
      <c r="E175" s="159">
        <f>'H) Péréquation directe'!I186/C175</f>
        <v>2.1249701880836884</v>
      </c>
      <c r="F175" s="206">
        <f>+'I) Dépenses thématiques'!O175/C175</f>
        <v>-2.3033726635770644</v>
      </c>
      <c r="G175" s="168">
        <f t="shared" si="15"/>
        <v>16.806609206215576</v>
      </c>
      <c r="H175" s="130">
        <f t="shared" si="12"/>
        <v>0</v>
      </c>
      <c r="I175" s="175">
        <f t="shared" si="14"/>
        <v>0</v>
      </c>
      <c r="J175" s="36">
        <f t="shared" si="13"/>
        <v>16.806609206215576</v>
      </c>
    </row>
    <row r="176" spans="1:10" x14ac:dyDescent="0.25">
      <c r="A176" s="53">
        <f>'A) Base RI'!A178</f>
        <v>5683</v>
      </c>
      <c r="B176" s="116" t="str">
        <f>'A) Base RI'!B178</f>
        <v>Prévonloup</v>
      </c>
      <c r="C176" s="127">
        <f>'B) D RI'!U178</f>
        <v>4128.5685135135127</v>
      </c>
      <c r="D176" s="168">
        <f>'E) Fact soc'!G182/C176</f>
        <v>14.664437178454055</v>
      </c>
      <c r="E176" s="159">
        <f>'H) Péréquation directe'!I187/C176</f>
        <v>-2.3211855681996729</v>
      </c>
      <c r="F176" s="206">
        <f>+'I) Dépenses thématiques'!O176/C176</f>
        <v>-4.5320178110998022</v>
      </c>
      <c r="G176" s="168">
        <f t="shared" si="15"/>
        <v>7.8112337991545786</v>
      </c>
      <c r="H176" s="130">
        <f t="shared" si="12"/>
        <v>0</v>
      </c>
      <c r="I176" s="175">
        <f t="shared" si="14"/>
        <v>0</v>
      </c>
      <c r="J176" s="36">
        <f t="shared" si="13"/>
        <v>7.8112337991545786</v>
      </c>
    </row>
    <row r="177" spans="1:10" x14ac:dyDescent="0.25">
      <c r="A177" s="53">
        <f>'A) Base RI'!A179</f>
        <v>5684</v>
      </c>
      <c r="B177" s="116" t="str">
        <f>'A) Base RI'!B179</f>
        <v>Rossenges</v>
      </c>
      <c r="C177" s="127">
        <f>'B) D RI'!U179</f>
        <v>2119.9519999999998</v>
      </c>
      <c r="D177" s="168">
        <f>'E) Fact soc'!G183/C177</f>
        <v>14.664437178454055</v>
      </c>
      <c r="E177" s="159">
        <f>'H) Péréquation directe'!I188/C177</f>
        <v>12.200692305781635</v>
      </c>
      <c r="F177" s="206">
        <f>+'I) Dépenses thématiques'!O177/C177</f>
        <v>0</v>
      </c>
      <c r="G177" s="168">
        <f t="shared" si="15"/>
        <v>26.865129484235688</v>
      </c>
      <c r="H177" s="130">
        <f t="shared" si="12"/>
        <v>0</v>
      </c>
      <c r="I177" s="175">
        <f t="shared" si="14"/>
        <v>0</v>
      </c>
      <c r="J177" s="36">
        <f t="shared" si="13"/>
        <v>26.865129484235688</v>
      </c>
    </row>
    <row r="178" spans="1:10" x14ac:dyDescent="0.25">
      <c r="A178" s="53">
        <f>'A) Base RI'!A180</f>
        <v>5686</v>
      </c>
      <c r="B178" s="116" t="str">
        <f>'A) Base RI'!B180</f>
        <v>Sarzens</v>
      </c>
      <c r="C178" s="127">
        <f>'B) D RI'!U180</f>
        <v>1678.3095945945947</v>
      </c>
      <c r="D178" s="168">
        <f>'E) Fact soc'!G184/C178</f>
        <v>18.336852577764702</v>
      </c>
      <c r="E178" s="159">
        <f>'H) Péréquation directe'!I189/C178</f>
        <v>-11.522581370810999</v>
      </c>
      <c r="F178" s="206">
        <f>+'I) Dépenses thématiques'!O178/C178</f>
        <v>-13.743862798352291</v>
      </c>
      <c r="G178" s="168">
        <f t="shared" si="15"/>
        <v>-6.9295915913985873</v>
      </c>
      <c r="H178" s="130">
        <f t="shared" si="12"/>
        <v>0</v>
      </c>
      <c r="I178" s="175">
        <f t="shared" si="14"/>
        <v>0</v>
      </c>
      <c r="J178" s="36">
        <f t="shared" si="13"/>
        <v>-6.9295915913985873</v>
      </c>
    </row>
    <row r="179" spans="1:10" x14ac:dyDescent="0.25">
      <c r="A179" s="53">
        <f>'A) Base RI'!A181</f>
        <v>5688</v>
      </c>
      <c r="B179" s="116" t="str">
        <f>'A) Base RI'!B181</f>
        <v>Syens</v>
      </c>
      <c r="C179" s="127">
        <f>'B) D RI'!U181</f>
        <v>4845.4007936507942</v>
      </c>
      <c r="D179" s="168">
        <f>'E) Fact soc'!G185/C179</f>
        <v>19.112593464770399</v>
      </c>
      <c r="E179" s="159">
        <f>'H) Péréquation directe'!I190/C179</f>
        <v>8.3096074727087039</v>
      </c>
      <c r="F179" s="206">
        <f>+'I) Dépenses thématiques'!O179/C179</f>
        <v>-3.671842059815936</v>
      </c>
      <c r="G179" s="168">
        <f t="shared" si="15"/>
        <v>23.750358877663167</v>
      </c>
      <c r="H179" s="130">
        <f t="shared" si="12"/>
        <v>0</v>
      </c>
      <c r="I179" s="175">
        <f t="shared" si="14"/>
        <v>0</v>
      </c>
      <c r="J179" s="36">
        <f t="shared" si="13"/>
        <v>23.750358877663167</v>
      </c>
    </row>
    <row r="180" spans="1:10" x14ac:dyDescent="0.25">
      <c r="A180" s="53">
        <f>'A) Base RI'!A182</f>
        <v>5690</v>
      </c>
      <c r="B180" s="116" t="str">
        <f>'A) Base RI'!B182</f>
        <v>Villars-le-Comte</v>
      </c>
      <c r="C180" s="127">
        <f>'B) D RI'!U182</f>
        <v>3252.2851315789467</v>
      </c>
      <c r="D180" s="168">
        <f>'E) Fact soc'!G186/C180</f>
        <v>15.086640320075086</v>
      </c>
      <c r="E180" s="159">
        <f>'H) Péréquation directe'!I191/C180</f>
        <v>-7.4475319834439651</v>
      </c>
      <c r="F180" s="206">
        <f>+'I) Dépenses thématiques'!O180/C180</f>
        <v>-7.3151760120677096</v>
      </c>
      <c r="G180" s="168">
        <f t="shared" si="15"/>
        <v>0.32393232456341092</v>
      </c>
      <c r="H180" s="130">
        <f t="shared" si="12"/>
        <v>0</v>
      </c>
      <c r="I180" s="175">
        <f t="shared" si="14"/>
        <v>0</v>
      </c>
      <c r="J180" s="36">
        <f t="shared" si="13"/>
        <v>0.32393232456341092</v>
      </c>
    </row>
    <row r="181" spans="1:10" x14ac:dyDescent="0.25">
      <c r="A181" s="53">
        <f>'A) Base RI'!A183</f>
        <v>5692</v>
      </c>
      <c r="B181" s="116" t="str">
        <f>'A) Base RI'!B183</f>
        <v>Vucherens</v>
      </c>
      <c r="C181" s="127">
        <f>'B) D RI'!U183</f>
        <v>16993.232405063292</v>
      </c>
      <c r="D181" s="168">
        <f>'E) Fact soc'!G187/C181</f>
        <v>18.766813544425986</v>
      </c>
      <c r="E181" s="159">
        <f>'H) Péréquation directe'!I192/C181</f>
        <v>4.2198099325608061</v>
      </c>
      <c r="F181" s="206">
        <f>+'I) Dépenses thématiques'!O181/C181</f>
        <v>-2.4732980790946972</v>
      </c>
      <c r="G181" s="168">
        <f t="shared" si="15"/>
        <v>20.513325397892096</v>
      </c>
      <c r="H181" s="130">
        <f t="shared" si="12"/>
        <v>0</v>
      </c>
      <c r="I181" s="175">
        <f t="shared" si="14"/>
        <v>0</v>
      </c>
      <c r="J181" s="36">
        <f t="shared" si="13"/>
        <v>20.513325397892096</v>
      </c>
    </row>
    <row r="182" spans="1:10" x14ac:dyDescent="0.25">
      <c r="A182" s="53">
        <f>'A) Base RI'!A184</f>
        <v>5693</v>
      </c>
      <c r="B182" s="116" t="str">
        <f>'A) Base RI'!B184</f>
        <v>Montanaire</v>
      </c>
      <c r="C182" s="127">
        <f>'B) D RI'!U184</f>
        <v>63585.08152777778</v>
      </c>
      <c r="D182" s="168">
        <f>'E) Fact soc'!G188/C182</f>
        <v>16.9711452375752</v>
      </c>
      <c r="E182" s="159">
        <f>'H) Péréquation directe'!I193/C182</f>
        <v>-6.3326277805905322</v>
      </c>
      <c r="F182" s="206">
        <f>+'I) Dépenses thématiques'!O182/C182</f>
        <v>-6.4589317261817651</v>
      </c>
      <c r="G182" s="168">
        <f>SUM(D182:F182)</f>
        <v>4.1795857308029039</v>
      </c>
      <c r="H182" s="130">
        <f t="shared" si="12"/>
        <v>0</v>
      </c>
      <c r="I182" s="175">
        <f>H182*C182</f>
        <v>0</v>
      </c>
      <c r="J182" s="36">
        <f>G182+H182</f>
        <v>4.1795857308029039</v>
      </c>
    </row>
    <row r="183" spans="1:10" x14ac:dyDescent="0.25">
      <c r="A183" s="53">
        <f>'A) Base RI'!A185</f>
        <v>5701</v>
      </c>
      <c r="B183" s="116" t="str">
        <f>'A) Base RI'!B185</f>
        <v>Arnex-sur-Nyon</v>
      </c>
      <c r="C183" s="127">
        <f>'B) D RI'!U185</f>
        <v>15270.610714285714</v>
      </c>
      <c r="D183" s="168">
        <f>'E) Fact soc'!G189/C183</f>
        <v>22.751084351810107</v>
      </c>
      <c r="E183" s="159">
        <f>'H) Péréquation directe'!I194/C183</f>
        <v>15.715436853586663</v>
      </c>
      <c r="F183" s="206">
        <f>+'I) Dépenses thématiques'!O183/C183</f>
        <v>0</v>
      </c>
      <c r="G183" s="168">
        <f>SUM(D183:F183)</f>
        <v>38.466521205396774</v>
      </c>
      <c r="H183" s="130">
        <f t="shared" si="12"/>
        <v>0</v>
      </c>
      <c r="I183" s="175">
        <f>H183*C183</f>
        <v>0</v>
      </c>
      <c r="J183" s="36">
        <f>G183+H183</f>
        <v>38.466521205396774</v>
      </c>
    </row>
    <row r="184" spans="1:10" x14ac:dyDescent="0.25">
      <c r="A184" s="53">
        <f>'A) Base RI'!A186</f>
        <v>5702</v>
      </c>
      <c r="B184" s="116" t="str">
        <f>'A) Base RI'!B186</f>
        <v>Arzier-Le Muids</v>
      </c>
      <c r="C184" s="127">
        <f>'B) D RI'!U186</f>
        <v>153872.87421874999</v>
      </c>
      <c r="D184" s="168">
        <f>'E) Fact soc'!G190/C184</f>
        <v>18.881254888788188</v>
      </c>
      <c r="E184" s="159">
        <f>'H) Péréquation directe'!I195/C184</f>
        <v>13.974406080525871</v>
      </c>
      <c r="F184" s="206">
        <f>+'I) Dépenses thématiques'!O184/C184</f>
        <v>-1.445594486494999</v>
      </c>
      <c r="G184" s="168">
        <f t="shared" si="15"/>
        <v>31.410066482819058</v>
      </c>
      <c r="H184" s="130">
        <f t="shared" si="12"/>
        <v>0</v>
      </c>
      <c r="I184" s="175">
        <f t="shared" si="14"/>
        <v>0</v>
      </c>
      <c r="J184" s="36">
        <f t="shared" si="13"/>
        <v>31.410066482819058</v>
      </c>
    </row>
    <row r="185" spans="1:10" x14ac:dyDescent="0.25">
      <c r="A185" s="53">
        <f>'A) Base RI'!A187</f>
        <v>5703</v>
      </c>
      <c r="B185" s="116" t="str">
        <f>'A) Base RI'!B187</f>
        <v>Bassins</v>
      </c>
      <c r="C185" s="127">
        <f>'B) D RI'!U187</f>
        <v>52372.205915492945</v>
      </c>
      <c r="D185" s="168">
        <f>'E) Fact soc'!G191/C185</f>
        <v>16.676742620964038</v>
      </c>
      <c r="E185" s="159">
        <f>'H) Péréquation directe'!I196/C185</f>
        <v>12.536301608009342</v>
      </c>
      <c r="F185" s="206">
        <f>+'I) Dépenses thématiques'!O185/C185</f>
        <v>-3.7135366466610691</v>
      </c>
      <c r="G185" s="168">
        <f t="shared" si="15"/>
        <v>25.499507582312312</v>
      </c>
      <c r="H185" s="130">
        <f t="shared" si="12"/>
        <v>0</v>
      </c>
      <c r="I185" s="175">
        <f t="shared" si="14"/>
        <v>0</v>
      </c>
      <c r="J185" s="36">
        <f t="shared" si="13"/>
        <v>25.499507582312312</v>
      </c>
    </row>
    <row r="186" spans="1:10" x14ac:dyDescent="0.25">
      <c r="A186" s="53">
        <f>'A) Base RI'!A188</f>
        <v>5704</v>
      </c>
      <c r="B186" s="116" t="str">
        <f>'A) Base RI'!B188</f>
        <v>Begnins</v>
      </c>
      <c r="C186" s="127">
        <f>'B) D RI'!U188</f>
        <v>118306.82039800995</v>
      </c>
      <c r="D186" s="168">
        <f>'E) Fact soc'!G192/C186</f>
        <v>20.048126263897828</v>
      </c>
      <c r="E186" s="159">
        <f>'H) Péréquation directe'!I197/C186</f>
        <v>14.42683022923374</v>
      </c>
      <c r="F186" s="206">
        <f>+'I) Dépenses thématiques'!O186/C186</f>
        <v>0</v>
      </c>
      <c r="G186" s="168">
        <f t="shared" si="15"/>
        <v>34.474956493131572</v>
      </c>
      <c r="H186" s="130">
        <f t="shared" si="12"/>
        <v>0</v>
      </c>
      <c r="I186" s="175">
        <f t="shared" si="14"/>
        <v>0</v>
      </c>
      <c r="J186" s="36">
        <f t="shared" si="13"/>
        <v>34.474956493131572</v>
      </c>
    </row>
    <row r="187" spans="1:10" x14ac:dyDescent="0.25">
      <c r="A187" s="53">
        <f>'A) Base RI'!A189</f>
        <v>5705</v>
      </c>
      <c r="B187" s="116" t="str">
        <f>'A) Base RI'!B189</f>
        <v>Bogis-Bossey</v>
      </c>
      <c r="C187" s="127">
        <f>'B) D RI'!U189</f>
        <v>49610.676285714275</v>
      </c>
      <c r="D187" s="168">
        <f>'E) Fact soc'!G193/C187</f>
        <v>17.517134471025113</v>
      </c>
      <c r="E187" s="159">
        <f>'H) Péréquation directe'!I198/C187</f>
        <v>16.481330642177099</v>
      </c>
      <c r="F187" s="206">
        <f>+'I) Dépenses thématiques'!O187/C187</f>
        <v>0</v>
      </c>
      <c r="G187" s="168">
        <f t="shared" si="15"/>
        <v>33.998465113202215</v>
      </c>
      <c r="H187" s="130">
        <f t="shared" si="12"/>
        <v>0</v>
      </c>
      <c r="I187" s="175">
        <f t="shared" si="14"/>
        <v>0</v>
      </c>
      <c r="J187" s="36">
        <f t="shared" si="13"/>
        <v>33.998465113202215</v>
      </c>
    </row>
    <row r="188" spans="1:10" x14ac:dyDescent="0.25">
      <c r="A188" s="53">
        <f>'A) Base RI'!A190</f>
        <v>5706</v>
      </c>
      <c r="B188" s="116" t="str">
        <f>'A) Base RI'!B190</f>
        <v>Borex</v>
      </c>
      <c r="C188" s="127">
        <f>'B) D RI'!U190</f>
        <v>68211.153151515144</v>
      </c>
      <c r="D188" s="168">
        <f>'E) Fact soc'!G194/C188</f>
        <v>19.180905921507762</v>
      </c>
      <c r="E188" s="159">
        <f>'H) Péréquation directe'!I199/C188</f>
        <v>15.969485747638553</v>
      </c>
      <c r="F188" s="206">
        <f>+'I) Dépenses thématiques'!O188/C188</f>
        <v>0</v>
      </c>
      <c r="G188" s="168">
        <f t="shared" si="15"/>
        <v>35.150391669146316</v>
      </c>
      <c r="H188" s="130">
        <f t="shared" si="12"/>
        <v>0</v>
      </c>
      <c r="I188" s="175">
        <f t="shared" si="14"/>
        <v>0</v>
      </c>
      <c r="J188" s="36">
        <f t="shared" si="13"/>
        <v>35.150391669146316</v>
      </c>
    </row>
    <row r="189" spans="1:10" x14ac:dyDescent="0.25">
      <c r="A189" s="53">
        <f>'A) Base RI'!A191</f>
        <v>5707</v>
      </c>
      <c r="B189" s="116" t="str">
        <f>'A) Base RI'!B191</f>
        <v>Chavannes-de-Bogis</v>
      </c>
      <c r="C189" s="127">
        <f>'B) D RI'!U191</f>
        <v>101262.00960451979</v>
      </c>
      <c r="D189" s="168">
        <f>'E) Fact soc'!G195/C189</f>
        <v>25.075625464172749</v>
      </c>
      <c r="E189" s="159">
        <f>'H) Péréquation directe'!I200/C189</f>
        <v>14.275522971868753</v>
      </c>
      <c r="F189" s="206">
        <f>+'I) Dépenses thématiques'!O189/C189</f>
        <v>0</v>
      </c>
      <c r="G189" s="168">
        <f t="shared" si="15"/>
        <v>39.351148436041498</v>
      </c>
      <c r="H189" s="130">
        <f t="shared" si="12"/>
        <v>0</v>
      </c>
      <c r="I189" s="175">
        <f t="shared" si="14"/>
        <v>0</v>
      </c>
      <c r="J189" s="36">
        <f t="shared" si="13"/>
        <v>39.351148436041498</v>
      </c>
    </row>
    <row r="190" spans="1:10" x14ac:dyDescent="0.25">
      <c r="A190" s="53">
        <f>'A) Base RI'!A192</f>
        <v>5708</v>
      </c>
      <c r="B190" s="116" t="str">
        <f>'A) Base RI'!B192</f>
        <v>Chavannes-des-Bois</v>
      </c>
      <c r="C190" s="127">
        <f>'B) D RI'!U192</f>
        <v>66077.93781420766</v>
      </c>
      <c r="D190" s="168">
        <f>'E) Fact soc'!G196/C190</f>
        <v>21.935085817065861</v>
      </c>
      <c r="E190" s="159">
        <f>'H) Péréquation directe'!I201/C190</f>
        <v>15.248121066060364</v>
      </c>
      <c r="F190" s="206">
        <f>+'I) Dépenses thématiques'!O190/C190</f>
        <v>0</v>
      </c>
      <c r="G190" s="168">
        <f t="shared" si="15"/>
        <v>37.183206883126225</v>
      </c>
      <c r="H190" s="130">
        <f t="shared" si="12"/>
        <v>0</v>
      </c>
      <c r="I190" s="175">
        <f t="shared" si="14"/>
        <v>0</v>
      </c>
      <c r="J190" s="36">
        <f t="shared" si="13"/>
        <v>37.183206883126225</v>
      </c>
    </row>
    <row r="191" spans="1:10" x14ac:dyDescent="0.25">
      <c r="A191" s="53">
        <f>'A) Base RI'!A193</f>
        <v>5709</v>
      </c>
      <c r="B191" s="116" t="str">
        <f>'A) Base RI'!B193</f>
        <v>Chéserex</v>
      </c>
      <c r="C191" s="127">
        <f>'B) D RI'!U193</f>
        <v>141681.04461538463</v>
      </c>
      <c r="D191" s="168">
        <f>'E) Fact soc'!G197/C191</f>
        <v>28.72333286298807</v>
      </c>
      <c r="E191" s="159">
        <f>'H) Péréquation directe'!I202/C191</f>
        <v>12.780343262224891</v>
      </c>
      <c r="F191" s="206">
        <f>+'I) Dépenses thématiques'!O191/C191</f>
        <v>0</v>
      </c>
      <c r="G191" s="168">
        <f t="shared" si="15"/>
        <v>41.503676125212962</v>
      </c>
      <c r="H191" s="130">
        <f t="shared" si="12"/>
        <v>0</v>
      </c>
      <c r="I191" s="175">
        <f t="shared" si="14"/>
        <v>0</v>
      </c>
      <c r="J191" s="36">
        <f t="shared" si="13"/>
        <v>41.503676125212962</v>
      </c>
    </row>
    <row r="192" spans="1:10" x14ac:dyDescent="0.25">
      <c r="A192" s="53">
        <f>'A) Base RI'!A194</f>
        <v>5710</v>
      </c>
      <c r="B192" s="116" t="str">
        <f>'A) Base RI'!B194</f>
        <v>Coinsins</v>
      </c>
      <c r="C192" s="127">
        <f>'B) D RI'!U194</f>
        <v>77522.491219512216</v>
      </c>
      <c r="D192" s="168">
        <f>'E) Fact soc'!G198/C192</f>
        <v>24.330534855875484</v>
      </c>
      <c r="E192" s="159">
        <f>'H) Péréquation directe'!I203/C192</f>
        <v>11.619604016852398</v>
      </c>
      <c r="F192" s="206">
        <f>+'I) Dépenses thématiques'!O192/C192</f>
        <v>0</v>
      </c>
      <c r="G192" s="168">
        <f t="shared" si="15"/>
        <v>35.950138872727884</v>
      </c>
      <c r="H192" s="130">
        <f t="shared" si="12"/>
        <v>0</v>
      </c>
      <c r="I192" s="175">
        <f t="shared" si="14"/>
        <v>0</v>
      </c>
      <c r="J192" s="36">
        <f t="shared" si="13"/>
        <v>35.950138872727884</v>
      </c>
    </row>
    <row r="193" spans="1:10" x14ac:dyDescent="0.25">
      <c r="A193" s="53">
        <f>'A) Base RI'!A195</f>
        <v>5711</v>
      </c>
      <c r="B193" s="116" t="str">
        <f>'A) Base RI'!B195</f>
        <v>Commugny</v>
      </c>
      <c r="C193" s="127">
        <f>'B) D RI'!U195</f>
        <v>249621.80260458836</v>
      </c>
      <c r="D193" s="168">
        <f>'E) Fact soc'!G199/C193</f>
        <v>24.937061700113105</v>
      </c>
      <c r="E193" s="159">
        <f>'H) Péréquation directe'!I204/C193</f>
        <v>12.572841516498821</v>
      </c>
      <c r="F193" s="206">
        <f>+'I) Dépenses thématiques'!O193/C193</f>
        <v>0</v>
      </c>
      <c r="G193" s="168">
        <f t="shared" si="15"/>
        <v>37.509903216611924</v>
      </c>
      <c r="H193" s="130">
        <f t="shared" si="12"/>
        <v>0</v>
      </c>
      <c r="I193" s="175">
        <f t="shared" si="14"/>
        <v>0</v>
      </c>
      <c r="J193" s="36">
        <f t="shared" si="13"/>
        <v>37.509903216611924</v>
      </c>
    </row>
    <row r="194" spans="1:10" x14ac:dyDescent="0.25">
      <c r="A194" s="53">
        <f>'A) Base RI'!A196</f>
        <v>5712</v>
      </c>
      <c r="B194" s="116" t="str">
        <f>'A) Base RI'!B196</f>
        <v>Coppet</v>
      </c>
      <c r="C194" s="127">
        <f>'B) D RI'!U196</f>
        <v>316866.86955974839</v>
      </c>
      <c r="D194" s="168">
        <f>'E) Fact soc'!G200/C194</f>
        <v>27.122482628884864</v>
      </c>
      <c r="E194" s="159">
        <f>'H) Péréquation directe'!I205/C194</f>
        <v>12.038384569124139</v>
      </c>
      <c r="F194" s="206">
        <f>+'I) Dépenses thématiques'!O194/C194</f>
        <v>0</v>
      </c>
      <c r="G194" s="168">
        <f t="shared" si="15"/>
        <v>39.160867198009001</v>
      </c>
      <c r="H194" s="130">
        <f t="shared" si="12"/>
        <v>0</v>
      </c>
      <c r="I194" s="175">
        <f t="shared" si="14"/>
        <v>0</v>
      </c>
      <c r="J194" s="36">
        <f t="shared" si="13"/>
        <v>39.160867198009001</v>
      </c>
    </row>
    <row r="195" spans="1:10" x14ac:dyDescent="0.25">
      <c r="A195" s="53">
        <f>'A) Base RI'!A197</f>
        <v>5713</v>
      </c>
      <c r="B195" s="116" t="str">
        <f>'A) Base RI'!B197</f>
        <v>Crans-près-Céligny</v>
      </c>
      <c r="C195" s="127">
        <f>'B) D RI'!U197</f>
        <v>229285.72754716981</v>
      </c>
      <c r="D195" s="168">
        <f>'E) Fact soc'!G201/C195</f>
        <v>26.994001013161352</v>
      </c>
      <c r="E195" s="159">
        <f>'H) Péréquation directe'!I206/C195</f>
        <v>12.233990046046689</v>
      </c>
      <c r="F195" s="206">
        <f>+'I) Dépenses thématiques'!O195/C195</f>
        <v>-0.7748750274533962</v>
      </c>
      <c r="G195" s="168">
        <f t="shared" si="15"/>
        <v>38.453116031754639</v>
      </c>
      <c r="H195" s="130">
        <f t="shared" si="12"/>
        <v>0</v>
      </c>
      <c r="I195" s="175">
        <f t="shared" si="14"/>
        <v>0</v>
      </c>
      <c r="J195" s="36">
        <f t="shared" si="13"/>
        <v>38.453116031754639</v>
      </c>
    </row>
    <row r="196" spans="1:10" x14ac:dyDescent="0.25">
      <c r="A196" s="53">
        <f>'A) Base RI'!A198</f>
        <v>5714</v>
      </c>
      <c r="B196" s="116" t="str">
        <f>'A) Base RI'!B198</f>
        <v>Crassier</v>
      </c>
      <c r="C196" s="127">
        <f>'B) D RI'!U198</f>
        <v>82427.7421875</v>
      </c>
      <c r="D196" s="168">
        <f>'E) Fact soc'!G202/C196</f>
        <v>20.301286987079436</v>
      </c>
      <c r="E196" s="159">
        <f>'H) Péréquation directe'!I207/C196</f>
        <v>15.28426607964011</v>
      </c>
      <c r="F196" s="206">
        <f>+'I) Dépenses thématiques'!O196/C196</f>
        <v>0</v>
      </c>
      <c r="G196" s="168">
        <f t="shared" si="15"/>
        <v>35.585553066719548</v>
      </c>
      <c r="H196" s="130">
        <f t="shared" si="12"/>
        <v>0</v>
      </c>
      <c r="I196" s="175">
        <f t="shared" si="14"/>
        <v>0</v>
      </c>
      <c r="J196" s="36">
        <f t="shared" si="13"/>
        <v>35.585553066719548</v>
      </c>
    </row>
    <row r="197" spans="1:10" x14ac:dyDescent="0.25">
      <c r="A197" s="53">
        <f>'A) Base RI'!A199</f>
        <v>5715</v>
      </c>
      <c r="B197" s="116" t="str">
        <f>'A) Base RI'!B199</f>
        <v>Duillier</v>
      </c>
      <c r="C197" s="127">
        <f>'B) D RI'!U199</f>
        <v>64112.353030303027</v>
      </c>
      <c r="D197" s="168">
        <f>'E) Fact soc'!G203/C197</f>
        <v>19.426257557092747</v>
      </c>
      <c r="E197" s="159">
        <f>'H) Péréquation directe'!I208/C197</f>
        <v>16.203295379355229</v>
      </c>
      <c r="F197" s="206">
        <f>+'I) Dépenses thématiques'!O197/C197</f>
        <v>-4.2040753873958329E-2</v>
      </c>
      <c r="G197" s="168">
        <f t="shared" si="15"/>
        <v>35.587512182574024</v>
      </c>
      <c r="H197" s="130">
        <f t="shared" si="12"/>
        <v>0</v>
      </c>
      <c r="I197" s="175">
        <f t="shared" si="14"/>
        <v>0</v>
      </c>
      <c r="J197" s="36">
        <f t="shared" si="13"/>
        <v>35.587512182574024</v>
      </c>
    </row>
    <row r="198" spans="1:10" x14ac:dyDescent="0.25">
      <c r="A198" s="53">
        <f>'A) Base RI'!A200</f>
        <v>5716</v>
      </c>
      <c r="B198" s="116" t="str">
        <f>'A) Base RI'!B200</f>
        <v>Eysins</v>
      </c>
      <c r="C198" s="127">
        <f>'B) D RI'!U200</f>
        <v>93259.046229508182</v>
      </c>
      <c r="D198" s="168">
        <f>'E) Fact soc'!G204/C198</f>
        <v>24.565848377394055</v>
      </c>
      <c r="E198" s="159">
        <f>'H) Péréquation directe'!I209/C198</f>
        <v>14.992421910725358</v>
      </c>
      <c r="F198" s="206">
        <f>+'I) Dépenses thématiques'!O198/C198</f>
        <v>0</v>
      </c>
      <c r="G198" s="168">
        <f t="shared" si="15"/>
        <v>39.558270288119417</v>
      </c>
      <c r="H198" s="130">
        <f t="shared" si="12"/>
        <v>0</v>
      </c>
      <c r="I198" s="175">
        <f t="shared" si="14"/>
        <v>0</v>
      </c>
      <c r="J198" s="36">
        <f t="shared" si="13"/>
        <v>39.558270288119417</v>
      </c>
    </row>
    <row r="199" spans="1:10" x14ac:dyDescent="0.25">
      <c r="A199" s="53">
        <f>'A) Base RI'!A201</f>
        <v>5717</v>
      </c>
      <c r="B199" s="116" t="str">
        <f>'A) Base RI'!B201</f>
        <v>Founex</v>
      </c>
      <c r="C199" s="127">
        <f>'B) D RI'!U201</f>
        <v>359686.500877193</v>
      </c>
      <c r="D199" s="168">
        <f>'E) Fact soc'!G205/C199</f>
        <v>25.950511114486876</v>
      </c>
      <c r="E199" s="159">
        <f>'H) Péréquation directe'!I210/C199</f>
        <v>11.842473253197012</v>
      </c>
      <c r="F199" s="206">
        <f>+'I) Dépenses thématiques'!O199/C199</f>
        <v>0</v>
      </c>
      <c r="G199" s="168">
        <f t="shared" si="15"/>
        <v>37.792984367683886</v>
      </c>
      <c r="H199" s="130">
        <f t="shared" si="12"/>
        <v>0</v>
      </c>
      <c r="I199" s="175">
        <f t="shared" si="14"/>
        <v>0</v>
      </c>
      <c r="J199" s="36">
        <f t="shared" si="13"/>
        <v>37.792984367683886</v>
      </c>
    </row>
    <row r="200" spans="1:10" x14ac:dyDescent="0.25">
      <c r="A200" s="53">
        <f>'A) Base RI'!A202</f>
        <v>5718</v>
      </c>
      <c r="B200" s="116" t="str">
        <f>'A) Base RI'!B202</f>
        <v>Genolier</v>
      </c>
      <c r="C200" s="127">
        <f>'B) D RI'!U202</f>
        <v>194551.61054545455</v>
      </c>
      <c r="D200" s="168">
        <f>'E) Fact soc'!G206/C200</f>
        <v>26.184165874532841</v>
      </c>
      <c r="E200" s="159">
        <f>'H) Péréquation directe'!I211/C200</f>
        <v>12.679305170135757</v>
      </c>
      <c r="F200" s="206">
        <f>+'I) Dépenses thématiques'!O200/C200</f>
        <v>0</v>
      </c>
      <c r="G200" s="168">
        <f t="shared" si="15"/>
        <v>38.8634710446686</v>
      </c>
      <c r="H200" s="130">
        <f t="shared" si="12"/>
        <v>0</v>
      </c>
      <c r="I200" s="175">
        <f t="shared" si="14"/>
        <v>0</v>
      </c>
      <c r="J200" s="36">
        <f t="shared" si="13"/>
        <v>38.8634710446686</v>
      </c>
    </row>
    <row r="201" spans="1:10" x14ac:dyDescent="0.25">
      <c r="A201" s="53">
        <f>'A) Base RI'!A203</f>
        <v>5719</v>
      </c>
      <c r="B201" s="116" t="str">
        <f>'A) Base RI'!B203</f>
        <v>Gingins</v>
      </c>
      <c r="C201" s="127">
        <f>'B) D RI'!U203</f>
        <v>90011.711578947361</v>
      </c>
      <c r="D201" s="168">
        <f>'E) Fact soc'!G207/C201</f>
        <v>24.623645630425912</v>
      </c>
      <c r="E201" s="159">
        <f>'H) Péréquation directe'!I212/C201</f>
        <v>14.881721553699471</v>
      </c>
      <c r="F201" s="206">
        <f>+'I) Dépenses thématiques'!O201/C201</f>
        <v>0</v>
      </c>
      <c r="G201" s="168">
        <f t="shared" si="15"/>
        <v>39.505367184125383</v>
      </c>
      <c r="H201" s="130">
        <f t="shared" si="12"/>
        <v>0</v>
      </c>
      <c r="I201" s="175">
        <f t="shared" si="14"/>
        <v>0</v>
      </c>
      <c r="J201" s="36">
        <f t="shared" si="13"/>
        <v>39.505367184125383</v>
      </c>
    </row>
    <row r="202" spans="1:10" x14ac:dyDescent="0.25">
      <c r="A202" s="53">
        <f>'A) Base RI'!A204</f>
        <v>5720</v>
      </c>
      <c r="B202" s="116" t="str">
        <f>'A) Base RI'!B204</f>
        <v>Givrins</v>
      </c>
      <c r="C202" s="127">
        <f>'B) D RI'!U204</f>
        <v>73631.281876138426</v>
      </c>
      <c r="D202" s="168">
        <f>'E) Fact soc'!G208/C202</f>
        <v>20.771092535428629</v>
      </c>
      <c r="E202" s="159">
        <f>'H) Péréquation directe'!I213/C202</f>
        <v>15.539657476497094</v>
      </c>
      <c r="F202" s="206">
        <f>+'I) Dépenses thématiques'!O202/C202</f>
        <v>-0.16226692216092461</v>
      </c>
      <c r="G202" s="168">
        <f t="shared" si="15"/>
        <v>36.148483089764795</v>
      </c>
      <c r="H202" s="130">
        <f t="shared" si="12"/>
        <v>0</v>
      </c>
      <c r="I202" s="175">
        <f t="shared" si="14"/>
        <v>0</v>
      </c>
      <c r="J202" s="36">
        <f t="shared" si="13"/>
        <v>36.148483089764795</v>
      </c>
    </row>
    <row r="203" spans="1:10" x14ac:dyDescent="0.25">
      <c r="A203" s="53">
        <f>'A) Base RI'!A205</f>
        <v>5721</v>
      </c>
      <c r="B203" s="116" t="str">
        <f>'A) Base RI'!B205</f>
        <v>Gland</v>
      </c>
      <c r="C203" s="127">
        <f>'B) D RI'!U205</f>
        <v>541149.08192000003</v>
      </c>
      <c r="D203" s="168">
        <f>'E) Fact soc'!G209/C203</f>
        <v>16.03208174208174</v>
      </c>
      <c r="E203" s="159">
        <f>'H) Péréquation directe'!I214/C203</f>
        <v>4.0429659625964351</v>
      </c>
      <c r="F203" s="206">
        <f>+'I) Dépenses thématiques'!O203/C203</f>
        <v>0</v>
      </c>
      <c r="G203" s="168">
        <f t="shared" si="15"/>
        <v>20.075047704678177</v>
      </c>
      <c r="H203" s="130">
        <f t="shared" si="12"/>
        <v>0</v>
      </c>
      <c r="I203" s="175">
        <f t="shared" si="14"/>
        <v>0</v>
      </c>
      <c r="J203" s="36">
        <f t="shared" si="13"/>
        <v>20.075047704678177</v>
      </c>
    </row>
    <row r="204" spans="1:10" x14ac:dyDescent="0.25">
      <c r="A204" s="53">
        <f>'A) Base RI'!A206</f>
        <v>5722</v>
      </c>
      <c r="B204" s="116" t="str">
        <f>'A) Base RI'!B206</f>
        <v>Grens</v>
      </c>
      <c r="C204" s="127">
        <f>'B) D RI'!U206</f>
        <v>20499.342258064513</v>
      </c>
      <c r="D204" s="168">
        <f>'E) Fact soc'!G210/C204</f>
        <v>23.841780901567375</v>
      </c>
      <c r="E204" s="159">
        <f>'H) Péréquation directe'!I215/C204</f>
        <v>16.746045987603949</v>
      </c>
      <c r="F204" s="206">
        <f>+'I) Dépenses thématiques'!O204/C204</f>
        <v>0</v>
      </c>
      <c r="G204" s="168">
        <f t="shared" si="15"/>
        <v>40.587826889171325</v>
      </c>
      <c r="H204" s="130">
        <f t="shared" si="12"/>
        <v>0</v>
      </c>
      <c r="I204" s="175">
        <f t="shared" si="14"/>
        <v>0</v>
      </c>
      <c r="J204" s="36">
        <f t="shared" si="13"/>
        <v>40.587826889171325</v>
      </c>
    </row>
    <row r="205" spans="1:10" x14ac:dyDescent="0.25">
      <c r="A205" s="53">
        <f>'A) Base RI'!A207</f>
        <v>5723</v>
      </c>
      <c r="B205" s="116" t="str">
        <f>'A) Base RI'!B207</f>
        <v>Mies</v>
      </c>
      <c r="C205" s="127">
        <f>'B) D RI'!U207</f>
        <v>621558.82755102031</v>
      </c>
      <c r="D205" s="168">
        <f>'E) Fact soc'!G211/C205</f>
        <v>33.861602600220188</v>
      </c>
      <c r="E205" s="159">
        <f>'H) Péréquation directe'!I216/C205</f>
        <v>8.4169152474947104</v>
      </c>
      <c r="F205" s="206">
        <f>+'I) Dépenses thématiques'!O205/C205</f>
        <v>0</v>
      </c>
      <c r="G205" s="168">
        <f>SUM(D205:F205)</f>
        <v>42.278517847714895</v>
      </c>
      <c r="H205" s="130">
        <f t="shared" si="12"/>
        <v>0</v>
      </c>
      <c r="I205" s="175">
        <f>H205*C205</f>
        <v>0</v>
      </c>
      <c r="J205" s="36">
        <f t="shared" si="13"/>
        <v>42.278517847714895</v>
      </c>
    </row>
    <row r="206" spans="1:10" x14ac:dyDescent="0.25">
      <c r="A206" s="53">
        <f>'A) Base RI'!A208</f>
        <v>5724</v>
      </c>
      <c r="B206" s="116" t="str">
        <f>'A) Base RI'!B208</f>
        <v>Nyon</v>
      </c>
      <c r="C206" s="127">
        <f>'B) D RI'!U208</f>
        <v>1418675.3806683479</v>
      </c>
      <c r="D206" s="168">
        <f>'E) Fact soc'!G212/C206</f>
        <v>22.051325004464434</v>
      </c>
      <c r="E206" s="159">
        <f>'H) Péréquation directe'!I217/C206</f>
        <v>6.6975024149944264</v>
      </c>
      <c r="F206" s="206">
        <f>+'I) Dépenses thématiques'!O206/C206</f>
        <v>-6.4502785524777145E-2</v>
      </c>
      <c r="G206" s="168">
        <f t="shared" si="15"/>
        <v>28.684324633934086</v>
      </c>
      <c r="H206" s="130">
        <f t="shared" si="12"/>
        <v>0</v>
      </c>
      <c r="I206" s="175">
        <f t="shared" si="14"/>
        <v>0</v>
      </c>
      <c r="J206" s="36">
        <f t="shared" si="13"/>
        <v>28.684324633934086</v>
      </c>
    </row>
    <row r="207" spans="1:10" x14ac:dyDescent="0.25">
      <c r="A207" s="53">
        <f>'A) Base RI'!A209</f>
        <v>5725</v>
      </c>
      <c r="B207" s="116" t="str">
        <f>'A) Base RI'!B209</f>
        <v>Prangins</v>
      </c>
      <c r="C207" s="127">
        <f>'B) D RI'!U209</f>
        <v>319840.55765306117</v>
      </c>
      <c r="D207" s="168">
        <f>'E) Fact soc'!G213/C207</f>
        <v>22.182721389812489</v>
      </c>
      <c r="E207" s="159">
        <f>'H) Péréquation directe'!I218/C207</f>
        <v>12.329072530102128</v>
      </c>
      <c r="F207" s="206">
        <f>+'I) Dépenses thématiques'!O207/C207</f>
        <v>0</v>
      </c>
      <c r="G207" s="168">
        <f t="shared" si="15"/>
        <v>34.511793919914616</v>
      </c>
      <c r="H207" s="130">
        <f t="shared" si="12"/>
        <v>0</v>
      </c>
      <c r="I207" s="175">
        <f t="shared" si="14"/>
        <v>0</v>
      </c>
      <c r="J207" s="36">
        <f t="shared" si="13"/>
        <v>34.511793919914616</v>
      </c>
    </row>
    <row r="208" spans="1:10" x14ac:dyDescent="0.25">
      <c r="A208" s="53">
        <f>'A) Base RI'!A210</f>
        <v>5726</v>
      </c>
      <c r="B208" s="116" t="str">
        <f>'A) Base RI'!B210</f>
        <v>La Rippe</v>
      </c>
      <c r="C208" s="127">
        <f>'B) D RI'!U210</f>
        <v>62420.845692307696</v>
      </c>
      <c r="D208" s="168">
        <f>'E) Fact soc'!G214/C208</f>
        <v>16.601817930969283</v>
      </c>
      <c r="E208" s="159">
        <f>'H) Péréquation directe'!I219/C208</f>
        <v>16.316386313951892</v>
      </c>
      <c r="F208" s="206">
        <f>+'I) Dépenses thématiques'!O208/C208</f>
        <v>-0.63424314783200797</v>
      </c>
      <c r="G208" s="168">
        <f t="shared" si="15"/>
        <v>32.283961097089161</v>
      </c>
      <c r="H208" s="130">
        <f t="shared" si="12"/>
        <v>0</v>
      </c>
      <c r="I208" s="175">
        <f t="shared" si="14"/>
        <v>0</v>
      </c>
      <c r="J208" s="36">
        <f t="shared" si="13"/>
        <v>32.283961097089161</v>
      </c>
    </row>
    <row r="209" spans="1:10" x14ac:dyDescent="0.25">
      <c r="A209" s="53">
        <f>'A) Base RI'!A211</f>
        <v>5727</v>
      </c>
      <c r="B209" s="116" t="str">
        <f>'A) Base RI'!B211</f>
        <v>Saint-Cergue</v>
      </c>
      <c r="C209" s="127">
        <f>'B) D RI'!U211</f>
        <v>94126.01979797981</v>
      </c>
      <c r="D209" s="168">
        <f>'E) Fact soc'!G215/C209</f>
        <v>18.539405181805538</v>
      </c>
      <c r="E209" s="159">
        <f>'H) Péréquation directe'!I220/C209</f>
        <v>9.2574152353374846</v>
      </c>
      <c r="F209" s="206">
        <f>+'I) Dépenses thématiques'!O209/C209</f>
        <v>-2.4629168345991617</v>
      </c>
      <c r="G209" s="168">
        <f t="shared" si="15"/>
        <v>25.333903582543861</v>
      </c>
      <c r="H209" s="130">
        <f t="shared" si="12"/>
        <v>0</v>
      </c>
      <c r="I209" s="175">
        <f t="shared" si="14"/>
        <v>0</v>
      </c>
      <c r="J209" s="36">
        <f t="shared" si="13"/>
        <v>25.333903582543861</v>
      </c>
    </row>
    <row r="210" spans="1:10" x14ac:dyDescent="0.25">
      <c r="A210" s="53">
        <f>'A) Base RI'!A212</f>
        <v>5728</v>
      </c>
      <c r="B210" s="116" t="str">
        <f>'A) Base RI'!B212</f>
        <v>Signy-Avenex</v>
      </c>
      <c r="C210" s="127">
        <f>'B) D RI'!U212</f>
        <v>33547.613749999997</v>
      </c>
      <c r="D210" s="168">
        <f>'E) Fact soc'!G216/C210</f>
        <v>23.478520239443217</v>
      </c>
      <c r="E210" s="159">
        <f>'H) Péréquation directe'!I221/C210</f>
        <v>16.125458316670532</v>
      </c>
      <c r="F210" s="206">
        <f>+'I) Dépenses thématiques'!O210/C210</f>
        <v>0</v>
      </c>
      <c r="G210" s="168">
        <f t="shared" si="15"/>
        <v>39.603978556113745</v>
      </c>
      <c r="H210" s="130">
        <f t="shared" si="12"/>
        <v>0</v>
      </c>
      <c r="I210" s="175">
        <f t="shared" si="14"/>
        <v>0</v>
      </c>
      <c r="J210" s="36">
        <f t="shared" si="13"/>
        <v>39.603978556113745</v>
      </c>
    </row>
    <row r="211" spans="1:10" x14ac:dyDescent="0.25">
      <c r="A211" s="53">
        <f>'A) Base RI'!A213</f>
        <v>5729</v>
      </c>
      <c r="B211" s="116" t="str">
        <f>'A) Base RI'!B213</f>
        <v>Tannay</v>
      </c>
      <c r="C211" s="127">
        <f>'B) D RI'!U213</f>
        <v>141635.67650273221</v>
      </c>
      <c r="D211" s="168">
        <f>'E) Fact soc'!G217/C211</f>
        <v>25.016010829736427</v>
      </c>
      <c r="E211" s="159">
        <f>'H) Péréquation directe'!I222/C211</f>
        <v>13.271273194364834</v>
      </c>
      <c r="F211" s="206">
        <f>+'I) Dépenses thématiques'!O211/C211</f>
        <v>0</v>
      </c>
      <c r="G211" s="168">
        <f t="shared" si="15"/>
        <v>38.287284024101261</v>
      </c>
      <c r="H211" s="130">
        <f t="shared" si="12"/>
        <v>0</v>
      </c>
      <c r="I211" s="175">
        <f t="shared" si="14"/>
        <v>0</v>
      </c>
      <c r="J211" s="36">
        <f t="shared" si="13"/>
        <v>38.287284024101261</v>
      </c>
    </row>
    <row r="212" spans="1:10" x14ac:dyDescent="0.25">
      <c r="A212" s="53">
        <f>'A) Base RI'!A214</f>
        <v>5730</v>
      </c>
      <c r="B212" s="116" t="str">
        <f>'A) Base RI'!B214</f>
        <v>Trélex</v>
      </c>
      <c r="C212" s="127">
        <f>'B) D RI'!U214</f>
        <v>125167.38524366473</v>
      </c>
      <c r="D212" s="168">
        <f>'E) Fact soc'!G218/C212</f>
        <v>22.48628217615142</v>
      </c>
      <c r="E212" s="159">
        <f>'H) Péréquation directe'!I223/C212</f>
        <v>13.7963558946653</v>
      </c>
      <c r="F212" s="206">
        <f>+'I) Dépenses thématiques'!O212/C212</f>
        <v>0</v>
      </c>
      <c r="G212" s="168">
        <f t="shared" si="15"/>
        <v>36.282638070816716</v>
      </c>
      <c r="H212" s="130">
        <f t="shared" si="12"/>
        <v>0</v>
      </c>
      <c r="I212" s="175">
        <f t="shared" si="14"/>
        <v>0</v>
      </c>
      <c r="J212" s="36">
        <f t="shared" si="13"/>
        <v>36.282638070816716</v>
      </c>
    </row>
    <row r="213" spans="1:10" x14ac:dyDescent="0.25">
      <c r="A213" s="53">
        <f>'A) Base RI'!A215</f>
        <v>5731</v>
      </c>
      <c r="B213" s="116" t="str">
        <f>'A) Base RI'!B215</f>
        <v>Le Vaud</v>
      </c>
      <c r="C213" s="127">
        <f>'B) D RI'!U215</f>
        <v>47266.974133333322</v>
      </c>
      <c r="D213" s="168">
        <f>'E) Fact soc'!G219/C213</f>
        <v>17.623898463312383</v>
      </c>
      <c r="E213" s="159">
        <f>'H) Péréquation directe'!I224/C213</f>
        <v>10.631132791437432</v>
      </c>
      <c r="F213" s="206">
        <f>+'I) Dépenses thématiques'!O213/C213</f>
        <v>-2.1816350330721379</v>
      </c>
      <c r="G213" s="168">
        <f t="shared" si="15"/>
        <v>26.07339622167768</v>
      </c>
      <c r="H213" s="130">
        <f t="shared" si="12"/>
        <v>0</v>
      </c>
      <c r="I213" s="175">
        <f t="shared" si="14"/>
        <v>0</v>
      </c>
      <c r="J213" s="36">
        <f t="shared" si="13"/>
        <v>26.07339622167768</v>
      </c>
    </row>
    <row r="214" spans="1:10" x14ac:dyDescent="0.25">
      <c r="A214" s="53">
        <f>'A) Base RI'!A216</f>
        <v>5732</v>
      </c>
      <c r="B214" s="116" t="str">
        <f>'A) Base RI'!B216</f>
        <v>Vich</v>
      </c>
      <c r="C214" s="127">
        <f>'B) D RI'!U216</f>
        <v>76343.818235294122</v>
      </c>
      <c r="D214" s="168">
        <f>'E) Fact soc'!G220/C214</f>
        <v>23.286693328248596</v>
      </c>
      <c r="E214" s="159">
        <f>'H) Péréquation directe'!I225/C214</f>
        <v>15.120103135201772</v>
      </c>
      <c r="F214" s="206">
        <f>+'I) Dépenses thématiques'!O214/C214</f>
        <v>0</v>
      </c>
      <c r="G214" s="168">
        <f t="shared" si="15"/>
        <v>38.40679646345037</v>
      </c>
      <c r="H214" s="130">
        <f t="shared" si="12"/>
        <v>0</v>
      </c>
      <c r="I214" s="175">
        <f t="shared" si="14"/>
        <v>0</v>
      </c>
      <c r="J214" s="36">
        <f t="shared" si="13"/>
        <v>38.40679646345037</v>
      </c>
    </row>
    <row r="215" spans="1:10" x14ac:dyDescent="0.25">
      <c r="A215" s="53">
        <f>'A) Base RI'!A217</f>
        <v>5741</v>
      </c>
      <c r="B215" s="116" t="str">
        <f>'A) Base RI'!B217</f>
        <v>L'Abergement</v>
      </c>
      <c r="C215" s="127">
        <f>'B) D RI'!U217</f>
        <v>6474.3855761316872</v>
      </c>
      <c r="D215" s="168">
        <f>'E) Fact soc'!G221/C215</f>
        <v>17.668027985849069</v>
      </c>
      <c r="E215" s="159">
        <f>'H) Péréquation directe'!I226/C215</f>
        <v>-1.7346830577049195</v>
      </c>
      <c r="F215" s="206">
        <f>+'I) Dépenses thématiques'!O215/C215</f>
        <v>-9.5586382704906327</v>
      </c>
      <c r="G215" s="168">
        <f t="shared" si="15"/>
        <v>6.3747066576535154</v>
      </c>
      <c r="H215" s="130">
        <f t="shared" si="12"/>
        <v>0</v>
      </c>
      <c r="I215" s="175">
        <f t="shared" si="14"/>
        <v>0</v>
      </c>
      <c r="J215" s="36">
        <f t="shared" si="13"/>
        <v>6.3747066576535154</v>
      </c>
    </row>
    <row r="216" spans="1:10" x14ac:dyDescent="0.25">
      <c r="A216" s="53">
        <f>'A) Base RI'!A218</f>
        <v>5742</v>
      </c>
      <c r="B216" s="116" t="str">
        <f>'A) Base RI'!B218</f>
        <v>Agiez</v>
      </c>
      <c r="C216" s="127">
        <f>'B) D RI'!U218</f>
        <v>8406.0221052631568</v>
      </c>
      <c r="D216" s="168">
        <f>'E) Fact soc'!G222/C216</f>
        <v>20.389722503348324</v>
      </c>
      <c r="E216" s="159">
        <f>'H) Péréquation directe'!I227/C216</f>
        <v>2.7271328986293293</v>
      </c>
      <c r="F216" s="206">
        <f>+'I) Dépenses thématiques'!O216/C216</f>
        <v>-2.7232489048953514</v>
      </c>
      <c r="G216" s="168">
        <f t="shared" si="15"/>
        <v>20.393606497082303</v>
      </c>
      <c r="H216" s="130">
        <f t="shared" si="12"/>
        <v>0</v>
      </c>
      <c r="I216" s="175">
        <f t="shared" si="14"/>
        <v>0</v>
      </c>
      <c r="J216" s="36">
        <f t="shared" si="13"/>
        <v>20.393606497082303</v>
      </c>
    </row>
    <row r="217" spans="1:10" x14ac:dyDescent="0.25">
      <c r="A217" s="53">
        <f>'A) Base RI'!A219</f>
        <v>5743</v>
      </c>
      <c r="B217" s="116" t="str">
        <f>'A) Base RI'!B219</f>
        <v>Arnex-sur-Orbe</v>
      </c>
      <c r="C217" s="127">
        <f>'B) D RI'!U219</f>
        <v>16157.310890410963</v>
      </c>
      <c r="D217" s="168">
        <f>'E) Fact soc'!G223/C217</f>
        <v>16.062546068802046</v>
      </c>
      <c r="E217" s="159">
        <f>'H) Péréquation directe'!I228/C217</f>
        <v>-0.73366806325260536</v>
      </c>
      <c r="F217" s="206">
        <f>+'I) Dépenses thématiques'!O217/C217</f>
        <v>-6.2908109451000485</v>
      </c>
      <c r="G217" s="168">
        <f t="shared" si="15"/>
        <v>9.0380670604493929</v>
      </c>
      <c r="H217" s="130">
        <f t="shared" si="12"/>
        <v>0</v>
      </c>
      <c r="I217" s="175">
        <f t="shared" si="14"/>
        <v>0</v>
      </c>
      <c r="J217" s="36">
        <f t="shared" si="13"/>
        <v>9.0380670604493929</v>
      </c>
    </row>
    <row r="218" spans="1:10" x14ac:dyDescent="0.25">
      <c r="A218" s="53">
        <f>'A) Base RI'!A220</f>
        <v>5744</v>
      </c>
      <c r="B218" s="116" t="str">
        <f>'A) Base RI'!B220</f>
        <v>Ballaigues</v>
      </c>
      <c r="C218" s="127">
        <f>'B) D RI'!U220</f>
        <v>67876.800151515155</v>
      </c>
      <c r="D218" s="168">
        <f>'E) Fact soc'!G224/C218</f>
        <v>23.399373615730418</v>
      </c>
      <c r="E218" s="159">
        <f>'H) Péréquation directe'!I229/C218</f>
        <v>15.990514755432297</v>
      </c>
      <c r="F218" s="206">
        <f>+'I) Dépenses thématiques'!O218/C218</f>
        <v>-4.2723728518895925</v>
      </c>
      <c r="G218" s="168">
        <f t="shared" si="15"/>
        <v>35.11751551927312</v>
      </c>
      <c r="H218" s="130">
        <f t="shared" si="12"/>
        <v>0</v>
      </c>
      <c r="I218" s="175">
        <f t="shared" si="14"/>
        <v>0</v>
      </c>
      <c r="J218" s="36">
        <f t="shared" si="13"/>
        <v>35.11751551927312</v>
      </c>
    </row>
    <row r="219" spans="1:10" x14ac:dyDescent="0.25">
      <c r="A219" s="53">
        <f>'A) Base RI'!A221</f>
        <v>5745</v>
      </c>
      <c r="B219" s="116" t="str">
        <f>'A) Base RI'!B221</f>
        <v>Baulmes</v>
      </c>
      <c r="C219" s="127">
        <f>'B) D RI'!U221</f>
        <v>26708.244230769233</v>
      </c>
      <c r="D219" s="168">
        <f>'E) Fact soc'!G225/C219</f>
        <v>17.780693128521907</v>
      </c>
      <c r="E219" s="159">
        <f>'H) Péréquation directe'!I230/C219</f>
        <v>-3.8795578847757599</v>
      </c>
      <c r="F219" s="206">
        <f>+'I) Dépenses thématiques'!O219/C219</f>
        <v>-12.507443990302388</v>
      </c>
      <c r="G219" s="168">
        <f t="shared" si="15"/>
        <v>1.3936912534437589</v>
      </c>
      <c r="H219" s="130">
        <f t="shared" si="12"/>
        <v>0</v>
      </c>
      <c r="I219" s="175">
        <f t="shared" si="14"/>
        <v>0</v>
      </c>
      <c r="J219" s="36">
        <f t="shared" si="13"/>
        <v>1.3936912534437589</v>
      </c>
    </row>
    <row r="220" spans="1:10" x14ac:dyDescent="0.25">
      <c r="A220" s="53">
        <f>'A) Base RI'!A222</f>
        <v>5746</v>
      </c>
      <c r="B220" s="116" t="str">
        <f>'A) Base RI'!B222</f>
        <v>Bavois</v>
      </c>
      <c r="C220" s="127">
        <f>'B) D RI'!U222</f>
        <v>26575.73502283105</v>
      </c>
      <c r="D220" s="168">
        <f>'E) Fact soc'!G226/C220</f>
        <v>16.810511781884699</v>
      </c>
      <c r="E220" s="159">
        <f>'H) Péréquation directe'!I231/C220</f>
        <v>3.1914089854875201</v>
      </c>
      <c r="F220" s="206">
        <f>+'I) Dépenses thématiques'!O220/C220</f>
        <v>-7.9483730256317751</v>
      </c>
      <c r="G220" s="168">
        <f t="shared" si="15"/>
        <v>12.053547741740445</v>
      </c>
      <c r="H220" s="130">
        <f t="shared" si="12"/>
        <v>0</v>
      </c>
      <c r="I220" s="175">
        <f t="shared" si="14"/>
        <v>0</v>
      </c>
      <c r="J220" s="36">
        <f t="shared" si="13"/>
        <v>12.053547741740445</v>
      </c>
    </row>
    <row r="221" spans="1:10" x14ac:dyDescent="0.25">
      <c r="A221" s="53">
        <f>'A) Base RI'!A223</f>
        <v>5747</v>
      </c>
      <c r="B221" s="116" t="str">
        <f>'A) Base RI'!B223</f>
        <v>Bofflens</v>
      </c>
      <c r="C221" s="127">
        <f>'B) D RI'!U223</f>
        <v>5307.8250724637683</v>
      </c>
      <c r="D221" s="168">
        <f>'E) Fact soc'!G227/C221</f>
        <v>16.064695268826668</v>
      </c>
      <c r="E221" s="159">
        <f>'H) Péréquation directe'!I232/C221</f>
        <v>4.3770852728450445</v>
      </c>
      <c r="F221" s="206">
        <f>+'I) Dépenses thématiques'!O221/C221</f>
        <v>-1.4321524776063375</v>
      </c>
      <c r="G221" s="168">
        <f t="shared" si="15"/>
        <v>19.009628064065375</v>
      </c>
      <c r="H221" s="130">
        <f t="shared" si="12"/>
        <v>0</v>
      </c>
      <c r="I221" s="175">
        <f t="shared" si="14"/>
        <v>0</v>
      </c>
      <c r="J221" s="36">
        <f t="shared" si="13"/>
        <v>19.009628064065375</v>
      </c>
    </row>
    <row r="222" spans="1:10" x14ac:dyDescent="0.25">
      <c r="A222" s="53">
        <f>'A) Base RI'!A224</f>
        <v>5748</v>
      </c>
      <c r="B222" s="116" t="str">
        <f>'A) Base RI'!B224</f>
        <v>Bretonnières</v>
      </c>
      <c r="C222" s="127">
        <f>'B) D RI'!U224</f>
        <v>7260.9913888888877</v>
      </c>
      <c r="D222" s="168">
        <f>'E) Fact soc'!G228/C222</f>
        <v>18.385883542011157</v>
      </c>
      <c r="E222" s="159">
        <f>'H) Péréquation directe'!I233/C222</f>
        <v>3.3129971800980296</v>
      </c>
      <c r="F222" s="206">
        <f>+'I) Dépenses thématiques'!O222/C222</f>
        <v>-8.7330174043866045</v>
      </c>
      <c r="G222" s="168">
        <f t="shared" si="15"/>
        <v>12.965863317722583</v>
      </c>
      <c r="H222" s="130">
        <f t="shared" si="12"/>
        <v>0</v>
      </c>
      <c r="I222" s="175">
        <f t="shared" si="14"/>
        <v>0</v>
      </c>
      <c r="J222" s="36">
        <f t="shared" si="13"/>
        <v>12.965863317722583</v>
      </c>
    </row>
    <row r="223" spans="1:10" x14ac:dyDescent="0.25">
      <c r="A223" s="53">
        <f>'A) Base RI'!A225</f>
        <v>5749</v>
      </c>
      <c r="B223" s="116" t="str">
        <f>'A) Base RI'!B225</f>
        <v>Chavornay</v>
      </c>
      <c r="C223" s="127">
        <f>'B) D RI'!U225</f>
        <v>119889.98763888891</v>
      </c>
      <c r="D223" s="168">
        <f>'E) Fact soc'!G229/C223</f>
        <v>19.33852928602743</v>
      </c>
      <c r="E223" s="159">
        <f>'H) Péréquation directe'!I234/C223</f>
        <v>-5.3307875547345462</v>
      </c>
      <c r="F223" s="206">
        <f>+'I) Dépenses thématiques'!O223/C223</f>
        <v>-3.8919463134011614</v>
      </c>
      <c r="G223" s="168">
        <f t="shared" si="15"/>
        <v>10.115795417891723</v>
      </c>
      <c r="H223" s="130">
        <f t="shared" si="12"/>
        <v>0</v>
      </c>
      <c r="I223" s="175">
        <f t="shared" si="14"/>
        <v>0</v>
      </c>
      <c r="J223" s="36">
        <f t="shared" si="13"/>
        <v>10.115795417891723</v>
      </c>
    </row>
    <row r="224" spans="1:10" x14ac:dyDescent="0.25">
      <c r="A224" s="53">
        <f>'A) Base RI'!A226</f>
        <v>5750</v>
      </c>
      <c r="B224" s="116" t="str">
        <f>'A) Base RI'!B226</f>
        <v>Les Clées</v>
      </c>
      <c r="C224" s="127">
        <f>'B) D RI'!U226</f>
        <v>4790.0727916666665</v>
      </c>
      <c r="D224" s="168">
        <f>'E) Fact soc'!G230/C224</f>
        <v>17.016514169768389</v>
      </c>
      <c r="E224" s="159">
        <f>'H) Péréquation directe'!I235/C224</f>
        <v>-0.92594065468095654</v>
      </c>
      <c r="F224" s="206">
        <f>+'I) Dépenses thématiques'!O224/C224</f>
        <v>-9.2368878669710082</v>
      </c>
      <c r="G224" s="168">
        <f t="shared" si="15"/>
        <v>6.8536856481164232</v>
      </c>
      <c r="H224" s="130">
        <f t="shared" ref="H224:H268" si="16">IF(G224&gt;H$4,H$4-G224,0)</f>
        <v>0</v>
      </c>
      <c r="I224" s="175">
        <f t="shared" si="14"/>
        <v>0</v>
      </c>
      <c r="J224" s="36">
        <f t="shared" ref="J224:J268" si="17">G224+H224</f>
        <v>6.8536856481164232</v>
      </c>
    </row>
    <row r="225" spans="1:10" x14ac:dyDescent="0.25">
      <c r="A225" s="53">
        <f>'A) Base RI'!A227</f>
        <v>5751</v>
      </c>
      <c r="B225" s="116" t="str">
        <f>'A) Base RI'!B227</f>
        <v>Corcelles-sur-Chavornay</v>
      </c>
      <c r="C225" s="127">
        <f>'B) D RI'!U227</f>
        <v>8772.6488157894728</v>
      </c>
      <c r="D225" s="168">
        <f>'E) Fact soc'!G231/C225</f>
        <v>16.688354968032431</v>
      </c>
      <c r="E225" s="159">
        <f>'H) Péréquation directe'!I236/C225</f>
        <v>-3.4098837004845319</v>
      </c>
      <c r="F225" s="206">
        <f>+'I) Dépenses thématiques'!O225/C225</f>
        <v>-10.192688983119874</v>
      </c>
      <c r="G225" s="168">
        <f t="shared" si="15"/>
        <v>3.085782284428026</v>
      </c>
      <c r="H225" s="130">
        <f t="shared" si="16"/>
        <v>0</v>
      </c>
      <c r="I225" s="175">
        <f t="shared" si="14"/>
        <v>0</v>
      </c>
      <c r="J225" s="36">
        <f t="shared" si="17"/>
        <v>3.085782284428026</v>
      </c>
    </row>
    <row r="226" spans="1:10" x14ac:dyDescent="0.25">
      <c r="A226" s="53">
        <f>'A) Base RI'!A228</f>
        <v>5752</v>
      </c>
      <c r="B226" s="116" t="str">
        <f>'A) Base RI'!B228</f>
        <v>Croy</v>
      </c>
      <c r="C226" s="127">
        <f>'B) D RI'!U228</f>
        <v>9213.5061196911174</v>
      </c>
      <c r="D226" s="168">
        <f>'E) Fact soc'!G232/C226</f>
        <v>17.189974655470468</v>
      </c>
      <c r="E226" s="159">
        <f>'H) Péréquation directe'!I237/C226</f>
        <v>0.7326162235382041</v>
      </c>
      <c r="F226" s="206">
        <f>+'I) Dépenses thématiques'!O226/C226</f>
        <v>-42.616217156967963</v>
      </c>
      <c r="G226" s="168">
        <f t="shared" si="15"/>
        <v>-24.693626277959289</v>
      </c>
      <c r="H226" s="130">
        <f t="shared" si="16"/>
        <v>0</v>
      </c>
      <c r="I226" s="175">
        <f t="shared" ref="I226:I272" si="18">H226*C226</f>
        <v>0</v>
      </c>
      <c r="J226" s="36">
        <f t="shared" si="17"/>
        <v>-24.693626277959289</v>
      </c>
    </row>
    <row r="227" spans="1:10" x14ac:dyDescent="0.25">
      <c r="A227" s="53">
        <f>'A) Base RI'!A229</f>
        <v>5754</v>
      </c>
      <c r="B227" s="116" t="str">
        <f>'A) Base RI'!B229</f>
        <v>Juriens</v>
      </c>
      <c r="C227" s="127">
        <f>'B) D RI'!U229</f>
        <v>7202.565316455697</v>
      </c>
      <c r="D227" s="168">
        <f>'E) Fact soc'!G233/C227</f>
        <v>16.87222625100426</v>
      </c>
      <c r="E227" s="159">
        <f>'H) Péréquation directe'!I238/C227</f>
        <v>-6.7479345032450446</v>
      </c>
      <c r="F227" s="206">
        <f>+'I) Dépenses thématiques'!O227/C227</f>
        <v>-5.5404829898447332</v>
      </c>
      <c r="G227" s="168">
        <f t="shared" ref="G227:G273" si="19">SUM(D227:F227)</f>
        <v>4.5838087579144826</v>
      </c>
      <c r="H227" s="130">
        <f t="shared" si="16"/>
        <v>0</v>
      </c>
      <c r="I227" s="175">
        <f t="shared" si="18"/>
        <v>0</v>
      </c>
      <c r="J227" s="36">
        <f t="shared" si="17"/>
        <v>4.5838087579144826</v>
      </c>
    </row>
    <row r="228" spans="1:10" x14ac:dyDescent="0.25">
      <c r="A228" s="53">
        <f>'A) Base RI'!A230</f>
        <v>5755</v>
      </c>
      <c r="B228" s="116" t="str">
        <f>'A) Base RI'!B230</f>
        <v>Lignerolle</v>
      </c>
      <c r="C228" s="127">
        <f>'B) D RI'!U230</f>
        <v>9116.1979107142852</v>
      </c>
      <c r="D228" s="168">
        <f>'E) Fact soc'!G234/C228</f>
        <v>19.012327097936328</v>
      </c>
      <c r="E228" s="159">
        <f>'H) Péréquation directe'!I239/C228</f>
        <v>-10.349699215284454</v>
      </c>
      <c r="F228" s="206">
        <f>+'I) Dépenses thématiques'!O228/C228</f>
        <v>-19.71340902300286</v>
      </c>
      <c r="G228" s="168">
        <f t="shared" si="19"/>
        <v>-11.050781140350987</v>
      </c>
      <c r="H228" s="130">
        <f t="shared" si="16"/>
        <v>0</v>
      </c>
      <c r="I228" s="175">
        <f t="shared" si="18"/>
        <v>0</v>
      </c>
      <c r="J228" s="36">
        <f t="shared" si="17"/>
        <v>-11.050781140350987</v>
      </c>
    </row>
    <row r="229" spans="1:10" x14ac:dyDescent="0.25">
      <c r="A229" s="53">
        <f>'A) Base RI'!A231</f>
        <v>5756</v>
      </c>
      <c r="B229" s="116" t="str">
        <f>'A) Base RI'!B231</f>
        <v>Montcherand</v>
      </c>
      <c r="C229" s="127">
        <f>'B) D RI'!U231</f>
        <v>14643.939999999999</v>
      </c>
      <c r="D229" s="168">
        <f>'E) Fact soc'!G235/C229</f>
        <v>18.989797361574173</v>
      </c>
      <c r="E229" s="159">
        <f>'H) Péréquation directe'!I240/C229</f>
        <v>6.8610549663023397</v>
      </c>
      <c r="F229" s="206">
        <f>+'I) Dépenses thématiques'!O229/C229</f>
        <v>-3.200538290651556</v>
      </c>
      <c r="G229" s="168">
        <f t="shared" si="19"/>
        <v>22.650314037224959</v>
      </c>
      <c r="H229" s="130">
        <f t="shared" si="16"/>
        <v>0</v>
      </c>
      <c r="I229" s="175">
        <f t="shared" si="18"/>
        <v>0</v>
      </c>
      <c r="J229" s="36">
        <f t="shared" si="17"/>
        <v>22.650314037224959</v>
      </c>
    </row>
    <row r="230" spans="1:10" x14ac:dyDescent="0.25">
      <c r="A230" s="53">
        <f>'A) Base RI'!A232</f>
        <v>5757</v>
      </c>
      <c r="B230" s="116" t="str">
        <f>'A) Base RI'!B232</f>
        <v>Orbe</v>
      </c>
      <c r="C230" s="127">
        <f>'B) D RI'!U232</f>
        <v>219459.11337837842</v>
      </c>
      <c r="D230" s="168">
        <f>'E) Fact soc'!G236/C230</f>
        <v>19.40231672692051</v>
      </c>
      <c r="E230" s="159">
        <f>'H) Péréquation directe'!I241/C230</f>
        <v>-2.4310358335298594</v>
      </c>
      <c r="F230" s="206">
        <f>+'I) Dépenses thématiques'!O230/C230</f>
        <v>-6.2959074049874264</v>
      </c>
      <c r="G230" s="168">
        <f t="shared" si="19"/>
        <v>10.675373488403226</v>
      </c>
      <c r="H230" s="130">
        <f t="shared" si="16"/>
        <v>0</v>
      </c>
      <c r="I230" s="175">
        <f t="shared" si="18"/>
        <v>0</v>
      </c>
      <c r="J230" s="36">
        <f t="shared" si="17"/>
        <v>10.675373488403226</v>
      </c>
    </row>
    <row r="231" spans="1:10" x14ac:dyDescent="0.25">
      <c r="A231" s="53">
        <f>'A) Base RI'!A233</f>
        <v>5758</v>
      </c>
      <c r="B231" s="116" t="str">
        <f>'A) Base RI'!B233</f>
        <v>La Praz</v>
      </c>
      <c r="C231" s="127">
        <f>'B) D RI'!U233</f>
        <v>3792.6817536813919</v>
      </c>
      <c r="D231" s="168">
        <f>'E) Fact soc'!G237/C231</f>
        <v>16.202722059419081</v>
      </c>
      <c r="E231" s="159">
        <f>'H) Péréquation directe'!I242/C231</f>
        <v>-8.9375988806865863</v>
      </c>
      <c r="F231" s="206">
        <f>+'I) Dépenses thématiques'!O231/C231</f>
        <v>-5.2729437978237614</v>
      </c>
      <c r="G231" s="168">
        <f t="shared" si="19"/>
        <v>1.9921793809087331</v>
      </c>
      <c r="H231" s="130">
        <f t="shared" si="16"/>
        <v>0</v>
      </c>
      <c r="I231" s="175">
        <f t="shared" si="18"/>
        <v>0</v>
      </c>
      <c r="J231" s="36">
        <f t="shared" si="17"/>
        <v>1.9921793809087331</v>
      </c>
    </row>
    <row r="232" spans="1:10" x14ac:dyDescent="0.25">
      <c r="A232" s="53">
        <f>'A) Base RI'!A234</f>
        <v>5759</v>
      </c>
      <c r="B232" s="116" t="str">
        <f>'A) Base RI'!B234</f>
        <v>Premier</v>
      </c>
      <c r="C232" s="127">
        <f>'B) D RI'!U234</f>
        <v>4689.5245679012341</v>
      </c>
      <c r="D232" s="168">
        <f>'E) Fact soc'!G238/C232</f>
        <v>15.33556704555027</v>
      </c>
      <c r="E232" s="159">
        <f>'H) Péréquation directe'!I243/C232</f>
        <v>-7.6651420353037656</v>
      </c>
      <c r="F232" s="206">
        <f>+'I) Dépenses thématiques'!O232/C232</f>
        <v>-16.130669980609799</v>
      </c>
      <c r="G232" s="168">
        <f t="shared" si="19"/>
        <v>-8.4602449703632949</v>
      </c>
      <c r="H232" s="130">
        <f t="shared" si="16"/>
        <v>0</v>
      </c>
      <c r="I232" s="175">
        <f t="shared" si="18"/>
        <v>0</v>
      </c>
      <c r="J232" s="36">
        <f t="shared" si="17"/>
        <v>-8.4602449703632949</v>
      </c>
    </row>
    <row r="233" spans="1:10" x14ac:dyDescent="0.25">
      <c r="A233" s="53">
        <f>'A) Base RI'!A235</f>
        <v>5760</v>
      </c>
      <c r="B233" s="116" t="str">
        <f>'A) Base RI'!B235</f>
        <v>Rances</v>
      </c>
      <c r="C233" s="127">
        <f>'B) D RI'!U235</f>
        <v>13227.609572649571</v>
      </c>
      <c r="D233" s="168">
        <f>'E) Fact soc'!G239/C233</f>
        <v>22.778590715456353</v>
      </c>
      <c r="E233" s="159">
        <f>'H) Péréquation directe'!I244/C233</f>
        <v>1.0094461720618457</v>
      </c>
      <c r="F233" s="206">
        <f>+'I) Dépenses thématiques'!O233/C233</f>
        <v>-8.2972834739173322</v>
      </c>
      <c r="G233" s="168">
        <f t="shared" si="19"/>
        <v>15.490753413600867</v>
      </c>
      <c r="H233" s="130">
        <f t="shared" si="16"/>
        <v>0</v>
      </c>
      <c r="I233" s="175">
        <f t="shared" si="18"/>
        <v>0</v>
      </c>
      <c r="J233" s="36">
        <f t="shared" si="17"/>
        <v>15.490753413600867</v>
      </c>
    </row>
    <row r="234" spans="1:10" x14ac:dyDescent="0.25">
      <c r="A234" s="53">
        <f>'A) Base RI'!A236</f>
        <v>5761</v>
      </c>
      <c r="B234" s="116" t="str">
        <f>'A) Base RI'!B236</f>
        <v>Romainmôtier-Envy</v>
      </c>
      <c r="C234" s="127">
        <f>'B) D RI'!U236</f>
        <v>12165.915592105261</v>
      </c>
      <c r="D234" s="168">
        <f>'E) Fact soc'!G240/C234</f>
        <v>20.750075323769195</v>
      </c>
      <c r="E234" s="159">
        <f>'H) Péréquation directe'!I245/C234</f>
        <v>-8.463978184456181</v>
      </c>
      <c r="F234" s="206">
        <f>+'I) Dépenses thématiques'!O234/C234</f>
        <v>-3.8895428188584869</v>
      </c>
      <c r="G234" s="168">
        <f t="shared" si="19"/>
        <v>8.396554320454527</v>
      </c>
      <c r="H234" s="130">
        <f t="shared" si="16"/>
        <v>0</v>
      </c>
      <c r="I234" s="175">
        <f t="shared" si="18"/>
        <v>0</v>
      </c>
      <c r="J234" s="36">
        <f t="shared" si="17"/>
        <v>8.396554320454527</v>
      </c>
    </row>
    <row r="235" spans="1:10" x14ac:dyDescent="0.25">
      <c r="A235" s="53">
        <f>'A) Base RI'!A237</f>
        <v>5762</v>
      </c>
      <c r="B235" s="116" t="str">
        <f>'A) Base RI'!B237</f>
        <v>Sergey</v>
      </c>
      <c r="C235" s="127">
        <f>'B) D RI'!U237</f>
        <v>3586.5485897435897</v>
      </c>
      <c r="D235" s="168">
        <f>'E) Fact soc'!G241/C235</f>
        <v>15.814969479006272</v>
      </c>
      <c r="E235" s="159">
        <f>'H) Péréquation directe'!I246/C235</f>
        <v>-2.8262123721327543</v>
      </c>
      <c r="F235" s="206">
        <f>+'I) Dépenses thématiques'!O235/C235</f>
        <v>-7.401619215734387</v>
      </c>
      <c r="G235" s="168">
        <f t="shared" si="19"/>
        <v>5.5871378911391307</v>
      </c>
      <c r="H235" s="130">
        <f t="shared" si="16"/>
        <v>0</v>
      </c>
      <c r="I235" s="175">
        <f t="shared" si="18"/>
        <v>0</v>
      </c>
      <c r="J235" s="36">
        <f t="shared" si="17"/>
        <v>5.5871378911391307</v>
      </c>
    </row>
    <row r="236" spans="1:10" x14ac:dyDescent="0.25">
      <c r="A236" s="53">
        <f>'A) Base RI'!A238</f>
        <v>5763</v>
      </c>
      <c r="B236" s="116" t="str">
        <f>'A) Base RI'!B238</f>
        <v>Valeyres-sous-Rances</v>
      </c>
      <c r="C236" s="127">
        <f>'B) D RI'!U238</f>
        <v>16085.850769230768</v>
      </c>
      <c r="D236" s="168">
        <f>'E) Fact soc'!G242/C236</f>
        <v>17.763756307745226</v>
      </c>
      <c r="E236" s="159">
        <f>'H) Péréquation directe'!I247/C236</f>
        <v>2.7895053470178186</v>
      </c>
      <c r="F236" s="206">
        <f>+'I) Dépenses thématiques'!O236/C236</f>
        <v>-8.2377841476316842</v>
      </c>
      <c r="G236" s="168">
        <f t="shared" si="19"/>
        <v>12.31547750713136</v>
      </c>
      <c r="H236" s="130">
        <f t="shared" si="16"/>
        <v>0</v>
      </c>
      <c r="I236" s="175">
        <f t="shared" si="18"/>
        <v>0</v>
      </c>
      <c r="J236" s="36">
        <f t="shared" si="17"/>
        <v>12.31547750713136</v>
      </c>
    </row>
    <row r="237" spans="1:10" x14ac:dyDescent="0.25">
      <c r="A237" s="53">
        <f>'A) Base RI'!A239</f>
        <v>5764</v>
      </c>
      <c r="B237" s="116" t="str">
        <f>'A) Base RI'!B239</f>
        <v>Vallorbe</v>
      </c>
      <c r="C237" s="127">
        <f>'B) D RI'!U239</f>
        <v>84513.608378378369</v>
      </c>
      <c r="D237" s="168">
        <f>'E) Fact soc'!G243/C237</f>
        <v>24.799548983940962</v>
      </c>
      <c r="E237" s="159">
        <f>'H) Péréquation directe'!I248/C237</f>
        <v>-16.030845537185339</v>
      </c>
      <c r="F237" s="206">
        <f>+'I) Dépenses thématiques'!O237/C237</f>
        <v>-19.727976768724417</v>
      </c>
      <c r="G237" s="168">
        <f t="shared" si="19"/>
        <v>-10.959273321968794</v>
      </c>
      <c r="H237" s="130">
        <f t="shared" si="16"/>
        <v>0</v>
      </c>
      <c r="I237" s="175">
        <f t="shared" si="18"/>
        <v>0</v>
      </c>
      <c r="J237" s="36">
        <f t="shared" si="17"/>
        <v>-10.959273321968794</v>
      </c>
    </row>
    <row r="238" spans="1:10" x14ac:dyDescent="0.25">
      <c r="A238" s="53">
        <f>'A) Base RI'!A240</f>
        <v>5765</v>
      </c>
      <c r="B238" s="116" t="str">
        <f>'A) Base RI'!B240</f>
        <v>Vaulion</v>
      </c>
      <c r="C238" s="127">
        <f>'B) D RI'!U240</f>
        <v>10199.027160493826</v>
      </c>
      <c r="D238" s="168">
        <f>'E) Fact soc'!G244/C238</f>
        <v>16.586728853089689</v>
      </c>
      <c r="E238" s="159">
        <f>'H) Péréquation directe'!I249/C238</f>
        <v>-15.998066992525811</v>
      </c>
      <c r="F238" s="206">
        <f>+'I) Dépenses thématiques'!O238/C238</f>
        <v>-13.666589000929822</v>
      </c>
      <c r="G238" s="168">
        <f t="shared" si="19"/>
        <v>-13.077927140365944</v>
      </c>
      <c r="H238" s="130">
        <f t="shared" si="16"/>
        <v>0</v>
      </c>
      <c r="I238" s="175">
        <f t="shared" si="18"/>
        <v>0</v>
      </c>
      <c r="J238" s="36">
        <f t="shared" si="17"/>
        <v>-13.077927140365944</v>
      </c>
    </row>
    <row r="239" spans="1:10" x14ac:dyDescent="0.25">
      <c r="A239" s="53">
        <f>'A) Base RI'!A241</f>
        <v>5766</v>
      </c>
      <c r="B239" s="116" t="str">
        <f>'A) Base RI'!B241</f>
        <v>Vuiteboeuf</v>
      </c>
      <c r="C239" s="127">
        <f>'B) D RI'!U241</f>
        <v>13023.960575139146</v>
      </c>
      <c r="D239" s="168">
        <f>'E) Fact soc'!G245/C239</f>
        <v>16.840764789127675</v>
      </c>
      <c r="E239" s="159">
        <f>'H) Péréquation directe'!I250/C239</f>
        <v>-6.5596525150471026</v>
      </c>
      <c r="F239" s="206">
        <f>+'I) Dépenses thématiques'!O239/C239</f>
        <v>-7.9175588819552969</v>
      </c>
      <c r="G239" s="168">
        <f t="shared" si="19"/>
        <v>2.3635533921252767</v>
      </c>
      <c r="H239" s="130">
        <f t="shared" si="16"/>
        <v>0</v>
      </c>
      <c r="I239" s="175">
        <f t="shared" si="18"/>
        <v>0</v>
      </c>
      <c r="J239" s="36">
        <f t="shared" si="17"/>
        <v>2.3635533921252767</v>
      </c>
    </row>
    <row r="240" spans="1:10" x14ac:dyDescent="0.25">
      <c r="A240" s="53">
        <f>'A) Base RI'!A242</f>
        <v>5782</v>
      </c>
      <c r="B240" s="116" t="str">
        <f>'A) Base RI'!B242</f>
        <v>Carrouge</v>
      </c>
      <c r="C240" s="127">
        <f>'B) D RI'!U242</f>
        <v>32585.638421052627</v>
      </c>
      <c r="D240" s="168">
        <f>'E) Fact soc'!G246/C240</f>
        <v>20.008522592704924</v>
      </c>
      <c r="E240" s="159">
        <f>'H) Péréquation directe'!I251/C240</f>
        <v>-2.9511099166482584</v>
      </c>
      <c r="F240" s="206">
        <f>+'I) Dépenses thématiques'!O240/C240</f>
        <v>-0.79028935644336951</v>
      </c>
      <c r="G240" s="168">
        <f t="shared" si="19"/>
        <v>16.267123319613294</v>
      </c>
      <c r="H240" s="130">
        <f t="shared" si="16"/>
        <v>0</v>
      </c>
      <c r="I240" s="175">
        <f t="shared" si="18"/>
        <v>0</v>
      </c>
      <c r="J240" s="36">
        <f t="shared" si="17"/>
        <v>16.267123319613294</v>
      </c>
    </row>
    <row r="241" spans="1:10" x14ac:dyDescent="0.25">
      <c r="A241" s="53">
        <f>'A) Base RI'!A243</f>
        <v>5785</v>
      </c>
      <c r="B241" s="116" t="str">
        <f>'A) Base RI'!B243</f>
        <v>Corcelles-le-Jorat</v>
      </c>
      <c r="C241" s="127">
        <f>'B) D RI'!U243</f>
        <v>12275.22831168831</v>
      </c>
      <c r="D241" s="168">
        <f>'E) Fact soc'!G247/C241</f>
        <v>16.273592584646515</v>
      </c>
      <c r="E241" s="159">
        <f>'H) Péréquation directe'!I252/C241</f>
        <v>2.6656559812703664</v>
      </c>
      <c r="F241" s="206">
        <f>+'I) Dépenses thématiques'!O241/C241</f>
        <v>-4.2160447183110614</v>
      </c>
      <c r="G241" s="168">
        <f t="shared" si="19"/>
        <v>14.72320384760582</v>
      </c>
      <c r="H241" s="130">
        <f t="shared" si="16"/>
        <v>0</v>
      </c>
      <c r="I241" s="175">
        <f t="shared" si="18"/>
        <v>0</v>
      </c>
      <c r="J241" s="36">
        <f t="shared" si="17"/>
        <v>14.72320384760582</v>
      </c>
    </row>
    <row r="242" spans="1:10" x14ac:dyDescent="0.25">
      <c r="A242" s="53">
        <f>'A) Base RI'!A244</f>
        <v>5788</v>
      </c>
      <c r="B242" s="116" t="str">
        <f>'A) Base RI'!B244</f>
        <v>Essertes</v>
      </c>
      <c r="C242" s="127">
        <f>'B) D RI'!U244</f>
        <v>9663.2152777777756</v>
      </c>
      <c r="D242" s="168">
        <f>'E) Fact soc'!G248/C242</f>
        <v>16.083700809218776</v>
      </c>
      <c r="E242" s="159">
        <f>'H) Péréquation directe'!I253/C242</f>
        <v>4.1882992531721719</v>
      </c>
      <c r="F242" s="206">
        <f>+'I) Dépenses thématiques'!O242/C242</f>
        <v>-0.28905814888905113</v>
      </c>
      <c r="G242" s="168">
        <f t="shared" si="19"/>
        <v>19.982941913501897</v>
      </c>
      <c r="H242" s="130">
        <f t="shared" si="16"/>
        <v>0</v>
      </c>
      <c r="I242" s="175">
        <f t="shared" si="18"/>
        <v>0</v>
      </c>
      <c r="J242" s="36">
        <f t="shared" si="17"/>
        <v>19.982941913501897</v>
      </c>
    </row>
    <row r="243" spans="1:10" x14ac:dyDescent="0.25">
      <c r="A243" s="53">
        <f>'A) Base RI'!A245</f>
        <v>5789</v>
      </c>
      <c r="B243" s="116" t="str">
        <f>'A) Base RI'!B245</f>
        <v>Ferlens</v>
      </c>
      <c r="C243" s="127">
        <f>'B) D RI'!U245</f>
        <v>9239.8459210526344</v>
      </c>
      <c r="D243" s="168">
        <f>'E) Fact soc'!G249/C243</f>
        <v>16.856156626270661</v>
      </c>
      <c r="E243" s="159">
        <f>'H) Péréquation directe'!I254/C243</f>
        <v>-0.64851100569918319</v>
      </c>
      <c r="F243" s="206">
        <f>+'I) Dépenses thématiques'!O243/C243</f>
        <v>-1.5874099278721119</v>
      </c>
      <c r="G243" s="168">
        <f t="shared" si="19"/>
        <v>14.620235692699364</v>
      </c>
      <c r="H243" s="130">
        <f t="shared" si="16"/>
        <v>0</v>
      </c>
      <c r="I243" s="175">
        <f t="shared" si="18"/>
        <v>0</v>
      </c>
      <c r="J243" s="36">
        <f t="shared" si="17"/>
        <v>14.620235692699364</v>
      </c>
    </row>
    <row r="244" spans="1:10" x14ac:dyDescent="0.25">
      <c r="A244" s="53">
        <f>'A) Base RI'!A246</f>
        <v>5790</v>
      </c>
      <c r="B244" s="116" t="str">
        <f>'A) Base RI'!B246</f>
        <v>Maracon</v>
      </c>
      <c r="C244" s="127">
        <f>'B) D RI'!U246</f>
        <v>12077.747368421051</v>
      </c>
      <c r="D244" s="168">
        <f>'E) Fact soc'!G250/C244</f>
        <v>17.160515220194149</v>
      </c>
      <c r="E244" s="159">
        <f>'H) Péréquation directe'!I255/C244</f>
        <v>0.13706245297658115</v>
      </c>
      <c r="F244" s="206">
        <f>+'I) Dépenses thématiques'!O244/C244</f>
        <v>-6.5940851800616942</v>
      </c>
      <c r="G244" s="168">
        <f t="shared" si="19"/>
        <v>10.703492493109039</v>
      </c>
      <c r="H244" s="130">
        <f t="shared" si="16"/>
        <v>0</v>
      </c>
      <c r="I244" s="175">
        <f t="shared" si="18"/>
        <v>0</v>
      </c>
      <c r="J244" s="36">
        <f t="shared" si="17"/>
        <v>10.703492493109039</v>
      </c>
    </row>
    <row r="245" spans="1:10" x14ac:dyDescent="0.25">
      <c r="A245" s="53">
        <f>'A) Base RI'!A247</f>
        <v>5791</v>
      </c>
      <c r="B245" s="116" t="str">
        <f>'A) Base RI'!B247</f>
        <v>Mézières</v>
      </c>
      <c r="C245" s="127">
        <f>'B) D RI'!U247</f>
        <v>47801.173157894729</v>
      </c>
      <c r="D245" s="168">
        <f>'E) Fact soc'!G251/C245</f>
        <v>17.259595556476246</v>
      </c>
      <c r="E245" s="159">
        <f>'H) Péréquation directe'!I256/C245</f>
        <v>12.099079864102496</v>
      </c>
      <c r="F245" s="206">
        <f>+'I) Dépenses thématiques'!O245/C245</f>
        <v>-4.8840249698351119</v>
      </c>
      <c r="G245" s="168">
        <f t="shared" si="19"/>
        <v>24.474650450743631</v>
      </c>
      <c r="H245" s="130">
        <f t="shared" si="16"/>
        <v>0</v>
      </c>
      <c r="I245" s="175">
        <f t="shared" si="18"/>
        <v>0</v>
      </c>
      <c r="J245" s="36">
        <f t="shared" si="17"/>
        <v>24.474650450743631</v>
      </c>
    </row>
    <row r="246" spans="1:10" x14ac:dyDescent="0.25">
      <c r="A246" s="53">
        <f>'A) Base RI'!A248</f>
        <v>5792</v>
      </c>
      <c r="B246" s="116" t="str">
        <f>'A) Base RI'!B248</f>
        <v>Montpreveyres</v>
      </c>
      <c r="C246" s="127">
        <f>'B) D RI'!U248</f>
        <v>15670.869999999999</v>
      </c>
      <c r="D246" s="168">
        <f>'E) Fact soc'!G252/C246</f>
        <v>18.964787127116765</v>
      </c>
      <c r="E246" s="159">
        <f>'H) Péréquation directe'!I257/C246</f>
        <v>-3.057406929072751</v>
      </c>
      <c r="F246" s="206">
        <f>+'I) Dépenses thématiques'!O246/C246</f>
        <v>-9.1179931045051461</v>
      </c>
      <c r="G246" s="168">
        <f t="shared" si="19"/>
        <v>6.7893870935388669</v>
      </c>
      <c r="H246" s="130">
        <f t="shared" si="16"/>
        <v>0</v>
      </c>
      <c r="I246" s="175">
        <f t="shared" si="18"/>
        <v>0</v>
      </c>
      <c r="J246" s="36">
        <f t="shared" si="17"/>
        <v>6.7893870935388669</v>
      </c>
    </row>
    <row r="247" spans="1:10" x14ac:dyDescent="0.25">
      <c r="A247" s="53">
        <f>'A) Base RI'!A249</f>
        <v>5798</v>
      </c>
      <c r="B247" s="116" t="str">
        <f>'A) Base RI'!B249</f>
        <v>Ropraz</v>
      </c>
      <c r="C247" s="127">
        <f>'B) D RI'!U249</f>
        <v>10971.989935483871</v>
      </c>
      <c r="D247" s="168">
        <f>'E) Fact soc'!G253/C247</f>
        <v>16.589372866892468</v>
      </c>
      <c r="E247" s="159">
        <f>'H) Péréquation directe'!I258/C247</f>
        <v>-3.6262043268257971</v>
      </c>
      <c r="F247" s="206">
        <f>+'I) Dépenses thématiques'!O247/C247</f>
        <v>-6.627486035313864</v>
      </c>
      <c r="G247" s="168">
        <f t="shared" si="19"/>
        <v>6.3356825047528078</v>
      </c>
      <c r="H247" s="130">
        <f t="shared" si="16"/>
        <v>0</v>
      </c>
      <c r="I247" s="175">
        <f t="shared" si="18"/>
        <v>0</v>
      </c>
      <c r="J247" s="36">
        <f t="shared" si="17"/>
        <v>6.3356825047528078</v>
      </c>
    </row>
    <row r="248" spans="1:10" x14ac:dyDescent="0.25">
      <c r="A248" s="53">
        <f>'A) Base RI'!A250</f>
        <v>5799</v>
      </c>
      <c r="B248" s="116" t="str">
        <f>'A) Base RI'!B250</f>
        <v>Servion</v>
      </c>
      <c r="C248" s="127">
        <f>'B) D RI'!U250</f>
        <v>60598.657971014502</v>
      </c>
      <c r="D248" s="168">
        <f>'E) Fact soc'!G254/C248</f>
        <v>16.738411655910554</v>
      </c>
      <c r="E248" s="159">
        <f>'H) Péréquation directe'!I259/C248</f>
        <v>4.1766463776023874</v>
      </c>
      <c r="F248" s="206">
        <f>+'I) Dépenses thématiques'!O248/C248</f>
        <v>-4.0634048823758269</v>
      </c>
      <c r="G248" s="168">
        <f t="shared" si="19"/>
        <v>16.851653151137114</v>
      </c>
      <c r="H248" s="130">
        <f t="shared" si="16"/>
        <v>0</v>
      </c>
      <c r="I248" s="175">
        <f t="shared" si="18"/>
        <v>0</v>
      </c>
      <c r="J248" s="36">
        <f t="shared" si="17"/>
        <v>16.851653151137114</v>
      </c>
    </row>
    <row r="249" spans="1:10" x14ac:dyDescent="0.25">
      <c r="A249" s="53">
        <f>'A) Base RI'!A251</f>
        <v>5803</v>
      </c>
      <c r="B249" s="116" t="str">
        <f>'A) Base RI'!B251</f>
        <v>Vulliens</v>
      </c>
      <c r="C249" s="127">
        <f>'B) D RI'!U251</f>
        <v>14215.08564102564</v>
      </c>
      <c r="D249" s="168">
        <f>'E) Fact soc'!G255/C249</f>
        <v>20.20031835337198</v>
      </c>
      <c r="E249" s="159">
        <f>'H) Péréquation directe'!I260/C249</f>
        <v>4.4941824497870844</v>
      </c>
      <c r="F249" s="206">
        <f>+'I) Dépenses thématiques'!O249/C249</f>
        <v>-5.0743070321780142</v>
      </c>
      <c r="G249" s="168">
        <f t="shared" si="19"/>
        <v>19.620193770981054</v>
      </c>
      <c r="H249" s="130">
        <f t="shared" si="16"/>
        <v>0</v>
      </c>
      <c r="I249" s="175">
        <f t="shared" si="18"/>
        <v>0</v>
      </c>
      <c r="J249" s="36">
        <f t="shared" si="17"/>
        <v>19.620193770981054</v>
      </c>
    </row>
    <row r="250" spans="1:10" x14ac:dyDescent="0.25">
      <c r="A250" s="53">
        <f>'A) Base RI'!A252</f>
        <v>5804</v>
      </c>
      <c r="B250" s="116" t="str">
        <f>'A) Base RI'!B252</f>
        <v>Jorat-Menthue</v>
      </c>
      <c r="C250" s="127">
        <f>'B) D RI'!U252</f>
        <v>48554.511111111118</v>
      </c>
      <c r="D250" s="168">
        <f>'E) Fact soc'!G256/C250</f>
        <v>16.042677705824666</v>
      </c>
      <c r="E250" s="159">
        <f>'H) Péréquation directe'!I261/C250</f>
        <v>4.3039635124047377</v>
      </c>
      <c r="F250" s="206">
        <f>+'I) Dépenses thématiques'!O250/C250</f>
        <v>-19.68285110350358</v>
      </c>
      <c r="G250" s="168">
        <f>SUM(D250:F250)</f>
        <v>0.66379011472582405</v>
      </c>
      <c r="H250" s="130">
        <f t="shared" si="16"/>
        <v>0</v>
      </c>
      <c r="I250" s="175">
        <f>H250*C250</f>
        <v>0</v>
      </c>
      <c r="J250" s="36">
        <f>G250+H250</f>
        <v>0.66379011472582405</v>
      </c>
    </row>
    <row r="251" spans="1:10" x14ac:dyDescent="0.25">
      <c r="A251" s="53">
        <f>'A) Base RI'!A253</f>
        <v>5805</v>
      </c>
      <c r="B251" s="116" t="str">
        <f>'A) Base RI'!B253</f>
        <v>Oron</v>
      </c>
      <c r="C251" s="127">
        <f>'B) D RI'!U253</f>
        <v>147104.2625559947</v>
      </c>
      <c r="D251" s="168">
        <f>'E) Fact soc'!G257/C251</f>
        <v>17.539814055035002</v>
      </c>
      <c r="E251" s="159">
        <f>'H) Péréquation directe'!I262/C251</f>
        <v>-6.8557936736687175</v>
      </c>
      <c r="F251" s="206">
        <f>+'I) Dépenses thématiques'!O251/C251</f>
        <v>-5.9259751065834809</v>
      </c>
      <c r="G251" s="168">
        <f>SUM(D251:F251)</f>
        <v>4.7580452747828037</v>
      </c>
      <c r="H251" s="130">
        <f t="shared" si="16"/>
        <v>0</v>
      </c>
      <c r="I251" s="175">
        <f>H251*C251</f>
        <v>0</v>
      </c>
      <c r="J251" s="36">
        <f>G251+H251</f>
        <v>4.7580452747828037</v>
      </c>
    </row>
    <row r="252" spans="1:10" x14ac:dyDescent="0.25">
      <c r="A252" s="53">
        <f>'A) Base RI'!A254</f>
        <v>5812</v>
      </c>
      <c r="B252" s="116" t="str">
        <f>'A) Base RI'!B254</f>
        <v>Champtauroz</v>
      </c>
      <c r="C252" s="127">
        <f>'B) D RI'!U254</f>
        <v>2326.5760389610391</v>
      </c>
      <c r="D252" s="168">
        <f>'E) Fact soc'!G258/C252</f>
        <v>18.837350437001792</v>
      </c>
      <c r="E252" s="159">
        <f>'H) Péréquation directe'!I263/C252</f>
        <v>-21.636650612474593</v>
      </c>
      <c r="F252" s="206">
        <f>+'I) Dépenses thématiques'!O252/C252</f>
        <v>-17.872437371041322</v>
      </c>
      <c r="G252" s="168">
        <f>SUM(D252:F252)</f>
        <v>-20.671737546514123</v>
      </c>
      <c r="H252" s="130">
        <f t="shared" si="16"/>
        <v>0</v>
      </c>
      <c r="I252" s="175">
        <f>H252*C252</f>
        <v>0</v>
      </c>
      <c r="J252" s="36">
        <f>G252+H252</f>
        <v>-20.671737546514123</v>
      </c>
    </row>
    <row r="253" spans="1:10" x14ac:dyDescent="0.25">
      <c r="A253" s="53">
        <f>'A) Base RI'!A255</f>
        <v>5813</v>
      </c>
      <c r="B253" s="116" t="str">
        <f>'A) Base RI'!B255</f>
        <v>Chevroux</v>
      </c>
      <c r="C253" s="127">
        <f>'B) D RI'!U255</f>
        <v>11503.329976190478</v>
      </c>
      <c r="D253" s="168">
        <f>'E) Fact soc'!G259/C253</f>
        <v>17.467514640957514</v>
      </c>
      <c r="E253" s="159">
        <f>'H) Péréquation directe'!I264/C253</f>
        <v>0.84001281678268513</v>
      </c>
      <c r="F253" s="206">
        <f>+'I) Dépenses thématiques'!O253/C253</f>
        <v>-3.1277560084765996</v>
      </c>
      <c r="G253" s="168">
        <f t="shared" si="19"/>
        <v>15.179771449263601</v>
      </c>
      <c r="H253" s="130">
        <f t="shared" si="16"/>
        <v>0</v>
      </c>
      <c r="I253" s="175">
        <f t="shared" si="18"/>
        <v>0</v>
      </c>
      <c r="J253" s="36">
        <f t="shared" si="17"/>
        <v>15.179771449263601</v>
      </c>
    </row>
    <row r="254" spans="1:10" x14ac:dyDescent="0.25">
      <c r="A254" s="53">
        <f>'A) Base RI'!A256</f>
        <v>5816</v>
      </c>
      <c r="B254" s="116" t="str">
        <f>'A) Base RI'!B256</f>
        <v>Corcelles-près-Payerne</v>
      </c>
      <c r="C254" s="127">
        <f>'B) D RI'!U256</f>
        <v>56641.066845238092</v>
      </c>
      <c r="D254" s="168">
        <f>'E) Fact soc'!G260/C254</f>
        <v>16.893693123526628</v>
      </c>
      <c r="E254" s="159">
        <f>'H) Péréquation directe'!I265/C254</f>
        <v>-9.5465881561478767</v>
      </c>
      <c r="F254" s="206">
        <f>+'I) Dépenses thématiques'!O254/C254</f>
        <v>-5.5265153388455106</v>
      </c>
      <c r="G254" s="168">
        <f t="shared" si="19"/>
        <v>1.8205896285332406</v>
      </c>
      <c r="H254" s="130">
        <f t="shared" si="16"/>
        <v>0</v>
      </c>
      <c r="I254" s="175">
        <f t="shared" si="18"/>
        <v>0</v>
      </c>
      <c r="J254" s="36">
        <f t="shared" si="17"/>
        <v>1.8205896285332406</v>
      </c>
    </row>
    <row r="255" spans="1:10" x14ac:dyDescent="0.25">
      <c r="A255" s="53">
        <f>'A) Base RI'!A257</f>
        <v>5817</v>
      </c>
      <c r="B255" s="116" t="str">
        <f>'A) Base RI'!B257</f>
        <v>Grandcour</v>
      </c>
      <c r="C255" s="127">
        <f>'B) D RI'!U257</f>
        <v>20990.550314465407</v>
      </c>
      <c r="D255" s="168">
        <f>'E) Fact soc'!G261/C255</f>
        <v>16.487093298795717</v>
      </c>
      <c r="E255" s="159">
        <f>'H) Péréquation directe'!I266/C255</f>
        <v>-7.2984678376853775</v>
      </c>
      <c r="F255" s="206">
        <f>+'I) Dépenses thématiques'!O255/C255</f>
        <v>-4.8346935859065248</v>
      </c>
      <c r="G255" s="168">
        <f t="shared" si="19"/>
        <v>4.3539318752038145</v>
      </c>
      <c r="H255" s="130">
        <f t="shared" si="16"/>
        <v>0</v>
      </c>
      <c r="I255" s="175">
        <f t="shared" si="18"/>
        <v>0</v>
      </c>
      <c r="J255" s="36">
        <f t="shared" si="17"/>
        <v>4.3539318752038145</v>
      </c>
    </row>
    <row r="256" spans="1:10" x14ac:dyDescent="0.25">
      <c r="A256" s="53">
        <f>'A) Base RI'!A258</f>
        <v>5819</v>
      </c>
      <c r="B256" s="116" t="str">
        <f>'A) Base RI'!B258</f>
        <v>Henniez</v>
      </c>
      <c r="C256" s="127">
        <f>'B) D RI'!U258</f>
        <v>14949.743880597016</v>
      </c>
      <c r="D256" s="168">
        <f>'E) Fact soc'!G262/C256</f>
        <v>16.268086390874046</v>
      </c>
      <c r="E256" s="159">
        <f>'H) Péréquation directe'!I267/C256</f>
        <v>16.330162282087215</v>
      </c>
      <c r="F256" s="206">
        <f>+'I) Dépenses thématiques'!O256/C256</f>
        <v>-1.9773113062528191</v>
      </c>
      <c r="G256" s="168">
        <f t="shared" si="19"/>
        <v>30.620937366708443</v>
      </c>
      <c r="H256" s="130">
        <f t="shared" si="16"/>
        <v>0</v>
      </c>
      <c r="I256" s="175">
        <f t="shared" si="18"/>
        <v>0</v>
      </c>
      <c r="J256" s="36">
        <f t="shared" si="17"/>
        <v>30.620937366708443</v>
      </c>
    </row>
    <row r="257" spans="1:10" x14ac:dyDescent="0.25">
      <c r="A257" s="53">
        <f>'A) Base RI'!A259</f>
        <v>5821</v>
      </c>
      <c r="B257" s="116" t="str">
        <f>'A) Base RI'!B259</f>
        <v>Missy</v>
      </c>
      <c r="C257" s="127">
        <f>'B) D RI'!U259</f>
        <v>7776.2584722222218</v>
      </c>
      <c r="D257" s="168">
        <f>'E) Fact soc'!G263/C257</f>
        <v>17.146099801801139</v>
      </c>
      <c r="E257" s="159">
        <f>'H) Péréquation directe'!I268/C257</f>
        <v>-7.7104336103210551</v>
      </c>
      <c r="F257" s="206">
        <f>+'I) Dépenses thématiques'!O257/C257</f>
        <v>-6.8779638218034442</v>
      </c>
      <c r="G257" s="168">
        <f t="shared" si="19"/>
        <v>2.5577023696766403</v>
      </c>
      <c r="H257" s="130">
        <f t="shared" si="16"/>
        <v>0</v>
      </c>
      <c r="I257" s="175">
        <f t="shared" si="18"/>
        <v>0</v>
      </c>
      <c r="J257" s="36">
        <f t="shared" si="17"/>
        <v>2.5577023696766403</v>
      </c>
    </row>
    <row r="258" spans="1:10" x14ac:dyDescent="0.25">
      <c r="A258" s="53">
        <f>'A) Base RI'!A260</f>
        <v>5822</v>
      </c>
      <c r="B258" s="116" t="str">
        <f>'A) Base RI'!B260</f>
        <v>Payerne</v>
      </c>
      <c r="C258" s="127">
        <f>'B) D RI'!U260</f>
        <v>231493.6713333333</v>
      </c>
      <c r="D258" s="168">
        <f>'E) Fact soc'!G264/C258</f>
        <v>20.04515781684432</v>
      </c>
      <c r="E258" s="159">
        <f>'H) Péréquation directe'!I269/C258</f>
        <v>-17.765313962952053</v>
      </c>
      <c r="F258" s="206">
        <f>+'I) Dépenses thématiques'!O258/C258</f>
        <v>-5.4228694074261732</v>
      </c>
      <c r="G258" s="168">
        <f t="shared" si="19"/>
        <v>-3.1430255535339064</v>
      </c>
      <c r="H258" s="130">
        <f t="shared" si="16"/>
        <v>0</v>
      </c>
      <c r="I258" s="175">
        <f t="shared" si="18"/>
        <v>0</v>
      </c>
      <c r="J258" s="36">
        <f t="shared" si="17"/>
        <v>-3.1430255535339064</v>
      </c>
    </row>
    <row r="259" spans="1:10" x14ac:dyDescent="0.25">
      <c r="A259" s="53">
        <f>'A) Base RI'!A261</f>
        <v>5827</v>
      </c>
      <c r="B259" s="116" t="str">
        <f>'A) Base RI'!B261</f>
        <v>Trey</v>
      </c>
      <c r="C259" s="127">
        <f>'B) D RI'!U261</f>
        <v>6204.9173749999991</v>
      </c>
      <c r="D259" s="168">
        <f>'E) Fact soc'!G265/C259</f>
        <v>20.564181330969866</v>
      </c>
      <c r="E259" s="159">
        <f>'H) Péréquation directe'!I270/C259</f>
        <v>-7.2539321536479893</v>
      </c>
      <c r="F259" s="206">
        <f>+'I) Dépenses thématiques'!O259/C259</f>
        <v>-7.5619210850292724</v>
      </c>
      <c r="G259" s="168">
        <f t="shared" si="19"/>
        <v>5.7483280922926046</v>
      </c>
      <c r="H259" s="130">
        <f t="shared" si="16"/>
        <v>0</v>
      </c>
      <c r="I259" s="175">
        <f t="shared" si="18"/>
        <v>0</v>
      </c>
      <c r="J259" s="36">
        <f t="shared" si="17"/>
        <v>5.7483280922926046</v>
      </c>
    </row>
    <row r="260" spans="1:10" x14ac:dyDescent="0.25">
      <c r="A260" s="53">
        <f>'A) Base RI'!A262</f>
        <v>5828</v>
      </c>
      <c r="B260" s="116" t="str">
        <f>'A) Base RI'!B262</f>
        <v>Treytorrens (Payerne)</v>
      </c>
      <c r="C260" s="127">
        <f>'B) D RI'!U262</f>
        <v>2352.5354761904764</v>
      </c>
      <c r="D260" s="168">
        <f>'E) Fact soc'!G266/C260</f>
        <v>16.853479618884844</v>
      </c>
      <c r="E260" s="159">
        <f>'H) Péréquation directe'!I271/C260</f>
        <v>-27.973035954722128</v>
      </c>
      <c r="F260" s="206">
        <f>+'I) Dépenses thématiques'!O260/C260</f>
        <v>-19.172107897745128</v>
      </c>
      <c r="G260" s="168">
        <f t="shared" si="19"/>
        <v>-30.291664233582413</v>
      </c>
      <c r="H260" s="130">
        <f t="shared" si="16"/>
        <v>0</v>
      </c>
      <c r="I260" s="175">
        <f t="shared" si="18"/>
        <v>0</v>
      </c>
      <c r="J260" s="36">
        <f t="shared" si="17"/>
        <v>-30.291664233582413</v>
      </c>
    </row>
    <row r="261" spans="1:10" x14ac:dyDescent="0.25">
      <c r="A261" s="53">
        <f>'A) Base RI'!A263</f>
        <v>5830</v>
      </c>
      <c r="B261" s="116" t="str">
        <f>'A) Base RI'!B263</f>
        <v>Villarzel</v>
      </c>
      <c r="C261" s="127">
        <f>'B) D RI'!U263</f>
        <v>9737.3892405063307</v>
      </c>
      <c r="D261" s="168">
        <f>'E) Fact soc'!G267/C261</f>
        <v>17.602316551807775</v>
      </c>
      <c r="E261" s="159">
        <f>'H) Péréquation directe'!I272/C261</f>
        <v>-8.6821953264039244</v>
      </c>
      <c r="F261" s="206">
        <f>+'I) Dépenses thématiques'!O261/C261</f>
        <v>-9.9582878843452427</v>
      </c>
      <c r="G261" s="168">
        <f t="shared" si="19"/>
        <v>-1.0381666589413925</v>
      </c>
      <c r="H261" s="130">
        <f t="shared" si="16"/>
        <v>0</v>
      </c>
      <c r="I261" s="175">
        <f t="shared" si="18"/>
        <v>0</v>
      </c>
      <c r="J261" s="36">
        <f t="shared" si="17"/>
        <v>-1.0381666589413925</v>
      </c>
    </row>
    <row r="262" spans="1:10" x14ac:dyDescent="0.25">
      <c r="A262" s="53">
        <f>'A) Base RI'!A264</f>
        <v>5831</v>
      </c>
      <c r="B262" s="116" t="str">
        <f>'A) Base RI'!B264</f>
        <v>Valbroye</v>
      </c>
      <c r="C262" s="127">
        <f>'B) D RI'!U264</f>
        <v>75142.69210045661</v>
      </c>
      <c r="D262" s="168">
        <f>'E) Fact soc'!G268/C262</f>
        <v>16.932335496126441</v>
      </c>
      <c r="E262" s="159">
        <f>'H) Péréquation directe'!I273/C262</f>
        <v>-7.688732445393633</v>
      </c>
      <c r="F262" s="206">
        <f>+'I) Dépenses thématiques'!O262/C262</f>
        <v>-10.053059870613279</v>
      </c>
      <c r="G262" s="168">
        <f>SUM(D262:F262)</f>
        <v>-0.80945681988047014</v>
      </c>
      <c r="H262" s="130">
        <f t="shared" si="16"/>
        <v>0</v>
      </c>
      <c r="I262" s="175">
        <f>H262*C262</f>
        <v>0</v>
      </c>
      <c r="J262" s="36">
        <f>G262+H262</f>
        <v>-0.80945681988047014</v>
      </c>
    </row>
    <row r="263" spans="1:10" x14ac:dyDescent="0.25">
      <c r="A263" s="53">
        <f>'A) Base RI'!A265</f>
        <v>5841</v>
      </c>
      <c r="B263" s="116" t="str">
        <f>'A) Base RI'!B265</f>
        <v>Château-d'Oex</v>
      </c>
      <c r="C263" s="127">
        <f>'B) D RI'!U265</f>
        <v>106457.35927710844</v>
      </c>
      <c r="D263" s="168">
        <f>'E) Fact soc'!G269/C263</f>
        <v>20.149324780072007</v>
      </c>
      <c r="E263" s="159">
        <f>'H) Péréquation directe'!I274/C263</f>
        <v>-3.1777951046874127</v>
      </c>
      <c r="F263" s="206">
        <f>+'I) Dépenses thématiques'!O263/C263</f>
        <v>-17.623906362859255</v>
      </c>
      <c r="G263" s="168">
        <f>SUM(D263:F263)</f>
        <v>-0.6523766874746606</v>
      </c>
      <c r="H263" s="130">
        <f t="shared" si="16"/>
        <v>0</v>
      </c>
      <c r="I263" s="175">
        <f>H263*C263</f>
        <v>0</v>
      </c>
      <c r="J263" s="36">
        <f>G263+H263</f>
        <v>-0.6523766874746606</v>
      </c>
    </row>
    <row r="264" spans="1:10" x14ac:dyDescent="0.25">
      <c r="A264" s="53">
        <f>'A) Base RI'!A266</f>
        <v>5842</v>
      </c>
      <c r="B264" s="116" t="str">
        <f>'A) Base RI'!B266</f>
        <v>Rossinière</v>
      </c>
      <c r="C264" s="127">
        <f>'B) D RI'!U266</f>
        <v>13519.399629629628</v>
      </c>
      <c r="D264" s="168">
        <f>'E) Fact soc'!G270/C264</f>
        <v>22.536486079705121</v>
      </c>
      <c r="E264" s="159">
        <f>'H) Péréquation directe'!I275/C264</f>
        <v>-5.8972541727426426</v>
      </c>
      <c r="F264" s="206">
        <f>+'I) Dépenses thématiques'!O264/C264</f>
        <v>-14.39868183386699</v>
      </c>
      <c r="G264" s="168">
        <f t="shared" si="19"/>
        <v>2.2405500730954895</v>
      </c>
      <c r="H264" s="130">
        <f t="shared" si="16"/>
        <v>0</v>
      </c>
      <c r="I264" s="175">
        <f t="shared" si="18"/>
        <v>0</v>
      </c>
      <c r="J264" s="36">
        <f t="shared" si="17"/>
        <v>2.2405500730954895</v>
      </c>
    </row>
    <row r="265" spans="1:10" x14ac:dyDescent="0.25">
      <c r="A265" s="53">
        <f>'A) Base RI'!A267</f>
        <v>5843</v>
      </c>
      <c r="B265" s="116" t="str">
        <f>'A) Base RI'!B267</f>
        <v>Rougemont</v>
      </c>
      <c r="C265" s="127">
        <f>'B) D RI'!U267</f>
        <v>88213.430628019312</v>
      </c>
      <c r="D265" s="168">
        <f>'E) Fact soc'!G271/C265</f>
        <v>34.536345491677615</v>
      </c>
      <c r="E265" s="159">
        <f>'H) Péréquation directe'!I276/C265</f>
        <v>14.028566477455849</v>
      </c>
      <c r="F265" s="206">
        <f>+'I) Dépenses thématiques'!O265/C265</f>
        <v>-11.304307856762975</v>
      </c>
      <c r="G265" s="168">
        <f t="shared" si="19"/>
        <v>37.260604112370487</v>
      </c>
      <c r="H265" s="130">
        <f t="shared" si="16"/>
        <v>0</v>
      </c>
      <c r="I265" s="175">
        <f t="shared" si="18"/>
        <v>0</v>
      </c>
      <c r="J265" s="36">
        <f t="shared" si="17"/>
        <v>37.260604112370487</v>
      </c>
    </row>
    <row r="266" spans="1:10" x14ac:dyDescent="0.25">
      <c r="A266" s="53">
        <f>'A) Base RI'!A268</f>
        <v>5851</v>
      </c>
      <c r="B266" s="116" t="str">
        <f>'A) Base RI'!B268</f>
        <v>Allaman</v>
      </c>
      <c r="C266" s="127">
        <f>'B) D RI'!U268</f>
        <v>26900.629237536661</v>
      </c>
      <c r="D266" s="168">
        <f>'E) Fact soc'!G272/C266</f>
        <v>33.031219845568721</v>
      </c>
      <c r="E266" s="159">
        <f>'H) Péréquation directe'!I277/C266</f>
        <v>16.312684985483784</v>
      </c>
      <c r="F266" s="206">
        <f>+'I) Dépenses thématiques'!O266/C266</f>
        <v>0</v>
      </c>
      <c r="G266" s="168">
        <f t="shared" si="19"/>
        <v>49.343904831052505</v>
      </c>
      <c r="H266" s="130">
        <f t="shared" si="16"/>
        <v>0</v>
      </c>
      <c r="I266" s="175">
        <f t="shared" si="18"/>
        <v>0</v>
      </c>
      <c r="J266" s="36">
        <f t="shared" si="17"/>
        <v>49.343904831052505</v>
      </c>
    </row>
    <row r="267" spans="1:10" x14ac:dyDescent="0.25">
      <c r="A267" s="53">
        <f>'A) Base RI'!A269</f>
        <v>5852</v>
      </c>
      <c r="B267" s="116" t="str">
        <f>'A) Base RI'!B269</f>
        <v>Bursinel</v>
      </c>
      <c r="C267" s="127">
        <f>'B) D RI'!U269</f>
        <v>29922.291297709922</v>
      </c>
      <c r="D267" s="168">
        <f>'E) Fact soc'!G273/C267</f>
        <v>16.865699577435759</v>
      </c>
      <c r="E267" s="159">
        <f>'H) Péréquation directe'!I278/C267</f>
        <v>16.353983173377284</v>
      </c>
      <c r="F267" s="206">
        <f>+'I) Dépenses thématiques'!O267/C267</f>
        <v>-1.2013488215616073</v>
      </c>
      <c r="G267" s="168">
        <f t="shared" si="19"/>
        <v>32.018333929251433</v>
      </c>
      <c r="H267" s="130">
        <f t="shared" si="16"/>
        <v>0</v>
      </c>
      <c r="I267" s="175">
        <f t="shared" si="18"/>
        <v>0</v>
      </c>
      <c r="J267" s="36">
        <f t="shared" si="17"/>
        <v>32.018333929251433</v>
      </c>
    </row>
    <row r="268" spans="1:10" x14ac:dyDescent="0.25">
      <c r="A268" s="53">
        <f>'A) Base RI'!A270</f>
        <v>5853</v>
      </c>
      <c r="B268" s="116" t="str">
        <f>'A) Base RI'!B270</f>
        <v>Bursins</v>
      </c>
      <c r="C268" s="127">
        <f>'B) D RI'!U270</f>
        <v>40543.223380281692</v>
      </c>
      <c r="D268" s="168">
        <f>'E) Fact soc'!G274/C268</f>
        <v>19.362409838729409</v>
      </c>
      <c r="E268" s="159">
        <f>'H) Péréquation directe'!I279/C268</f>
        <v>16.696495611063728</v>
      </c>
      <c r="F268" s="206">
        <f>+'I) Dépenses thématiques'!O268/C268</f>
        <v>-0.79608689001820154</v>
      </c>
      <c r="G268" s="168">
        <f t="shared" si="19"/>
        <v>35.262818559774935</v>
      </c>
      <c r="H268" s="130">
        <f t="shared" si="16"/>
        <v>0</v>
      </c>
      <c r="I268" s="175">
        <f t="shared" si="18"/>
        <v>0</v>
      </c>
      <c r="J268" s="36">
        <f t="shared" si="17"/>
        <v>35.262818559774935</v>
      </c>
    </row>
    <row r="269" spans="1:10" x14ac:dyDescent="0.25">
      <c r="A269" s="53">
        <f>'A) Base RI'!A271</f>
        <v>5854</v>
      </c>
      <c r="B269" s="116" t="str">
        <f>'A) Base RI'!B271</f>
        <v>Burtigny</v>
      </c>
      <c r="C269" s="127">
        <f>'B) D RI'!U271</f>
        <v>10577.787833333332</v>
      </c>
      <c r="D269" s="168">
        <f>'E) Fact soc'!G275/C269</f>
        <v>17.228968669104265</v>
      </c>
      <c r="E269" s="159">
        <f>'H) Péréquation directe'!I280/C269</f>
        <v>2.5125552664983597</v>
      </c>
      <c r="F269" s="206">
        <f>+'I) Dépenses thématiques'!O269/C269</f>
        <v>-2.6442821497975992</v>
      </c>
      <c r="G269" s="168">
        <f t="shared" si="19"/>
        <v>17.097241785805025</v>
      </c>
      <c r="H269" s="130">
        <f t="shared" ref="H269:H322" si="20">IF(G269&gt;H$4,H$4-G269,0)</f>
        <v>0</v>
      </c>
      <c r="I269" s="175">
        <f t="shared" si="18"/>
        <v>0</v>
      </c>
      <c r="J269" s="36">
        <f t="shared" ref="J269:J322" si="21">G269+H269</f>
        <v>17.097241785805025</v>
      </c>
    </row>
    <row r="270" spans="1:10" x14ac:dyDescent="0.25">
      <c r="A270" s="53">
        <f>'A) Base RI'!A272</f>
        <v>5855</v>
      </c>
      <c r="B270" s="116" t="str">
        <f>'A) Base RI'!B272</f>
        <v>Dully</v>
      </c>
      <c r="C270" s="127">
        <f>'B) D RI'!U272</f>
        <v>79387.772653061227</v>
      </c>
      <c r="D270" s="168">
        <f>'E) Fact soc'!G276/C270</f>
        <v>29.685886229580714</v>
      </c>
      <c r="E270" s="159">
        <f>'H) Péréquation directe'!I281/C270</f>
        <v>12.788840598916329</v>
      </c>
      <c r="F270" s="206">
        <f>+'I) Dépenses thématiques'!O270/C270</f>
        <v>0</v>
      </c>
      <c r="G270" s="168">
        <f t="shared" si="19"/>
        <v>42.47472682849704</v>
      </c>
      <c r="H270" s="130">
        <f t="shared" si="20"/>
        <v>0</v>
      </c>
      <c r="I270" s="175">
        <f t="shared" si="18"/>
        <v>0</v>
      </c>
      <c r="J270" s="36">
        <f t="shared" si="21"/>
        <v>42.47472682849704</v>
      </c>
    </row>
    <row r="271" spans="1:10" x14ac:dyDescent="0.25">
      <c r="A271" s="53">
        <f>'A) Base RI'!A273</f>
        <v>5856</v>
      </c>
      <c r="B271" s="116" t="str">
        <f>'A) Base RI'!B273</f>
        <v>Essertines-sur-Rolle</v>
      </c>
      <c r="C271" s="127">
        <f>'B) D RI'!U273</f>
        <v>31862.802285067875</v>
      </c>
      <c r="D271" s="168">
        <f>'E) Fact soc'!G277/C271</f>
        <v>16.466461039579038</v>
      </c>
      <c r="E271" s="159">
        <f>'H) Péréquation directe'!I282/C271</f>
        <v>16.40872145234005</v>
      </c>
      <c r="F271" s="206">
        <f>+'I) Dépenses thématiques'!O271/C271</f>
        <v>0</v>
      </c>
      <c r="G271" s="168">
        <f t="shared" si="19"/>
        <v>32.875182491919091</v>
      </c>
      <c r="H271" s="130">
        <f t="shared" si="20"/>
        <v>0</v>
      </c>
      <c r="I271" s="175">
        <f t="shared" si="18"/>
        <v>0</v>
      </c>
      <c r="J271" s="36">
        <f t="shared" si="21"/>
        <v>32.875182491919091</v>
      </c>
    </row>
    <row r="272" spans="1:10" x14ac:dyDescent="0.25">
      <c r="A272" s="53">
        <f>'A) Base RI'!A274</f>
        <v>5857</v>
      </c>
      <c r="B272" s="116" t="str">
        <f>'A) Base RI'!B274</f>
        <v>Gilly</v>
      </c>
      <c r="C272" s="127">
        <f>'B) D RI'!U274</f>
        <v>62540.44560606061</v>
      </c>
      <c r="D272" s="168">
        <f>'E) Fact soc'!G278/C272</f>
        <v>22.89367267578038</v>
      </c>
      <c r="E272" s="159">
        <f>'H) Péréquation directe'!I283/C272</f>
        <v>15.713744254325741</v>
      </c>
      <c r="F272" s="206">
        <f>+'I) Dépenses thématiques'!O272/C272</f>
        <v>0</v>
      </c>
      <c r="G272" s="168">
        <f t="shared" si="19"/>
        <v>38.607416930106119</v>
      </c>
      <c r="H272" s="130">
        <f t="shared" si="20"/>
        <v>0</v>
      </c>
      <c r="I272" s="175">
        <f t="shared" si="18"/>
        <v>0</v>
      </c>
      <c r="J272" s="36">
        <f t="shared" si="21"/>
        <v>38.607416930106119</v>
      </c>
    </row>
    <row r="273" spans="1:10" x14ac:dyDescent="0.25">
      <c r="A273" s="53">
        <f>'A) Base RI'!A275</f>
        <v>5858</v>
      </c>
      <c r="B273" s="116" t="str">
        <f>'A) Base RI'!B275</f>
        <v>Luins</v>
      </c>
      <c r="C273" s="127">
        <f>'B) D RI'!U275</f>
        <v>35045.301944444444</v>
      </c>
      <c r="D273" s="168">
        <f>'E) Fact soc'!G279/C273</f>
        <v>14.689777807603372</v>
      </c>
      <c r="E273" s="159">
        <f>'H) Péréquation directe'!I284/C273</f>
        <v>16.80093924559554</v>
      </c>
      <c r="F273" s="206">
        <f>+'I) Dépenses thématiques'!O273/C273</f>
        <v>0</v>
      </c>
      <c r="G273" s="168">
        <f t="shared" si="19"/>
        <v>31.490717053198914</v>
      </c>
      <c r="H273" s="130">
        <f t="shared" si="20"/>
        <v>0</v>
      </c>
      <c r="I273" s="175">
        <f t="shared" ref="I273:I322" si="22">H273*C273</f>
        <v>0</v>
      </c>
      <c r="J273" s="36">
        <f t="shared" si="21"/>
        <v>31.490717053198914</v>
      </c>
    </row>
    <row r="274" spans="1:10" x14ac:dyDescent="0.25">
      <c r="A274" s="53">
        <f>'A) Base RI'!A276</f>
        <v>5859</v>
      </c>
      <c r="B274" s="116" t="str">
        <f>'A) Base RI'!B276</f>
        <v>Mont-sur-Rolle</v>
      </c>
      <c r="C274" s="127">
        <f>'B) D RI'!U276</f>
        <v>130430.38093750003</v>
      </c>
      <c r="D274" s="168">
        <f>'E) Fact soc'!G280/C274</f>
        <v>17.354396162535551</v>
      </c>
      <c r="E274" s="159">
        <f>'H) Péréquation directe'!I285/C274</f>
        <v>13.41158830003711</v>
      </c>
      <c r="F274" s="206">
        <f>+'I) Dépenses thématiques'!O274/C274</f>
        <v>0</v>
      </c>
      <c r="G274" s="168">
        <f t="shared" ref="G274:G322" si="23">SUM(D274:F274)</f>
        <v>30.765984462572661</v>
      </c>
      <c r="H274" s="130">
        <f t="shared" si="20"/>
        <v>0</v>
      </c>
      <c r="I274" s="175">
        <f t="shared" si="22"/>
        <v>0</v>
      </c>
      <c r="J274" s="36">
        <f t="shared" si="21"/>
        <v>30.765984462572661</v>
      </c>
    </row>
    <row r="275" spans="1:10" x14ac:dyDescent="0.25">
      <c r="A275" s="53">
        <f>'A) Base RI'!A277</f>
        <v>5860</v>
      </c>
      <c r="B275" s="116" t="str">
        <f>'A) Base RI'!B277</f>
        <v>Perroy</v>
      </c>
      <c r="C275" s="127">
        <f>'B) D RI'!U277</f>
        <v>92749.778038461533</v>
      </c>
      <c r="D275" s="168">
        <f>'E) Fact soc'!G281/C275</f>
        <v>19.338105184029459</v>
      </c>
      <c r="E275" s="159">
        <f>'H) Péréquation directe'!I286/C275</f>
        <v>15.000244639725508</v>
      </c>
      <c r="F275" s="206">
        <f>+'I) Dépenses thématiques'!O275/C275</f>
        <v>0</v>
      </c>
      <c r="G275" s="168">
        <f t="shared" si="23"/>
        <v>34.338349823754967</v>
      </c>
      <c r="H275" s="130">
        <f t="shared" si="20"/>
        <v>0</v>
      </c>
      <c r="I275" s="175">
        <f t="shared" si="22"/>
        <v>0</v>
      </c>
      <c r="J275" s="36">
        <f t="shared" si="21"/>
        <v>34.338349823754967</v>
      </c>
    </row>
    <row r="276" spans="1:10" x14ac:dyDescent="0.25">
      <c r="A276" s="53">
        <f>'A) Base RI'!A278</f>
        <v>5861</v>
      </c>
      <c r="B276" s="116" t="str">
        <f>'A) Base RI'!B278</f>
        <v>Rolle</v>
      </c>
      <c r="C276" s="127">
        <f>'B) D RI'!U278</f>
        <v>834788.40991596645</v>
      </c>
      <c r="D276" s="168">
        <f>'E) Fact soc'!G282/C276</f>
        <v>28.893316216280436</v>
      </c>
      <c r="E276" s="159">
        <f>'H) Péréquation directe'!I287/C276</f>
        <v>10.22200436986787</v>
      </c>
      <c r="F276" s="206">
        <f>+'I) Dépenses thématiques'!O276/C276</f>
        <v>0</v>
      </c>
      <c r="G276" s="168">
        <f t="shared" si="23"/>
        <v>39.115320586148307</v>
      </c>
      <c r="H276" s="130">
        <f t="shared" si="20"/>
        <v>0</v>
      </c>
      <c r="I276" s="175">
        <f t="shared" si="22"/>
        <v>0</v>
      </c>
      <c r="J276" s="36">
        <f t="shared" si="21"/>
        <v>39.115320586148307</v>
      </c>
    </row>
    <row r="277" spans="1:10" x14ac:dyDescent="0.25">
      <c r="A277" s="53">
        <f>'A) Base RI'!A279</f>
        <v>5862</v>
      </c>
      <c r="B277" s="116" t="str">
        <f>'A) Base RI'!B279</f>
        <v>Tartegnin</v>
      </c>
      <c r="C277" s="127">
        <f>'B) D RI'!U279</f>
        <v>8301.4215873015874</v>
      </c>
      <c r="D277" s="168">
        <f>'E) Fact soc'!G283/C277</f>
        <v>17.975246021368626</v>
      </c>
      <c r="E277" s="159">
        <f>'H) Péréquation directe'!I288/C277</f>
        <v>8.6057205873810556</v>
      </c>
      <c r="F277" s="206">
        <f>+'I) Dépenses thématiques'!O277/C277</f>
        <v>0</v>
      </c>
      <c r="G277" s="168">
        <f t="shared" si="23"/>
        <v>26.580966608749684</v>
      </c>
      <c r="H277" s="130">
        <f t="shared" si="20"/>
        <v>0</v>
      </c>
      <c r="I277" s="175">
        <f t="shared" si="22"/>
        <v>0</v>
      </c>
      <c r="J277" s="36">
        <f t="shared" si="21"/>
        <v>26.580966608749684</v>
      </c>
    </row>
    <row r="278" spans="1:10" x14ac:dyDescent="0.25">
      <c r="A278" s="53">
        <f>'A) Base RI'!A280</f>
        <v>5863</v>
      </c>
      <c r="B278" s="116" t="str">
        <f>'A) Base RI'!B280</f>
        <v>Vinzel</v>
      </c>
      <c r="C278" s="127">
        <f>'B) D RI'!U280</f>
        <v>24528.370999999999</v>
      </c>
      <c r="D278" s="168">
        <f>'E) Fact soc'!G284/C278</f>
        <v>19.102546824596008</v>
      </c>
      <c r="E278" s="159">
        <f>'H) Péréquation directe'!I289/C278</f>
        <v>15.840910998323388</v>
      </c>
      <c r="F278" s="206">
        <f>+'I) Dépenses thématiques'!O278/C278</f>
        <v>0</v>
      </c>
      <c r="G278" s="168">
        <f t="shared" si="23"/>
        <v>34.943457822919399</v>
      </c>
      <c r="H278" s="130">
        <f t="shared" si="20"/>
        <v>0</v>
      </c>
      <c r="I278" s="175">
        <f t="shared" si="22"/>
        <v>0</v>
      </c>
      <c r="J278" s="36">
        <f t="shared" si="21"/>
        <v>34.943457822919399</v>
      </c>
    </row>
    <row r="279" spans="1:10" x14ac:dyDescent="0.25">
      <c r="A279" s="53">
        <f>'A) Base RI'!A281</f>
        <v>5871</v>
      </c>
      <c r="B279" s="116" t="str">
        <f>'A) Base RI'!B281</f>
        <v>L'Abbaye</v>
      </c>
      <c r="C279" s="127">
        <f>'B) D RI'!U281</f>
        <v>41169.431926700228</v>
      </c>
      <c r="D279" s="168">
        <f>'E) Fact soc'!G285/C279</f>
        <v>21.792820089408689</v>
      </c>
      <c r="E279" s="159">
        <f>'H) Péréquation directe'!I290/C279</f>
        <v>-0.50432218311035371</v>
      </c>
      <c r="F279" s="206">
        <f>+'I) Dépenses thématiques'!O279/C279</f>
        <v>-6.8616539160526626</v>
      </c>
      <c r="G279" s="168">
        <f t="shared" si="23"/>
        <v>14.426843990245672</v>
      </c>
      <c r="H279" s="130">
        <f t="shared" si="20"/>
        <v>0</v>
      </c>
      <c r="I279" s="175">
        <f t="shared" si="22"/>
        <v>0</v>
      </c>
      <c r="J279" s="36">
        <f t="shared" si="21"/>
        <v>14.426843990245672</v>
      </c>
    </row>
    <row r="280" spans="1:10" x14ac:dyDescent="0.25">
      <c r="A280" s="53">
        <f>'A) Base RI'!A282</f>
        <v>5872</v>
      </c>
      <c r="B280" s="116" t="str">
        <f>'A) Base RI'!B282</f>
        <v>Le Chenit</v>
      </c>
      <c r="C280" s="127">
        <f>'B) D RI'!U282</f>
        <v>315523.99059233442</v>
      </c>
      <c r="D280" s="168">
        <f>'E) Fact soc'!G286/C280</f>
        <v>23.747621495628756</v>
      </c>
      <c r="E280" s="159">
        <f>'H) Péréquation directe'!I291/C280</f>
        <v>12.338780834013793</v>
      </c>
      <c r="F280" s="206">
        <f>+'I) Dépenses thématiques'!O280/C280</f>
        <v>-4.1777240561603604</v>
      </c>
      <c r="G280" s="168">
        <f t="shared" si="23"/>
        <v>31.908678273482192</v>
      </c>
      <c r="H280" s="130">
        <f t="shared" si="20"/>
        <v>0</v>
      </c>
      <c r="I280" s="175">
        <f t="shared" si="22"/>
        <v>0</v>
      </c>
      <c r="J280" s="36">
        <f t="shared" si="21"/>
        <v>31.908678273482192</v>
      </c>
    </row>
    <row r="281" spans="1:10" x14ac:dyDescent="0.25">
      <c r="A281" s="53">
        <f>'A) Base RI'!A283</f>
        <v>5873</v>
      </c>
      <c r="B281" s="116" t="str">
        <f>'A) Base RI'!B283</f>
        <v>Le Lieu</v>
      </c>
      <c r="C281" s="127">
        <f>'B) D RI'!U283</f>
        <v>30587.067025641027</v>
      </c>
      <c r="D281" s="168">
        <f>'E) Fact soc'!G287/C281</f>
        <v>24.48618405428757</v>
      </c>
      <c r="E281" s="159">
        <f>'H) Péréquation directe'!I292/C281</f>
        <v>11.379753242699765</v>
      </c>
      <c r="F281" s="206">
        <f>+'I) Dépenses thématiques'!O281/C281</f>
        <v>-29.694432138908386</v>
      </c>
      <c r="G281" s="168">
        <f t="shared" si="23"/>
        <v>6.1715051580789471</v>
      </c>
      <c r="H281" s="130">
        <f t="shared" si="20"/>
        <v>0</v>
      </c>
      <c r="I281" s="175">
        <f t="shared" si="22"/>
        <v>0</v>
      </c>
      <c r="J281" s="36">
        <f t="shared" si="21"/>
        <v>6.1715051580789471</v>
      </c>
    </row>
    <row r="282" spans="1:10" x14ac:dyDescent="0.25">
      <c r="A282" s="53">
        <f>'A) Base RI'!A284</f>
        <v>5881</v>
      </c>
      <c r="B282" s="116" t="str">
        <f>'A) Base RI'!B284</f>
        <v>Blonay</v>
      </c>
      <c r="C282" s="127">
        <f>'B) D RI'!U284</f>
        <v>332407.86157142854</v>
      </c>
      <c r="D282" s="168">
        <f>'E) Fact soc'!G288/C282</f>
        <v>18.951418564102742</v>
      </c>
      <c r="E282" s="159">
        <f>'H) Péréquation directe'!I293/C282</f>
        <v>11.234439445924464</v>
      </c>
      <c r="F282" s="206">
        <f>+'I) Dépenses thématiques'!O282/C282</f>
        <v>-2.633239086858302</v>
      </c>
      <c r="G282" s="168">
        <f t="shared" si="23"/>
        <v>27.5526189231689</v>
      </c>
      <c r="H282" s="130">
        <f t="shared" si="20"/>
        <v>0</v>
      </c>
      <c r="I282" s="175">
        <f t="shared" si="22"/>
        <v>0</v>
      </c>
      <c r="J282" s="36">
        <f t="shared" si="21"/>
        <v>27.5526189231689</v>
      </c>
    </row>
    <row r="283" spans="1:10" x14ac:dyDescent="0.25">
      <c r="A283" s="53">
        <f>'A) Base RI'!A285</f>
        <v>5882</v>
      </c>
      <c r="B283" s="116" t="str">
        <f>'A) Base RI'!B285</f>
        <v>Chardonne</v>
      </c>
      <c r="C283" s="127">
        <f>'B) D RI'!U285</f>
        <v>151089.46617647054</v>
      </c>
      <c r="D283" s="168">
        <f>'E) Fact soc'!G289/C283</f>
        <v>18.654354776653104</v>
      </c>
      <c r="E283" s="159">
        <f>'H) Péréquation directe'!I294/C283</f>
        <v>13.53077248191657</v>
      </c>
      <c r="F283" s="206">
        <f>+'I) Dépenses thématiques'!O283/C283</f>
        <v>-2.1016298105498166</v>
      </c>
      <c r="G283" s="168">
        <f t="shared" si="23"/>
        <v>30.083497448019855</v>
      </c>
      <c r="H283" s="130">
        <f t="shared" si="20"/>
        <v>0</v>
      </c>
      <c r="I283" s="175">
        <f t="shared" si="22"/>
        <v>0</v>
      </c>
      <c r="J283" s="36">
        <f t="shared" si="21"/>
        <v>30.083497448019855</v>
      </c>
    </row>
    <row r="284" spans="1:10" x14ac:dyDescent="0.25">
      <c r="A284" s="53">
        <f>'A) Base RI'!A286</f>
        <v>5883</v>
      </c>
      <c r="B284" s="116" t="str">
        <f>'A) Base RI'!B286</f>
        <v>Corseaux</v>
      </c>
      <c r="C284" s="127">
        <f>'B) D RI'!U286</f>
        <v>151117.63015625</v>
      </c>
      <c r="D284" s="168">
        <f>'E) Fact soc'!G290/C284</f>
        <v>20.980398852713652</v>
      </c>
      <c r="E284" s="159">
        <f>'H) Péréquation directe'!I295/C284</f>
        <v>13.943312307511787</v>
      </c>
      <c r="F284" s="206">
        <f>+'I) Dépenses thématiques'!O284/C284</f>
        <v>0</v>
      </c>
      <c r="G284" s="168">
        <f t="shared" si="23"/>
        <v>34.923711160225437</v>
      </c>
      <c r="H284" s="130">
        <f t="shared" si="20"/>
        <v>0</v>
      </c>
      <c r="I284" s="175">
        <f t="shared" si="22"/>
        <v>0</v>
      </c>
      <c r="J284" s="36">
        <f t="shared" si="21"/>
        <v>34.923711160225437</v>
      </c>
    </row>
    <row r="285" spans="1:10" x14ac:dyDescent="0.25">
      <c r="A285" s="53">
        <f>'A) Base RI'!A287</f>
        <v>5884</v>
      </c>
      <c r="B285" s="116" t="str">
        <f>'A) Base RI'!B287</f>
        <v>Corsier-sur-Vevey</v>
      </c>
      <c r="C285" s="127">
        <f>'B) D RI'!U287</f>
        <v>116440.6211111111</v>
      </c>
      <c r="D285" s="168">
        <f>'E) Fact soc'!G291/C285</f>
        <v>17.560350836267954</v>
      </c>
      <c r="E285" s="159">
        <f>'H) Péréquation directe'!I296/C285</f>
        <v>5.0536755124102202</v>
      </c>
      <c r="F285" s="206">
        <f>+'I) Dépenses thématiques'!O285/C285</f>
        <v>-7.7724983102887233</v>
      </c>
      <c r="G285" s="168">
        <f t="shared" si="23"/>
        <v>14.84152803838945</v>
      </c>
      <c r="H285" s="130">
        <f t="shared" si="20"/>
        <v>0</v>
      </c>
      <c r="I285" s="175">
        <f t="shared" si="22"/>
        <v>0</v>
      </c>
      <c r="J285" s="36">
        <f t="shared" si="21"/>
        <v>14.84152803838945</v>
      </c>
    </row>
    <row r="286" spans="1:10" x14ac:dyDescent="0.25">
      <c r="A286" s="53">
        <f>'A) Base RI'!A288</f>
        <v>5885</v>
      </c>
      <c r="B286" s="116" t="str">
        <f>'A) Base RI'!B288</f>
        <v>Jongny</v>
      </c>
      <c r="C286" s="127">
        <f>'B) D RI'!U288</f>
        <v>81843.123028169022</v>
      </c>
      <c r="D286" s="168">
        <f>'E) Fact soc'!G292/C286</f>
        <v>17.307309810838241</v>
      </c>
      <c r="E286" s="159">
        <f>'H) Péréquation directe'!I297/C286</f>
        <v>15.29706004153512</v>
      </c>
      <c r="F286" s="206">
        <f>+'I) Dépenses thématiques'!O286/C286</f>
        <v>-0.81483420815080621</v>
      </c>
      <c r="G286" s="168">
        <f t="shared" si="23"/>
        <v>31.789535644222553</v>
      </c>
      <c r="H286" s="130">
        <f t="shared" si="20"/>
        <v>0</v>
      </c>
      <c r="I286" s="175">
        <f t="shared" si="22"/>
        <v>0</v>
      </c>
      <c r="J286" s="36">
        <f t="shared" si="21"/>
        <v>31.789535644222553</v>
      </c>
    </row>
    <row r="287" spans="1:10" x14ac:dyDescent="0.25">
      <c r="A287" s="53">
        <f>'A) Base RI'!A289</f>
        <v>5886</v>
      </c>
      <c r="B287" s="116" t="str">
        <f>'A) Base RI'!B289</f>
        <v>Montreux</v>
      </c>
      <c r="C287" s="127">
        <f>'B) D RI'!U289</f>
        <v>1175239.0178974359</v>
      </c>
      <c r="D287" s="168">
        <f>'E) Fact soc'!G293/C287</f>
        <v>20.690185496161821</v>
      </c>
      <c r="E287" s="159">
        <f>'H) Péréquation directe'!I298/C287</f>
        <v>0.33641884229620989</v>
      </c>
      <c r="F287" s="206">
        <f>+'I) Dépenses thématiques'!O287/C287</f>
        <v>-4.3265194698358895</v>
      </c>
      <c r="G287" s="168">
        <f t="shared" si="23"/>
        <v>16.700084868622142</v>
      </c>
      <c r="H287" s="130">
        <f t="shared" si="20"/>
        <v>0</v>
      </c>
      <c r="I287" s="175">
        <f t="shared" si="22"/>
        <v>0</v>
      </c>
      <c r="J287" s="36">
        <f t="shared" si="21"/>
        <v>16.700084868622142</v>
      </c>
    </row>
    <row r="288" spans="1:10" x14ac:dyDescent="0.25">
      <c r="A288" s="53">
        <f>'A) Base RI'!A290</f>
        <v>5888</v>
      </c>
      <c r="B288" s="116" t="str">
        <f>'A) Base RI'!B290</f>
        <v>Saint-Légier-La Chiésaz</v>
      </c>
      <c r="C288" s="127">
        <f>'B) D RI'!U290</f>
        <v>307135.62007462693</v>
      </c>
      <c r="D288" s="168">
        <f>'E) Fact soc'!G294/C288</f>
        <v>18.215006027960015</v>
      </c>
      <c r="E288" s="159">
        <f>'H) Péréquation directe'!I299/C288</f>
        <v>12.108726548369853</v>
      </c>
      <c r="F288" s="206">
        <f>+'I) Dépenses thématiques'!O288/C288</f>
        <v>-0.84933182501559434</v>
      </c>
      <c r="G288" s="168">
        <f t="shared" si="23"/>
        <v>29.474400751314274</v>
      </c>
      <c r="H288" s="130">
        <f t="shared" si="20"/>
        <v>0</v>
      </c>
      <c r="I288" s="175">
        <f t="shared" si="22"/>
        <v>0</v>
      </c>
      <c r="J288" s="36">
        <f t="shared" si="21"/>
        <v>29.474400751314274</v>
      </c>
    </row>
    <row r="289" spans="1:10" x14ac:dyDescent="0.25">
      <c r="A289" s="53">
        <f>'A) Base RI'!A291</f>
        <v>5889</v>
      </c>
      <c r="B289" s="116" t="str">
        <f>'A) Base RI'!B291</f>
        <v>La Tour-de-Peilz</v>
      </c>
      <c r="C289" s="127">
        <f>'B) D RI'!U291</f>
        <v>618611.02559895837</v>
      </c>
      <c r="D289" s="168">
        <f>'E) Fact soc'!G295/C289</f>
        <v>18.158476826239536</v>
      </c>
      <c r="E289" s="159">
        <f>'H) Péréquation directe'!I300/C289</f>
        <v>8.2931224335379277</v>
      </c>
      <c r="F289" s="206">
        <f>+'I) Dépenses thématiques'!O289/C289</f>
        <v>0</v>
      </c>
      <c r="G289" s="168">
        <f t="shared" si="23"/>
        <v>26.451599259777463</v>
      </c>
      <c r="H289" s="130">
        <f t="shared" si="20"/>
        <v>0</v>
      </c>
      <c r="I289" s="175">
        <f t="shared" si="22"/>
        <v>0</v>
      </c>
      <c r="J289" s="36">
        <f t="shared" si="21"/>
        <v>26.451599259777463</v>
      </c>
    </row>
    <row r="290" spans="1:10" x14ac:dyDescent="0.25">
      <c r="A290" s="53">
        <f>'A) Base RI'!A292</f>
        <v>5890</v>
      </c>
      <c r="B290" s="116" t="str">
        <f>'A) Base RI'!B292</f>
        <v>Vevey</v>
      </c>
      <c r="C290" s="127">
        <f>'B) D RI'!U292</f>
        <v>909212.90865296812</v>
      </c>
      <c r="D290" s="168">
        <f>'E) Fact soc'!G296/C290</f>
        <v>17.231567520298857</v>
      </c>
      <c r="E290" s="159">
        <f>'H) Péréquation directe'!I301/C290</f>
        <v>2.7435429208587552</v>
      </c>
      <c r="F290" s="206">
        <f>+'I) Dépenses thématiques'!O290/C290</f>
        <v>-1.9709356866409877</v>
      </c>
      <c r="G290" s="168">
        <f t="shared" si="23"/>
        <v>18.004174754516622</v>
      </c>
      <c r="H290" s="130">
        <f t="shared" si="20"/>
        <v>0</v>
      </c>
      <c r="I290" s="175">
        <f t="shared" si="22"/>
        <v>0</v>
      </c>
      <c r="J290" s="36">
        <f t="shared" si="21"/>
        <v>18.004174754516622</v>
      </c>
    </row>
    <row r="291" spans="1:10" x14ac:dyDescent="0.25">
      <c r="A291" s="53">
        <f>'A) Base RI'!A293</f>
        <v>5891</v>
      </c>
      <c r="B291" s="116" t="str">
        <f>'A) Base RI'!B293</f>
        <v>Veytaux</v>
      </c>
      <c r="C291" s="127">
        <f>'B) D RI'!U293</f>
        <v>39510.481835748789</v>
      </c>
      <c r="D291" s="168">
        <f>'E) Fact soc'!G297/C291</f>
        <v>18.738819279619566</v>
      </c>
      <c r="E291" s="159">
        <f>'H) Péréquation directe'!I302/C291</f>
        <v>16.438199342489533</v>
      </c>
      <c r="F291" s="206">
        <f>+'I) Dépenses thématiques'!O291/C291</f>
        <v>-7.2337797729554776</v>
      </c>
      <c r="G291" s="168">
        <f t="shared" si="23"/>
        <v>27.943238849153623</v>
      </c>
      <c r="H291" s="130">
        <f t="shared" si="20"/>
        <v>0</v>
      </c>
      <c r="I291" s="175">
        <f t="shared" si="22"/>
        <v>0</v>
      </c>
      <c r="J291" s="36">
        <f t="shared" si="21"/>
        <v>27.943238849153623</v>
      </c>
    </row>
    <row r="292" spans="1:10" x14ac:dyDescent="0.25">
      <c r="A292" s="53">
        <f>'A) Base RI'!A294</f>
        <v>5902</v>
      </c>
      <c r="B292" s="116" t="str">
        <f>'A) Base RI'!B294</f>
        <v>Belmont-sur-Yverdon</v>
      </c>
      <c r="C292" s="127">
        <f>'B) D RI'!U294</f>
        <v>9227.1448684210518</v>
      </c>
      <c r="D292" s="168">
        <f>'E) Fact soc'!G298/C292</f>
        <v>15.55607810501597</v>
      </c>
      <c r="E292" s="159">
        <f>'H) Péréquation directe'!I303/C292</f>
        <v>-2.8847265050697333</v>
      </c>
      <c r="F292" s="206">
        <f>+'I) Dépenses thématiques'!O292/C292</f>
        <v>-0.81418171271063955</v>
      </c>
      <c r="G292" s="168">
        <f t="shared" si="23"/>
        <v>11.857169887235598</v>
      </c>
      <c r="H292" s="130">
        <f t="shared" si="20"/>
        <v>0</v>
      </c>
      <c r="I292" s="175">
        <f t="shared" si="22"/>
        <v>0</v>
      </c>
      <c r="J292" s="36">
        <f t="shared" si="21"/>
        <v>11.857169887235598</v>
      </c>
    </row>
    <row r="293" spans="1:10" x14ac:dyDescent="0.25">
      <c r="A293" s="53">
        <f>'A) Base RI'!A295</f>
        <v>5903</v>
      </c>
      <c r="B293" s="116" t="str">
        <f>'A) Base RI'!B295</f>
        <v>Bioley-Magnoux</v>
      </c>
      <c r="C293" s="127">
        <f>'B) D RI'!U295</f>
        <v>5953.911158301159</v>
      </c>
      <c r="D293" s="168">
        <f>'E) Fact soc'!G299/C293</f>
        <v>16.839412527547935</v>
      </c>
      <c r="E293" s="159">
        <f>'H) Péréquation directe'!I304/C293</f>
        <v>-0.64325389128891541</v>
      </c>
      <c r="F293" s="206">
        <f>+'I) Dépenses thématiques'!O293/C293</f>
        <v>-36.89387213096655</v>
      </c>
      <c r="G293" s="168">
        <f t="shared" si="23"/>
        <v>-20.697713494707529</v>
      </c>
      <c r="H293" s="130">
        <f t="shared" si="20"/>
        <v>0</v>
      </c>
      <c r="I293" s="175">
        <f t="shared" si="22"/>
        <v>0</v>
      </c>
      <c r="J293" s="36">
        <f t="shared" si="21"/>
        <v>-20.697713494707529</v>
      </c>
    </row>
    <row r="294" spans="1:10" x14ac:dyDescent="0.25">
      <c r="A294" s="53">
        <f>'A) Base RI'!A296</f>
        <v>5904</v>
      </c>
      <c r="B294" s="116" t="str">
        <f>'A) Base RI'!B296</f>
        <v>Chamblon</v>
      </c>
      <c r="C294" s="127">
        <f>'B) D RI'!U296</f>
        <v>22914.009848484849</v>
      </c>
      <c r="D294" s="168">
        <f>'E) Fact soc'!G300/C294</f>
        <v>16.143000739525416</v>
      </c>
      <c r="E294" s="159">
        <f>'H) Péréquation directe'!I305/C294</f>
        <v>15.251606441302773</v>
      </c>
      <c r="F294" s="206">
        <f>+'I) Dépenses thématiques'!O294/C294</f>
        <v>0</v>
      </c>
      <c r="G294" s="168">
        <f t="shared" si="23"/>
        <v>31.394607180828189</v>
      </c>
      <c r="H294" s="130">
        <f t="shared" si="20"/>
        <v>0</v>
      </c>
      <c r="I294" s="175">
        <f t="shared" si="22"/>
        <v>0</v>
      </c>
      <c r="J294" s="36">
        <f t="shared" si="21"/>
        <v>31.394607180828189</v>
      </c>
    </row>
    <row r="295" spans="1:10" x14ac:dyDescent="0.25">
      <c r="A295" s="53">
        <f>'A) Base RI'!A297</f>
        <v>5905</v>
      </c>
      <c r="B295" s="116" t="str">
        <f>'A) Base RI'!B297</f>
        <v>Champvent</v>
      </c>
      <c r="C295" s="127">
        <f>'B) D RI'!U297</f>
        <v>21038.740140845071</v>
      </c>
      <c r="D295" s="168">
        <f>'E) Fact soc'!G301/C295</f>
        <v>20.983096190830651</v>
      </c>
      <c r="E295" s="159">
        <f>'H) Péréquation directe'!I306/C295</f>
        <v>8.1195792442268306</v>
      </c>
      <c r="F295" s="206">
        <f>+'I) Dépenses thématiques'!O295/C295</f>
        <v>-2.1241527624633738</v>
      </c>
      <c r="G295" s="168">
        <f t="shared" si="23"/>
        <v>26.978522672594107</v>
      </c>
      <c r="H295" s="130">
        <f t="shared" si="20"/>
        <v>0</v>
      </c>
      <c r="I295" s="175">
        <f t="shared" si="22"/>
        <v>0</v>
      </c>
      <c r="J295" s="36">
        <f t="shared" si="21"/>
        <v>26.978522672594107</v>
      </c>
    </row>
    <row r="296" spans="1:10" x14ac:dyDescent="0.25">
      <c r="A296" s="53">
        <f>'A) Base RI'!A298</f>
        <v>5907</v>
      </c>
      <c r="B296" s="116" t="str">
        <f>'A) Base RI'!B298</f>
        <v>Chavannes-le-Chêne</v>
      </c>
      <c r="C296" s="127">
        <f>'B) D RI'!U298</f>
        <v>8819.3566666666684</v>
      </c>
      <c r="D296" s="168">
        <f>'E) Fact soc'!G302/C296</f>
        <v>17.751848883087082</v>
      </c>
      <c r="E296" s="159">
        <f>'H) Péréquation directe'!I307/C296</f>
        <v>3.0494464580995646</v>
      </c>
      <c r="F296" s="206">
        <f>+'I) Dépenses thématiques'!O296/C296</f>
        <v>-8.1806355478937185</v>
      </c>
      <c r="G296" s="168">
        <f t="shared" si="23"/>
        <v>12.620659793292926</v>
      </c>
      <c r="H296" s="130">
        <f t="shared" si="20"/>
        <v>0</v>
      </c>
      <c r="I296" s="175">
        <f t="shared" si="22"/>
        <v>0</v>
      </c>
      <c r="J296" s="36">
        <f t="shared" si="21"/>
        <v>12.620659793292926</v>
      </c>
    </row>
    <row r="297" spans="1:10" x14ac:dyDescent="0.25">
      <c r="A297" s="53">
        <f>'A) Base RI'!A299</f>
        <v>5908</v>
      </c>
      <c r="B297" s="116" t="str">
        <f>'A) Base RI'!B299</f>
        <v>Chêne-Pâquier</v>
      </c>
      <c r="C297" s="127">
        <f>'B) D RI'!U299</f>
        <v>2915.1287341772154</v>
      </c>
      <c r="D297" s="168">
        <f>'E) Fact soc'!G303/C297</f>
        <v>16.716833674654993</v>
      </c>
      <c r="E297" s="159">
        <f>'H) Péréquation directe'!I308/C297</f>
        <v>-14.053353683557578</v>
      </c>
      <c r="F297" s="206">
        <f>+'I) Dépenses thématiques'!O297/C297</f>
        <v>-4.2754036012778514</v>
      </c>
      <c r="G297" s="168">
        <f t="shared" si="23"/>
        <v>-1.6119236101804368</v>
      </c>
      <c r="H297" s="130">
        <f t="shared" si="20"/>
        <v>0</v>
      </c>
      <c r="I297" s="175">
        <f t="shared" si="22"/>
        <v>0</v>
      </c>
      <c r="J297" s="36">
        <f t="shared" si="21"/>
        <v>-1.6119236101804368</v>
      </c>
    </row>
    <row r="298" spans="1:10" x14ac:dyDescent="0.25">
      <c r="A298" s="53">
        <f>'A) Base RI'!A300</f>
        <v>5909</v>
      </c>
      <c r="B298" s="116" t="str">
        <f>'A) Base RI'!B300</f>
        <v>Cheseaux-Noréaz</v>
      </c>
      <c r="C298" s="127">
        <f>'B) D RI'!U300</f>
        <v>24771.110857142852</v>
      </c>
      <c r="D298" s="168">
        <f>'E) Fact soc'!G304/C298</f>
        <v>16.749532606667621</v>
      </c>
      <c r="E298" s="159">
        <f>'H) Péréquation directe'!I309/C298</f>
        <v>12.119538277424065</v>
      </c>
      <c r="F298" s="206">
        <f>+'I) Dépenses thématiques'!O298/C298</f>
        <v>-4.8501280099330728</v>
      </c>
      <c r="G298" s="168">
        <f t="shared" si="23"/>
        <v>24.018942874158611</v>
      </c>
      <c r="H298" s="130">
        <f t="shared" si="20"/>
        <v>0</v>
      </c>
      <c r="I298" s="175">
        <f t="shared" si="22"/>
        <v>0</v>
      </c>
      <c r="J298" s="36">
        <f t="shared" si="21"/>
        <v>24.018942874158611</v>
      </c>
    </row>
    <row r="299" spans="1:10" x14ac:dyDescent="0.25">
      <c r="A299" s="53">
        <f>'A) Base RI'!A301</f>
        <v>5910</v>
      </c>
      <c r="B299" s="116" t="str">
        <f>'A) Base RI'!B301</f>
        <v>Cronay</v>
      </c>
      <c r="C299" s="127">
        <f>'B) D RI'!U301</f>
        <v>10097.267848101266</v>
      </c>
      <c r="D299" s="168">
        <f>'E) Fact soc'!G305/C299</f>
        <v>16.524118458824471</v>
      </c>
      <c r="E299" s="159">
        <f>'H) Péréquation directe'!I310/C299</f>
        <v>-1.599998009913955</v>
      </c>
      <c r="F299" s="206">
        <f>+'I) Dépenses thématiques'!O299/C299</f>
        <v>-11.553611261152419</v>
      </c>
      <c r="G299" s="168">
        <f t="shared" si="23"/>
        <v>3.3705091877580973</v>
      </c>
      <c r="H299" s="130">
        <f t="shared" si="20"/>
        <v>0</v>
      </c>
      <c r="I299" s="175">
        <f t="shared" si="22"/>
        <v>0</v>
      </c>
      <c r="J299" s="36">
        <f t="shared" si="21"/>
        <v>3.3705091877580973</v>
      </c>
    </row>
    <row r="300" spans="1:10" x14ac:dyDescent="0.25">
      <c r="A300" s="53">
        <f>'A) Base RI'!A302</f>
        <v>5911</v>
      </c>
      <c r="B300" s="116" t="str">
        <f>'A) Base RI'!B302</f>
        <v>Cuarny</v>
      </c>
      <c r="C300" s="127">
        <f>'B) D RI'!U302</f>
        <v>7741.5774683544305</v>
      </c>
      <c r="D300" s="168">
        <f>'E) Fact soc'!G306/C300</f>
        <v>14.7988897502012</v>
      </c>
      <c r="E300" s="159">
        <f>'H) Péréquation directe'!I311/C300</f>
        <v>6.8130220676850284</v>
      </c>
      <c r="F300" s="206">
        <f>+'I) Dépenses thématiques'!O300/C300</f>
        <v>-13.302677066616214</v>
      </c>
      <c r="G300" s="168">
        <f t="shared" si="23"/>
        <v>8.3092347512700133</v>
      </c>
      <c r="H300" s="130">
        <f t="shared" si="20"/>
        <v>0</v>
      </c>
      <c r="I300" s="175">
        <f t="shared" si="22"/>
        <v>0</v>
      </c>
      <c r="J300" s="36">
        <f t="shared" si="21"/>
        <v>8.3092347512700133</v>
      </c>
    </row>
    <row r="301" spans="1:10" x14ac:dyDescent="0.25">
      <c r="A301" s="53">
        <f>'A) Base RI'!A303</f>
        <v>5912</v>
      </c>
      <c r="B301" s="116" t="str">
        <f>'A) Base RI'!B303</f>
        <v>Démoret</v>
      </c>
      <c r="C301" s="127">
        <f>'B) D RI'!U303</f>
        <v>2761.8208641975311</v>
      </c>
      <c r="D301" s="168">
        <f>'E) Fact soc'!G307/C301</f>
        <v>16.478403487762698</v>
      </c>
      <c r="E301" s="159">
        <f>'H) Péréquation directe'!I312/C301</f>
        <v>-12.467095963954439</v>
      </c>
      <c r="F301" s="206">
        <f>+'I) Dépenses thématiques'!O301/C301</f>
        <v>-6.0737556712168876</v>
      </c>
      <c r="G301" s="168">
        <f t="shared" si="23"/>
        <v>-2.0624481474086283</v>
      </c>
      <c r="H301" s="130">
        <f t="shared" si="20"/>
        <v>0</v>
      </c>
      <c r="I301" s="175">
        <f t="shared" si="22"/>
        <v>0</v>
      </c>
      <c r="J301" s="36">
        <f t="shared" si="21"/>
        <v>-2.0624481474086283</v>
      </c>
    </row>
    <row r="302" spans="1:10" x14ac:dyDescent="0.25">
      <c r="A302" s="53">
        <f>'A) Base RI'!A304</f>
        <v>5913</v>
      </c>
      <c r="B302" s="116" t="str">
        <f>'A) Base RI'!B304</f>
        <v>Donneloye</v>
      </c>
      <c r="C302" s="127">
        <f>'B) D RI'!U304</f>
        <v>21023.999589041094</v>
      </c>
      <c r="D302" s="168">
        <f>'E) Fact soc'!G308/C302</f>
        <v>17.798238847397343</v>
      </c>
      <c r="E302" s="159">
        <f>'H) Péréquation directe'!I313/C302</f>
        <v>1.4066396445826774</v>
      </c>
      <c r="F302" s="206">
        <f>+'I) Dépenses thématiques'!O302/C302</f>
        <v>-3.5180436919634173</v>
      </c>
      <c r="G302" s="168">
        <f t="shared" si="23"/>
        <v>15.686834800016605</v>
      </c>
      <c r="H302" s="130">
        <f t="shared" si="20"/>
        <v>0</v>
      </c>
      <c r="I302" s="175">
        <f t="shared" si="22"/>
        <v>0</v>
      </c>
      <c r="J302" s="36">
        <f t="shared" si="21"/>
        <v>15.686834800016605</v>
      </c>
    </row>
    <row r="303" spans="1:10" x14ac:dyDescent="0.25">
      <c r="A303" s="53">
        <f>'A) Base RI'!A305</f>
        <v>5914</v>
      </c>
      <c r="B303" s="116" t="str">
        <f>'A) Base RI'!B305</f>
        <v>Ependes</v>
      </c>
      <c r="C303" s="127">
        <f>'B) D RI'!U305</f>
        <v>8838.0616000000009</v>
      </c>
      <c r="D303" s="168">
        <f>'E) Fact soc'!G309/C303</f>
        <v>15.464824788334482</v>
      </c>
      <c r="E303" s="159">
        <f>'H) Péréquation directe'!I314/C303</f>
        <v>-2.1207926251250333</v>
      </c>
      <c r="F303" s="206">
        <f>+'I) Dépenses thématiques'!O303/C303</f>
        <v>-4.0934325104069913</v>
      </c>
      <c r="G303" s="168">
        <f t="shared" si="23"/>
        <v>9.2505996528024568</v>
      </c>
      <c r="H303" s="130">
        <f t="shared" si="20"/>
        <v>0</v>
      </c>
      <c r="I303" s="175">
        <f t="shared" si="22"/>
        <v>0</v>
      </c>
      <c r="J303" s="36">
        <f t="shared" si="21"/>
        <v>9.2505996528024568</v>
      </c>
    </row>
    <row r="304" spans="1:10" x14ac:dyDescent="0.25">
      <c r="A304" s="53">
        <f>'A) Base RI'!A306</f>
        <v>5915</v>
      </c>
      <c r="B304" s="116" t="str">
        <f>'A) Base RI'!B306</f>
        <v>Essert-Pittet</v>
      </c>
      <c r="C304" s="127">
        <f>'B) D RI'!U306</f>
        <v>3860.3839529411766</v>
      </c>
      <c r="D304" s="168">
        <f>'E) Fact soc'!G310/C304</f>
        <v>14.68079565490868</v>
      </c>
      <c r="E304" s="159">
        <f>'H) Péréquation directe'!I315/C304</f>
        <v>-6.9550701247209155</v>
      </c>
      <c r="F304" s="206">
        <f>+'I) Dépenses thématiques'!O304/C304</f>
        <v>-10.009447982544421</v>
      </c>
      <c r="G304" s="168">
        <f t="shared" si="23"/>
        <v>-2.2837224523566562</v>
      </c>
      <c r="H304" s="130">
        <f t="shared" si="20"/>
        <v>0</v>
      </c>
      <c r="I304" s="175">
        <f t="shared" si="22"/>
        <v>0</v>
      </c>
      <c r="J304" s="36">
        <f t="shared" si="21"/>
        <v>-2.2837224523566562</v>
      </c>
    </row>
    <row r="305" spans="1:10" x14ac:dyDescent="0.25">
      <c r="A305" s="53">
        <f>'A) Base RI'!A307</f>
        <v>5919</v>
      </c>
      <c r="B305" s="116" t="str">
        <f>'A) Base RI'!B307</f>
        <v>Mathod</v>
      </c>
      <c r="C305" s="127">
        <f>'B) D RI'!U307</f>
        <v>16883.878828828827</v>
      </c>
      <c r="D305" s="168">
        <f>'E) Fact soc'!G311/C305</f>
        <v>19.735799385448729</v>
      </c>
      <c r="E305" s="159">
        <f>'H) Péréquation directe'!I316/C305</f>
        <v>1.764793745389825</v>
      </c>
      <c r="F305" s="206">
        <f>+'I) Dépenses thématiques'!O305/C305</f>
        <v>-5.8527601374213294</v>
      </c>
      <c r="G305" s="168">
        <f t="shared" si="23"/>
        <v>15.647832993417223</v>
      </c>
      <c r="H305" s="130">
        <f t="shared" si="20"/>
        <v>0</v>
      </c>
      <c r="I305" s="175">
        <f t="shared" si="22"/>
        <v>0</v>
      </c>
      <c r="J305" s="36">
        <f t="shared" si="21"/>
        <v>15.647832993417223</v>
      </c>
    </row>
    <row r="306" spans="1:10" x14ac:dyDescent="0.25">
      <c r="A306" s="53">
        <f>'A) Base RI'!A308</f>
        <v>5921</v>
      </c>
      <c r="B306" s="116" t="str">
        <f>'A) Base RI'!B308</f>
        <v>Molondin</v>
      </c>
      <c r="C306" s="127">
        <f>'B) D RI'!U308</f>
        <v>5518.0840740740732</v>
      </c>
      <c r="D306" s="168">
        <f>'E) Fact soc'!G312/C306</f>
        <v>17.850728790538682</v>
      </c>
      <c r="E306" s="159">
        <f>'H) Péréquation directe'!I317/C306</f>
        <v>-4.7930803914369458</v>
      </c>
      <c r="F306" s="206">
        <f>+'I) Dépenses thématiques'!O306/C306</f>
        <v>-11.482665507165585</v>
      </c>
      <c r="G306" s="168">
        <f t="shared" si="23"/>
        <v>1.5749828919361519</v>
      </c>
      <c r="H306" s="130">
        <f t="shared" si="20"/>
        <v>0</v>
      </c>
      <c r="I306" s="175">
        <f t="shared" si="22"/>
        <v>0</v>
      </c>
      <c r="J306" s="36">
        <f t="shared" si="21"/>
        <v>1.5749828919361519</v>
      </c>
    </row>
    <row r="307" spans="1:10" x14ac:dyDescent="0.25">
      <c r="A307" s="53">
        <f>'A) Base RI'!A309</f>
        <v>5922</v>
      </c>
      <c r="B307" s="116" t="str">
        <f>'A) Base RI'!B309</f>
        <v>Montagny-près-Yverdon</v>
      </c>
      <c r="C307" s="127">
        <f>'B) D RI'!U309</f>
        <v>45028.443278688515</v>
      </c>
      <c r="D307" s="168">
        <f>'E) Fact soc'!G313/C307</f>
        <v>17.55280230190608</v>
      </c>
      <c r="E307" s="159">
        <f>'H) Péréquation directe'!I318/C307</f>
        <v>16.373299526417231</v>
      </c>
      <c r="F307" s="206">
        <f>+'I) Dépenses thématiques'!O307/C307</f>
        <v>-2.4979510516268504</v>
      </c>
      <c r="G307" s="168">
        <f t="shared" si="23"/>
        <v>31.428150776696462</v>
      </c>
      <c r="H307" s="130">
        <f t="shared" si="20"/>
        <v>0</v>
      </c>
      <c r="I307" s="175">
        <f t="shared" si="22"/>
        <v>0</v>
      </c>
      <c r="J307" s="36">
        <f t="shared" si="21"/>
        <v>31.428150776696462</v>
      </c>
    </row>
    <row r="308" spans="1:10" x14ac:dyDescent="0.25">
      <c r="A308" s="53">
        <f>'A) Base RI'!A310</f>
        <v>5923</v>
      </c>
      <c r="B308" s="116" t="str">
        <f>'A) Base RI'!B310</f>
        <v>Oppens</v>
      </c>
      <c r="C308" s="127">
        <f>'B) D RI'!U310</f>
        <v>4881.0219753086412</v>
      </c>
      <c r="D308" s="168">
        <f>'E) Fact soc'!G314/C308</f>
        <v>21.021115176823049</v>
      </c>
      <c r="E308" s="159">
        <f>'H) Péréquation directe'!I319/C308</f>
        <v>-2.0083835776885492</v>
      </c>
      <c r="F308" s="206">
        <f>+'I) Dépenses thématiques'!O308/C308</f>
        <v>-7.5298664511173516</v>
      </c>
      <c r="G308" s="168">
        <f t="shared" si="23"/>
        <v>11.482865148017149</v>
      </c>
      <c r="H308" s="130">
        <f t="shared" si="20"/>
        <v>0</v>
      </c>
      <c r="I308" s="175">
        <f t="shared" si="22"/>
        <v>0</v>
      </c>
      <c r="J308" s="36">
        <f t="shared" si="21"/>
        <v>11.482865148017149</v>
      </c>
    </row>
    <row r="309" spans="1:10" x14ac:dyDescent="0.25">
      <c r="A309" s="53">
        <f>'A) Base RI'!A311</f>
        <v>5924</v>
      </c>
      <c r="B309" s="116" t="str">
        <f>'A) Base RI'!B311</f>
        <v>Orges</v>
      </c>
      <c r="C309" s="127">
        <f>'B) D RI'!U311</f>
        <v>9476.448378378378</v>
      </c>
      <c r="D309" s="168">
        <f>'E) Fact soc'!G315/C309</f>
        <v>16.679036344483272</v>
      </c>
      <c r="E309" s="159">
        <f>'H) Péréquation directe'!I320/C309</f>
        <v>7.6708655453280974</v>
      </c>
      <c r="F309" s="206">
        <f>+'I) Dépenses thématiques'!O309/C309</f>
        <v>0</v>
      </c>
      <c r="G309" s="168">
        <f t="shared" si="23"/>
        <v>24.34990188981137</v>
      </c>
      <c r="H309" s="130">
        <f t="shared" si="20"/>
        <v>0</v>
      </c>
      <c r="I309" s="175">
        <f t="shared" si="22"/>
        <v>0</v>
      </c>
      <c r="J309" s="36">
        <f t="shared" si="21"/>
        <v>24.34990188981137</v>
      </c>
    </row>
    <row r="310" spans="1:10" x14ac:dyDescent="0.25">
      <c r="A310" s="53">
        <f>'A) Base RI'!A312</f>
        <v>5925</v>
      </c>
      <c r="B310" s="116" t="str">
        <f>'A) Base RI'!B312</f>
        <v>Orzens</v>
      </c>
      <c r="C310" s="127">
        <f>'B) D RI'!U312</f>
        <v>4875.4426582278484</v>
      </c>
      <c r="D310" s="168">
        <f>'E) Fact soc'!G316/C310</f>
        <v>17.139926246022526</v>
      </c>
      <c r="E310" s="159">
        <f>'H) Péréquation directe'!I321/C310</f>
        <v>-5.660251386111967</v>
      </c>
      <c r="F310" s="206">
        <f>+'I) Dépenses thématiques'!O310/C310</f>
        <v>-2.3217350604206466</v>
      </c>
      <c r="G310" s="168">
        <f t="shared" si="23"/>
        <v>9.1579397994899132</v>
      </c>
      <c r="H310" s="130">
        <f t="shared" si="20"/>
        <v>0</v>
      </c>
      <c r="I310" s="175">
        <f t="shared" si="22"/>
        <v>0</v>
      </c>
      <c r="J310" s="36">
        <f t="shared" si="21"/>
        <v>9.1579397994899132</v>
      </c>
    </row>
    <row r="311" spans="1:10" x14ac:dyDescent="0.25">
      <c r="A311" s="53">
        <f>'A) Base RI'!A313</f>
        <v>5926</v>
      </c>
      <c r="B311" s="116" t="str">
        <f>'A) Base RI'!B313</f>
        <v>Pomy</v>
      </c>
      <c r="C311" s="127">
        <f>'B) D RI'!U313</f>
        <v>22774.42661971831</v>
      </c>
      <c r="D311" s="168">
        <f>'E) Fact soc'!G317/C311</f>
        <v>17.818863904517052</v>
      </c>
      <c r="E311" s="159">
        <f>'H) Péréquation directe'!I322/C311</f>
        <v>5.7703099420771151</v>
      </c>
      <c r="F311" s="206">
        <f>+'I) Dépenses thématiques'!O311/C311</f>
        <v>-0.89633076602753836</v>
      </c>
      <c r="G311" s="168">
        <f t="shared" si="23"/>
        <v>22.692843080566629</v>
      </c>
      <c r="H311" s="130">
        <f t="shared" si="20"/>
        <v>0</v>
      </c>
      <c r="I311" s="175">
        <f t="shared" si="22"/>
        <v>0</v>
      </c>
      <c r="J311" s="36">
        <f t="shared" si="21"/>
        <v>22.692843080566629</v>
      </c>
    </row>
    <row r="312" spans="1:10" x14ac:dyDescent="0.25">
      <c r="A312" s="53">
        <f>'A) Base RI'!A314</f>
        <v>5928</v>
      </c>
      <c r="B312" s="116" t="str">
        <f>'A) Base RI'!B314</f>
        <v>Rovray</v>
      </c>
      <c r="C312" s="127">
        <f>'B) D RI'!U314</f>
        <v>4451.7282191780823</v>
      </c>
      <c r="D312" s="168">
        <f>'E) Fact soc'!G318/C312</f>
        <v>16.765183122402682</v>
      </c>
      <c r="E312" s="159">
        <f>'H) Péréquation directe'!I323/C312</f>
        <v>-0.2368745978416065</v>
      </c>
      <c r="F312" s="206">
        <f>+'I) Dépenses thématiques'!O312/C312</f>
        <v>-2.2463477778068044</v>
      </c>
      <c r="G312" s="168">
        <f t="shared" si="23"/>
        <v>14.281960746754272</v>
      </c>
      <c r="H312" s="130">
        <f t="shared" si="20"/>
        <v>0</v>
      </c>
      <c r="I312" s="175">
        <f t="shared" si="22"/>
        <v>0</v>
      </c>
      <c r="J312" s="36">
        <f t="shared" si="21"/>
        <v>14.281960746754272</v>
      </c>
    </row>
    <row r="313" spans="1:10" x14ac:dyDescent="0.25">
      <c r="A313" s="53">
        <f>'A) Base RI'!A315</f>
        <v>5929</v>
      </c>
      <c r="B313" s="116" t="str">
        <f>'A) Base RI'!B315</f>
        <v>Suchy</v>
      </c>
      <c r="C313" s="127">
        <f>'B) D RI'!U315</f>
        <v>16583.788428571432</v>
      </c>
      <c r="D313" s="168">
        <f>'E) Fact soc'!G319/C313</f>
        <v>16.371962278763075</v>
      </c>
      <c r="E313" s="159">
        <f>'H) Péréquation directe'!I324/C313</f>
        <v>2.9852003557402362</v>
      </c>
      <c r="F313" s="206">
        <f>+'I) Dépenses thématiques'!O313/C313</f>
        <v>-0.90621988965771461</v>
      </c>
      <c r="G313" s="168">
        <f t="shared" si="23"/>
        <v>18.450942744845598</v>
      </c>
      <c r="H313" s="130">
        <f t="shared" si="20"/>
        <v>0</v>
      </c>
      <c r="I313" s="175">
        <f t="shared" si="22"/>
        <v>0</v>
      </c>
      <c r="J313" s="36">
        <f t="shared" si="21"/>
        <v>18.450942744845598</v>
      </c>
    </row>
    <row r="314" spans="1:10" x14ac:dyDescent="0.25">
      <c r="A314" s="53">
        <f>'A) Base RI'!A316</f>
        <v>5930</v>
      </c>
      <c r="B314" s="116" t="str">
        <f>'A) Base RI'!B316</f>
        <v>Suscévaz</v>
      </c>
      <c r="C314" s="127">
        <f>'B) D RI'!U316</f>
        <v>4886.5228787878787</v>
      </c>
      <c r="D314" s="168">
        <f>'E) Fact soc'!G320/C314</f>
        <v>17.318600541998393</v>
      </c>
      <c r="E314" s="159">
        <f>'H) Péréquation directe'!I325/C314</f>
        <v>0.15935517598869575</v>
      </c>
      <c r="F314" s="206">
        <f>+'I) Dépenses thématiques'!O314/C314</f>
        <v>-7.4773066196375762E-2</v>
      </c>
      <c r="G314" s="168">
        <f t="shared" si="23"/>
        <v>17.403182651790715</v>
      </c>
      <c r="H314" s="130">
        <f t="shared" si="20"/>
        <v>0</v>
      </c>
      <c r="I314" s="175">
        <f t="shared" si="22"/>
        <v>0</v>
      </c>
      <c r="J314" s="36">
        <f t="shared" si="21"/>
        <v>17.403182651790715</v>
      </c>
    </row>
    <row r="315" spans="1:10" x14ac:dyDescent="0.25">
      <c r="A315" s="53">
        <f>'A) Base RI'!A317</f>
        <v>5931</v>
      </c>
      <c r="B315" s="116" t="str">
        <f>'A) Base RI'!B317</f>
        <v>Treycovagnes</v>
      </c>
      <c r="C315" s="127">
        <f>'B) D RI'!U317</f>
        <v>16368.774155844154</v>
      </c>
      <c r="D315" s="168">
        <f>'E) Fact soc'!G321/C315</f>
        <v>15.517430497750048</v>
      </c>
      <c r="E315" s="159">
        <f>'H) Péréquation directe'!I326/C315</f>
        <v>11.099241389465297</v>
      </c>
      <c r="F315" s="206">
        <f>+'I) Dépenses thématiques'!O315/C315</f>
        <v>0</v>
      </c>
      <c r="G315" s="168">
        <f t="shared" si="23"/>
        <v>26.616671887215347</v>
      </c>
      <c r="H315" s="130">
        <f t="shared" si="20"/>
        <v>0</v>
      </c>
      <c r="I315" s="175">
        <f>H315*C315</f>
        <v>0</v>
      </c>
      <c r="J315" s="36">
        <f t="shared" si="21"/>
        <v>26.616671887215347</v>
      </c>
    </row>
    <row r="316" spans="1:10" x14ac:dyDescent="0.25">
      <c r="A316" s="53">
        <f>'A) Base RI'!A318</f>
        <v>5932</v>
      </c>
      <c r="B316" s="116" t="str">
        <f>'A) Base RI'!B318</f>
        <v>Ursins</v>
      </c>
      <c r="C316" s="127">
        <f>'B) D RI'!U318</f>
        <v>6366.2738461538456</v>
      </c>
      <c r="D316" s="168">
        <f>'E) Fact soc'!G322/C316</f>
        <v>16.022013086883039</v>
      </c>
      <c r="E316" s="159">
        <f>'H) Péréquation directe'!I327/C316</f>
        <v>4.2550496896538883</v>
      </c>
      <c r="F316" s="206">
        <f>+'I) Dépenses thématiques'!O316/C316</f>
        <v>-22.303194519619254</v>
      </c>
      <c r="G316" s="168">
        <f t="shared" si="23"/>
        <v>-2.0261317430823276</v>
      </c>
      <c r="H316" s="130">
        <f t="shared" si="20"/>
        <v>0</v>
      </c>
      <c r="I316" s="175">
        <f t="shared" si="22"/>
        <v>0</v>
      </c>
      <c r="J316" s="36">
        <f t="shared" si="21"/>
        <v>-2.0261317430823276</v>
      </c>
    </row>
    <row r="317" spans="1:10" x14ac:dyDescent="0.25">
      <c r="A317" s="53">
        <f>'A) Base RI'!A319</f>
        <v>5933</v>
      </c>
      <c r="B317" s="116" t="str">
        <f>'A) Base RI'!B319</f>
        <v>Valeyres-sous-Montagny</v>
      </c>
      <c r="C317" s="127">
        <f>'B) D RI'!U319</f>
        <v>19578.46263888889</v>
      </c>
      <c r="D317" s="168">
        <f>'E) Fact soc'!G323/C317</f>
        <v>17.06413146837642</v>
      </c>
      <c r="E317" s="159">
        <f>'H) Péréquation directe'!I328/C317</f>
        <v>3.6577448140971751</v>
      </c>
      <c r="F317" s="206">
        <f>+'I) Dépenses thématiques'!O317/C317</f>
        <v>-13.859269016167044</v>
      </c>
      <c r="G317" s="168">
        <f t="shared" si="23"/>
        <v>6.8626072663065507</v>
      </c>
      <c r="H317" s="130">
        <f t="shared" si="20"/>
        <v>0</v>
      </c>
      <c r="I317" s="175">
        <f t="shared" si="22"/>
        <v>0</v>
      </c>
      <c r="J317" s="36">
        <f t="shared" si="21"/>
        <v>6.8626072663065507</v>
      </c>
    </row>
    <row r="318" spans="1:10" x14ac:dyDescent="0.25">
      <c r="A318" s="53">
        <f>'A) Base RI'!A320</f>
        <v>5934</v>
      </c>
      <c r="B318" s="116" t="str">
        <f>'A) Base RI'!B320</f>
        <v>Valeyres-sous-Ursins</v>
      </c>
      <c r="C318" s="127">
        <f>'B) D RI'!U320</f>
        <v>6856.0722784810141</v>
      </c>
      <c r="D318" s="168">
        <f>'E) Fact soc'!G324/C318</f>
        <v>17.298958704239631</v>
      </c>
      <c r="E318" s="159">
        <f>'H) Péréquation directe'!I329/C318</f>
        <v>0.32646199949431826</v>
      </c>
      <c r="F318" s="206">
        <f>+'I) Dépenses thématiques'!O318/C318</f>
        <v>-1.3446704898144128</v>
      </c>
      <c r="G318" s="168">
        <f t="shared" si="23"/>
        <v>16.280750213919536</v>
      </c>
      <c r="H318" s="130">
        <f t="shared" si="20"/>
        <v>0</v>
      </c>
      <c r="I318" s="175">
        <f t="shared" si="22"/>
        <v>0</v>
      </c>
      <c r="J318" s="36">
        <f t="shared" si="21"/>
        <v>16.280750213919536</v>
      </c>
    </row>
    <row r="319" spans="1:10" x14ac:dyDescent="0.25">
      <c r="A319" s="53">
        <f>'A) Base RI'!A321</f>
        <v>5935</v>
      </c>
      <c r="B319" s="116" t="str">
        <f>'A) Base RI'!B321</f>
        <v>Villars-Epeney</v>
      </c>
      <c r="C319" s="127">
        <f>'B) D RI'!U321</f>
        <v>4252.6353333333336</v>
      </c>
      <c r="D319" s="168">
        <f>'E) Fact soc'!G325/C319</f>
        <v>17.030505324747025</v>
      </c>
      <c r="E319" s="159">
        <f>'H) Péréquation directe'!I330/C319</f>
        <v>14.848301834397944</v>
      </c>
      <c r="F319" s="206">
        <f>+'I) Dépenses thématiques'!O319/C319</f>
        <v>-2.9228142302599118</v>
      </c>
      <c r="G319" s="168">
        <f t="shared" si="23"/>
        <v>28.955992928885056</v>
      </c>
      <c r="H319" s="130">
        <f>IF(G319&gt;H$4,H$4-G319,0)</f>
        <v>0</v>
      </c>
      <c r="I319" s="175">
        <f t="shared" si="22"/>
        <v>0</v>
      </c>
      <c r="J319" s="36">
        <f t="shared" si="21"/>
        <v>28.955992928885056</v>
      </c>
    </row>
    <row r="320" spans="1:10" x14ac:dyDescent="0.25">
      <c r="A320" s="53">
        <f>'A) Base RI'!A322</f>
        <v>5937</v>
      </c>
      <c r="B320" s="116" t="str">
        <f>'A) Base RI'!B322</f>
        <v>Vugelles-La Mothe</v>
      </c>
      <c r="C320" s="127">
        <f>'B) D RI'!U322</f>
        <v>2272.9823469387752</v>
      </c>
      <c r="D320" s="168">
        <f>'E) Fact soc'!G326/C320</f>
        <v>17.888472336434717</v>
      </c>
      <c r="E320" s="159">
        <f>'H) Péréquation directe'!I331/C320</f>
        <v>-18.577280078887394</v>
      </c>
      <c r="F320" s="206">
        <f>+'I) Dépenses thématiques'!O320/C320</f>
        <v>-12.769811774208065</v>
      </c>
      <c r="G320" s="168">
        <f t="shared" si="23"/>
        <v>-13.458619516660743</v>
      </c>
      <c r="H320" s="130">
        <f>IF(G320&gt;H$4,H$4-G320,0)</f>
        <v>0</v>
      </c>
      <c r="I320" s="175">
        <f>H320*C320</f>
        <v>0</v>
      </c>
      <c r="J320" s="36">
        <f t="shared" si="21"/>
        <v>-13.458619516660743</v>
      </c>
    </row>
    <row r="321" spans="1:13" x14ac:dyDescent="0.25">
      <c r="A321" s="53">
        <f>'A) Base RI'!A323</f>
        <v>5938</v>
      </c>
      <c r="B321" s="116" t="str">
        <f>'A) Base RI'!B323</f>
        <v>Yverdon-les-Bains</v>
      </c>
      <c r="C321" s="127">
        <f>'B) D RI'!U323</f>
        <v>809245.0162091502</v>
      </c>
      <c r="D321" s="168">
        <f>'E) Fact soc'!G327/C321</f>
        <v>18.413564178595962</v>
      </c>
      <c r="E321" s="159">
        <f>'H) Péréquation directe'!I332/C321</f>
        <v>-26.25400555805971</v>
      </c>
      <c r="F321" s="206">
        <f>+'I) Dépenses thématiques'!O321/C321</f>
        <v>-9.1692929549266751</v>
      </c>
      <c r="G321" s="168">
        <f t="shared" si="23"/>
        <v>-17.009734334390423</v>
      </c>
      <c r="H321" s="130">
        <f t="shared" si="20"/>
        <v>0</v>
      </c>
      <c r="I321" s="175">
        <f t="shared" si="22"/>
        <v>0</v>
      </c>
      <c r="J321" s="36">
        <f t="shared" si="21"/>
        <v>-17.009734334390423</v>
      </c>
    </row>
    <row r="322" spans="1:13" x14ac:dyDescent="0.25">
      <c r="A322" s="55">
        <f>'A) Base RI'!A324</f>
        <v>5939</v>
      </c>
      <c r="B322" s="117" t="str">
        <f>'A) Base RI'!B324</f>
        <v>Yvonand</v>
      </c>
      <c r="C322" s="128">
        <f>'B) D RI'!U324</f>
        <v>88261.067808219188</v>
      </c>
      <c r="D322" s="169">
        <f>'E) Fact soc'!G328/C322</f>
        <v>19.727957778171771</v>
      </c>
      <c r="E322" s="162">
        <f>'H) Péréquation directe'!I333/C322</f>
        <v>-4.8294706218629431</v>
      </c>
      <c r="F322" s="207">
        <f>+'I) Dépenses thématiques'!O322/C322</f>
        <v>-2.9930582192782693</v>
      </c>
      <c r="G322" s="169">
        <f t="shared" si="23"/>
        <v>11.905428937030559</v>
      </c>
      <c r="H322" s="131">
        <f t="shared" si="20"/>
        <v>0</v>
      </c>
      <c r="I322" s="176">
        <f t="shared" si="22"/>
        <v>0</v>
      </c>
      <c r="J322" s="120">
        <f t="shared" si="21"/>
        <v>11.905428937030559</v>
      </c>
    </row>
    <row r="323" spans="1:13" x14ac:dyDescent="0.25">
      <c r="A323" s="33"/>
      <c r="B323" s="182">
        <f>COUNTA(B5:B322)</f>
        <v>318</v>
      </c>
      <c r="C323" s="128">
        <f>SUM(C5:C322)</f>
        <v>36375763.361832626</v>
      </c>
      <c r="D323" s="207">
        <f>'E) Fact soc'!G329/C323</f>
        <v>20.359752608713055</v>
      </c>
      <c r="E323" s="207">
        <f>'H) Péréquation directe'!I334/'H) Péréquation directe'!C334</f>
        <v>3.9364747978364596</v>
      </c>
      <c r="F323" s="207">
        <f>+'I) Dépenses thématiques'!O323/'J) Plafonnement effort'!C323</f>
        <v>-3.7736143633340187</v>
      </c>
      <c r="G323" s="209">
        <f>SUM(D323:F323)</f>
        <v>20.522613043215497</v>
      </c>
      <c r="H323" s="213"/>
      <c r="I323" s="40">
        <f>SUM(I5:I322)</f>
        <v>-2014242.2475740064</v>
      </c>
      <c r="J323" s="21">
        <f>G323+H323</f>
        <v>20.522613043215497</v>
      </c>
      <c r="L323" s="13"/>
      <c r="M323" s="13"/>
    </row>
  </sheetData>
  <mergeCells count="9">
    <mergeCell ref="C3:C4"/>
    <mergeCell ref="B3:B4"/>
    <mergeCell ref="A3:A4"/>
    <mergeCell ref="J3:J4"/>
    <mergeCell ref="I3:I4"/>
    <mergeCell ref="G3:G4"/>
    <mergeCell ref="F3:F4"/>
    <mergeCell ref="E3:E4"/>
    <mergeCell ref="D3:D4"/>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325"/>
  <sheetViews>
    <sheetView workbookViewId="0"/>
  </sheetViews>
  <sheetFormatPr baseColWidth="10" defaultColWidth="10.75" defaultRowHeight="15" x14ac:dyDescent="0.25"/>
  <cols>
    <col min="1" max="1" width="7.25" style="14" customWidth="1"/>
    <col min="2" max="2" width="18" style="14" customWidth="1"/>
    <col min="3" max="4" width="9.25" style="14" customWidth="1"/>
    <col min="5" max="5" width="11.625" style="14" customWidth="1"/>
    <col min="6" max="6" width="11" style="14" customWidth="1"/>
    <col min="7" max="7" width="10.375" style="14" customWidth="1"/>
    <col min="8" max="8" width="12.25" style="14" customWidth="1"/>
    <col min="9" max="9" width="10" style="14" customWidth="1"/>
    <col min="10" max="10" width="12.875" style="14" customWidth="1"/>
    <col min="11" max="14" width="12.125" style="14" customWidth="1"/>
    <col min="15" max="17" width="8.125" style="14" customWidth="1"/>
    <col min="18" max="16384" width="10.75" style="14"/>
  </cols>
  <sheetData>
    <row r="1" spans="1:25" s="46" customFormat="1" ht="20.25" customHeight="1" x14ac:dyDescent="0.25">
      <c r="A1" s="57" t="s">
        <v>4</v>
      </c>
      <c r="B1" s="45"/>
      <c r="C1" s="92"/>
      <c r="D1" s="92"/>
      <c r="E1" s="92"/>
      <c r="F1" s="92"/>
      <c r="G1" s="92"/>
      <c r="H1" s="92"/>
      <c r="I1" s="92"/>
      <c r="J1" s="92"/>
      <c r="L1" s="70"/>
      <c r="N1" s="14"/>
      <c r="O1" s="14"/>
      <c r="P1" s="14"/>
      <c r="Q1" s="14"/>
      <c r="R1" s="14"/>
      <c r="Y1" s="14"/>
    </row>
    <row r="3" spans="1:25" ht="45" customHeight="1" x14ac:dyDescent="0.25">
      <c r="A3" s="551" t="s">
        <v>50</v>
      </c>
      <c r="B3" s="551" t="s">
        <v>120</v>
      </c>
      <c r="C3" s="551" t="s">
        <v>514</v>
      </c>
      <c r="D3" s="551" t="s">
        <v>117</v>
      </c>
      <c r="E3" s="551" t="s">
        <v>371</v>
      </c>
      <c r="F3" s="551" t="s">
        <v>413</v>
      </c>
      <c r="G3" s="551" t="s">
        <v>414</v>
      </c>
      <c r="H3" s="551" t="s">
        <v>455</v>
      </c>
      <c r="I3" s="172" t="s">
        <v>179</v>
      </c>
      <c r="J3" s="551" t="s">
        <v>519</v>
      </c>
    </row>
    <row r="4" spans="1:25" x14ac:dyDescent="0.25">
      <c r="A4" s="555"/>
      <c r="B4" s="555"/>
      <c r="C4" s="555"/>
      <c r="D4" s="555"/>
      <c r="E4" s="552"/>
      <c r="F4" s="552"/>
      <c r="G4" s="552"/>
      <c r="H4" s="552"/>
      <c r="I4" s="217">
        <f>Paramètres!B44</f>
        <v>-5.5</v>
      </c>
      <c r="J4" s="552"/>
    </row>
    <row r="5" spans="1:25" x14ac:dyDescent="0.25">
      <c r="A5" s="49">
        <f>'A) Base RI'!A7</f>
        <v>5401</v>
      </c>
      <c r="B5" s="115" t="str">
        <f>'A) Base RI'!B7</f>
        <v>Aigle</v>
      </c>
      <c r="C5" s="126">
        <f>'B) D RI'!U7</f>
        <v>274204.16723456793</v>
      </c>
      <c r="D5" s="167">
        <f>'E) Fact soc'!G11/C5</f>
        <v>19.915984007675494</v>
      </c>
      <c r="E5" s="155">
        <f>'H) Péréquation directe'!I16/C5</f>
        <v>-9.1156069954336267</v>
      </c>
      <c r="F5" s="205">
        <f>+'I) Dépenses thématiques'!O5/C5</f>
        <v>-7.7369516592226137</v>
      </c>
      <c r="G5" s="167">
        <f>SUM(D5:F5)</f>
        <v>3.0634253530192534</v>
      </c>
      <c r="H5" s="205">
        <f>G5-F5</f>
        <v>10.800377012241867</v>
      </c>
      <c r="I5" s="208">
        <f>IF(H5&lt;I$4,H5-I$4,0)</f>
        <v>0</v>
      </c>
      <c r="J5" s="140">
        <f t="shared" ref="J5:J60" si="0">-I5*C5</f>
        <v>0</v>
      </c>
    </row>
    <row r="6" spans="1:25" x14ac:dyDescent="0.25">
      <c r="A6" s="53">
        <f>'A) Base RI'!A8</f>
        <v>5402</v>
      </c>
      <c r="B6" s="116" t="str">
        <f>'A) Base RI'!B8</f>
        <v>Bex</v>
      </c>
      <c r="C6" s="127">
        <f>'B) D RI'!U8</f>
        <v>168618.65154929578</v>
      </c>
      <c r="D6" s="168">
        <f>'E) Fact soc'!G12/C6</f>
        <v>18.24503027686044</v>
      </c>
      <c r="E6" s="159">
        <f>'H) Péréquation directe'!I17/C6</f>
        <v>-19.435967045333939</v>
      </c>
      <c r="F6" s="206">
        <f>+'I) Dépenses thématiques'!O6/C6</f>
        <v>-10.344039474220505</v>
      </c>
      <c r="G6" s="168">
        <f t="shared" ref="G6:G61" si="1">SUM(D6:F6)</f>
        <v>-11.534976242694004</v>
      </c>
      <c r="H6" s="206">
        <f t="shared" ref="H6:H61" si="2">G6-F6</f>
        <v>-1.1909367684734988</v>
      </c>
      <c r="I6" s="211">
        <f t="shared" ref="I6:I61" si="3">IF(H6&lt;I$4,H6-I$4,0)</f>
        <v>0</v>
      </c>
      <c r="J6" s="67">
        <f t="shared" si="0"/>
        <v>0</v>
      </c>
    </row>
    <row r="7" spans="1:25" x14ac:dyDescent="0.25">
      <c r="A7" s="53">
        <f>'A) Base RI'!A9</f>
        <v>5403</v>
      </c>
      <c r="B7" s="116" t="str">
        <f>'A) Base RI'!B9</f>
        <v>Chessel</v>
      </c>
      <c r="C7" s="127">
        <f>'B) D RI'!U9</f>
        <v>8336.8572368421064</v>
      </c>
      <c r="D7" s="168">
        <f>'E) Fact soc'!G13/C7</f>
        <v>17.862467232534609</v>
      </c>
      <c r="E7" s="159">
        <f>'H) Péréquation directe'!I18/C7</f>
        <v>-11.255728999132257</v>
      </c>
      <c r="F7" s="206">
        <f>+'I) Dépenses thématiques'!O7/C7</f>
        <v>-3.4810969585909106</v>
      </c>
      <c r="G7" s="168">
        <f t="shared" si="1"/>
        <v>3.1256412748114411</v>
      </c>
      <c r="H7" s="206">
        <f t="shared" si="2"/>
        <v>6.6067382334023517</v>
      </c>
      <c r="I7" s="211">
        <f t="shared" si="3"/>
        <v>0</v>
      </c>
      <c r="J7" s="67">
        <f t="shared" si="0"/>
        <v>0</v>
      </c>
    </row>
    <row r="8" spans="1:25" x14ac:dyDescent="0.25">
      <c r="A8" s="53">
        <f>'A) Base RI'!A10</f>
        <v>5404</v>
      </c>
      <c r="B8" s="116" t="str">
        <f>'A) Base RI'!B10</f>
        <v>Corbeyrier</v>
      </c>
      <c r="C8" s="127">
        <f>'B) D RI'!U10</f>
        <v>39921.252857142863</v>
      </c>
      <c r="D8" s="168">
        <f>'E) Fact soc'!G14/C8</f>
        <v>24.650702959682242</v>
      </c>
      <c r="E8" s="159">
        <f>'H) Péréquation directe'!I19/C8</f>
        <v>14.499806186897306</v>
      </c>
      <c r="F8" s="206">
        <f>+'I) Dépenses thématiques'!O8/C8</f>
        <v>-0.41156932703898791</v>
      </c>
      <c r="G8" s="168">
        <f t="shared" si="1"/>
        <v>38.738939819540562</v>
      </c>
      <c r="H8" s="206">
        <f t="shared" si="2"/>
        <v>39.150509146579552</v>
      </c>
      <c r="I8" s="211">
        <f t="shared" si="3"/>
        <v>0</v>
      </c>
      <c r="J8" s="67">
        <f t="shared" si="0"/>
        <v>0</v>
      </c>
    </row>
    <row r="9" spans="1:25" x14ac:dyDescent="0.25">
      <c r="A9" s="53">
        <f>'A) Base RI'!A11</f>
        <v>5405</v>
      </c>
      <c r="B9" s="116" t="str">
        <f>'A) Base RI'!B11</f>
        <v>Gryon</v>
      </c>
      <c r="C9" s="127">
        <f>'B) D RI'!U11</f>
        <v>64864.951911111115</v>
      </c>
      <c r="D9" s="168">
        <f>'E) Fact soc'!G15/C9</f>
        <v>19.345635438126035</v>
      </c>
      <c r="E9" s="159">
        <f>'H) Péréquation directe'!I20/C9</f>
        <v>15.219894428529349</v>
      </c>
      <c r="F9" s="206">
        <f>+'I) Dépenses thématiques'!O9/C9</f>
        <v>-6.3196957895349914</v>
      </c>
      <c r="G9" s="168">
        <f t="shared" si="1"/>
        <v>28.245834077120392</v>
      </c>
      <c r="H9" s="206">
        <f t="shared" si="2"/>
        <v>34.565529866655382</v>
      </c>
      <c r="I9" s="211">
        <f t="shared" si="3"/>
        <v>0</v>
      </c>
      <c r="J9" s="67">
        <f t="shared" si="0"/>
        <v>0</v>
      </c>
    </row>
    <row r="10" spans="1:25" x14ac:dyDescent="0.25">
      <c r="A10" s="53">
        <f>'A) Base RI'!A12</f>
        <v>5406</v>
      </c>
      <c r="B10" s="116" t="str">
        <f>'A) Base RI'!B12</f>
        <v>Lavey-Morcles</v>
      </c>
      <c r="C10" s="127">
        <f>'B) D RI'!U12</f>
        <v>20248.886901408452</v>
      </c>
      <c r="D10" s="168">
        <f>'E) Fact soc'!G16/C10</f>
        <v>15.324222828156643</v>
      </c>
      <c r="E10" s="159">
        <f>'H) Péréquation directe'!I21/C10</f>
        <v>-6.2336635509421425</v>
      </c>
      <c r="F10" s="206">
        <f>+'I) Dépenses thématiques'!O10/C10</f>
        <v>-3.5286261757504302</v>
      </c>
      <c r="G10" s="168">
        <f t="shared" si="1"/>
        <v>5.5619331014640689</v>
      </c>
      <c r="H10" s="206">
        <f t="shared" si="2"/>
        <v>9.0905592772144992</v>
      </c>
      <c r="I10" s="211">
        <f t="shared" si="3"/>
        <v>0</v>
      </c>
      <c r="J10" s="67">
        <f t="shared" si="0"/>
        <v>0</v>
      </c>
    </row>
    <row r="11" spans="1:25" x14ac:dyDescent="0.25">
      <c r="A11" s="53">
        <f>'A) Base RI'!A13</f>
        <v>5407</v>
      </c>
      <c r="B11" s="116" t="str">
        <f>'A) Base RI'!B13</f>
        <v>Leysin</v>
      </c>
      <c r="C11" s="127">
        <f>'B) D RI'!U13</f>
        <v>82610.97474358973</v>
      </c>
      <c r="D11" s="168">
        <f>'E) Fact soc'!G17/C11</f>
        <v>17.886325502930617</v>
      </c>
      <c r="E11" s="159">
        <f>'H) Péréquation directe'!I22/C11</f>
        <v>-26.222020198630048</v>
      </c>
      <c r="F11" s="206">
        <f>+'I) Dépenses thématiques'!O11/C11</f>
        <v>-25.967074061572344</v>
      </c>
      <c r="G11" s="168">
        <f t="shared" si="1"/>
        <v>-34.302768757271778</v>
      </c>
      <c r="H11" s="206">
        <f t="shared" si="2"/>
        <v>-8.3356946956994342</v>
      </c>
      <c r="I11" s="211">
        <f t="shared" si="3"/>
        <v>-2.8356946956994342</v>
      </c>
      <c r="J11" s="67">
        <f t="shared" si="0"/>
        <v>234259.50288695731</v>
      </c>
      <c r="L11" s="31"/>
    </row>
    <row r="12" spans="1:25" x14ac:dyDescent="0.25">
      <c r="A12" s="53">
        <f>'A) Base RI'!A14</f>
        <v>5408</v>
      </c>
      <c r="B12" s="116" t="str">
        <f>'A) Base RI'!B14</f>
        <v>Noville</v>
      </c>
      <c r="C12" s="127">
        <f>'B) D RI'!U14</f>
        <v>33419.560339702759</v>
      </c>
      <c r="D12" s="168">
        <f>'E) Fact soc'!G18/C12</f>
        <v>18.937975595724279</v>
      </c>
      <c r="E12" s="159">
        <f>'H) Péréquation directe'!I23/C12</f>
        <v>5.3441266268438561</v>
      </c>
      <c r="F12" s="206">
        <f>+'I) Dépenses thématiques'!O12/C12</f>
        <v>-3.2661487155215134</v>
      </c>
      <c r="G12" s="168">
        <f t="shared" si="1"/>
        <v>21.015953507046621</v>
      </c>
      <c r="H12" s="206">
        <f t="shared" si="2"/>
        <v>24.282102222568135</v>
      </c>
      <c r="I12" s="211">
        <f t="shared" si="3"/>
        <v>0</v>
      </c>
      <c r="J12" s="67">
        <f t="shared" si="0"/>
        <v>0</v>
      </c>
    </row>
    <row r="13" spans="1:25" x14ac:dyDescent="0.25">
      <c r="A13" s="53">
        <f>'A) Base RI'!A15</f>
        <v>5409</v>
      </c>
      <c r="B13" s="116" t="str">
        <f>'A) Base RI'!B15</f>
        <v>Ollon</v>
      </c>
      <c r="C13" s="127">
        <f>'B) D RI'!U15</f>
        <v>366034.73937782802</v>
      </c>
      <c r="D13" s="168">
        <f>'E) Fact soc'!G19/C13</f>
        <v>19.995700184574627</v>
      </c>
      <c r="E13" s="159">
        <f>'H) Péréquation directe'!I24/C13</f>
        <v>9.7143032262299016</v>
      </c>
      <c r="F13" s="206">
        <f>+'I) Dépenses thématiques'!O13/C13</f>
        <v>-4.3498618282878798</v>
      </c>
      <c r="G13" s="168">
        <f t="shared" si="1"/>
        <v>25.360141582516647</v>
      </c>
      <c r="H13" s="206">
        <f t="shared" si="2"/>
        <v>29.710003410804525</v>
      </c>
      <c r="I13" s="211">
        <f t="shared" si="3"/>
        <v>0</v>
      </c>
      <c r="J13" s="67">
        <f t="shared" si="0"/>
        <v>0</v>
      </c>
    </row>
    <row r="14" spans="1:25" x14ac:dyDescent="0.25">
      <c r="A14" s="53">
        <f>'A) Base RI'!A16</f>
        <v>5410</v>
      </c>
      <c r="B14" s="116" t="str">
        <f>'A) Base RI'!B16</f>
        <v>Ormont-Dessous</v>
      </c>
      <c r="C14" s="127">
        <f>'B) D RI'!U16</f>
        <v>36452.210276008496</v>
      </c>
      <c r="D14" s="168">
        <f>'E) Fact soc'!G20/C14</f>
        <v>17.904790756622152</v>
      </c>
      <c r="E14" s="159">
        <f>'H) Péréquation directe'!I25/C14</f>
        <v>6.568840114060432</v>
      </c>
      <c r="F14" s="206">
        <f>+'I) Dépenses thématiques'!O14/C14</f>
        <v>-21.505216206328761</v>
      </c>
      <c r="G14" s="168">
        <f t="shared" si="1"/>
        <v>2.9684146643538227</v>
      </c>
      <c r="H14" s="206">
        <f t="shared" si="2"/>
        <v>24.473630870682584</v>
      </c>
      <c r="I14" s="211">
        <f t="shared" si="3"/>
        <v>0</v>
      </c>
      <c r="J14" s="67">
        <f t="shared" si="0"/>
        <v>0</v>
      </c>
    </row>
    <row r="15" spans="1:25" x14ac:dyDescent="0.25">
      <c r="A15" s="53">
        <f>'A) Base RI'!A17</f>
        <v>5411</v>
      </c>
      <c r="B15" s="116" t="str">
        <f>'A) Base RI'!B17</f>
        <v>Ormont-Dessus</v>
      </c>
      <c r="C15" s="127">
        <f>'B) D RI'!U17</f>
        <v>74047.924868421047</v>
      </c>
      <c r="D15" s="168">
        <f>'E) Fact soc'!G21/C15</f>
        <v>17.842790595085305</v>
      </c>
      <c r="E15" s="159">
        <f>'H) Péréquation directe'!I26/C15</f>
        <v>14.995584982474304</v>
      </c>
      <c r="F15" s="206">
        <f>+'I) Dépenses thématiques'!O15/C15</f>
        <v>-12.03534552224912</v>
      </c>
      <c r="G15" s="168">
        <f t="shared" si="1"/>
        <v>20.80303005531049</v>
      </c>
      <c r="H15" s="206">
        <f t="shared" si="2"/>
        <v>32.83837557755961</v>
      </c>
      <c r="I15" s="211">
        <f t="shared" si="3"/>
        <v>0</v>
      </c>
      <c r="J15" s="67">
        <f t="shared" si="0"/>
        <v>0</v>
      </c>
    </row>
    <row r="16" spans="1:25" x14ac:dyDescent="0.25">
      <c r="A16" s="53">
        <f>'A) Base RI'!A18</f>
        <v>5412</v>
      </c>
      <c r="B16" s="116" t="str">
        <f>'A) Base RI'!B18</f>
        <v>Rennaz</v>
      </c>
      <c r="C16" s="127">
        <f>'B) D RI'!U18</f>
        <v>26224.228148148151</v>
      </c>
      <c r="D16" s="168">
        <f>'E) Fact soc'!G22/C16</f>
        <v>18.630986714721168</v>
      </c>
      <c r="E16" s="159">
        <f>'H) Péréquation directe'!I27/C16</f>
        <v>7.7880334160615776</v>
      </c>
      <c r="F16" s="206">
        <f>+'I) Dépenses thématiques'!O16/C16</f>
        <v>-3.6940479915591724</v>
      </c>
      <c r="G16" s="168">
        <f t="shared" si="1"/>
        <v>22.724972139223571</v>
      </c>
      <c r="H16" s="206">
        <f t="shared" si="2"/>
        <v>26.419020130782744</v>
      </c>
      <c r="I16" s="211">
        <f t="shared" si="3"/>
        <v>0</v>
      </c>
      <c r="J16" s="67">
        <f t="shared" si="0"/>
        <v>0</v>
      </c>
    </row>
    <row r="17" spans="1:10" x14ac:dyDescent="0.25">
      <c r="A17" s="53">
        <f>'A) Base RI'!A19</f>
        <v>5413</v>
      </c>
      <c r="B17" s="116" t="str">
        <f>'A) Base RI'!B19</f>
        <v>Roche</v>
      </c>
      <c r="C17" s="127">
        <f>'B) D RI'!U19</f>
        <v>38924.228382352943</v>
      </c>
      <c r="D17" s="168">
        <f>'E) Fact soc'!G23/C17</f>
        <v>19.227573748696919</v>
      </c>
      <c r="E17" s="159">
        <f>'H) Péréquation directe'!I28/C17</f>
        <v>-4.219349812625131</v>
      </c>
      <c r="F17" s="206">
        <f>+'I) Dépenses thématiques'!O17/C17</f>
        <v>0</v>
      </c>
      <c r="G17" s="168">
        <f t="shared" si="1"/>
        <v>15.008223936071788</v>
      </c>
      <c r="H17" s="206">
        <f t="shared" si="2"/>
        <v>15.008223936071788</v>
      </c>
      <c r="I17" s="211">
        <f t="shared" si="3"/>
        <v>0</v>
      </c>
      <c r="J17" s="67">
        <f t="shared" si="0"/>
        <v>0</v>
      </c>
    </row>
    <row r="18" spans="1:10" x14ac:dyDescent="0.25">
      <c r="A18" s="53">
        <f>'A) Base RI'!A20</f>
        <v>5414</v>
      </c>
      <c r="B18" s="116" t="str">
        <f>'A) Base RI'!B20</f>
        <v>Villeneuve</v>
      </c>
      <c r="C18" s="127">
        <f>'B) D RI'!U20</f>
        <v>159863.47130434786</v>
      </c>
      <c r="D18" s="168">
        <f>'E) Fact soc'!G24/C18</f>
        <v>19.180314596288945</v>
      </c>
      <c r="E18" s="159">
        <f>'H) Péréquation directe'!I29/C18</f>
        <v>-3.8456121032414985</v>
      </c>
      <c r="F18" s="206">
        <f>+'I) Dépenses thématiques'!O18/C18</f>
        <v>-9.2701109998005116</v>
      </c>
      <c r="G18" s="168">
        <f t="shared" si="1"/>
        <v>6.0645914932469349</v>
      </c>
      <c r="H18" s="206">
        <f t="shared" si="2"/>
        <v>15.334702493047446</v>
      </c>
      <c r="I18" s="211">
        <f t="shared" si="3"/>
        <v>0</v>
      </c>
      <c r="J18" s="67">
        <f t="shared" si="0"/>
        <v>0</v>
      </c>
    </row>
    <row r="19" spans="1:10" x14ac:dyDescent="0.25">
      <c r="A19" s="53">
        <f>'A) Base RI'!A21</f>
        <v>5415</v>
      </c>
      <c r="B19" s="116" t="str">
        <f>'A) Base RI'!B21</f>
        <v>Yvorne</v>
      </c>
      <c r="C19" s="127">
        <f>'B) D RI'!U21</f>
        <v>35726.744476885644</v>
      </c>
      <c r="D19" s="168">
        <f>'E) Fact soc'!G25/C19</f>
        <v>18.080930250722925</v>
      </c>
      <c r="E19" s="159">
        <f>'H) Péréquation directe'!I30/C19</f>
        <v>9.4060944482209781</v>
      </c>
      <c r="F19" s="206">
        <f>+'I) Dépenses thématiques'!O19/C19</f>
        <v>-2.4512720728754283</v>
      </c>
      <c r="G19" s="168">
        <f t="shared" si="1"/>
        <v>25.035752626068476</v>
      </c>
      <c r="H19" s="206">
        <f t="shared" si="2"/>
        <v>27.487024698943905</v>
      </c>
      <c r="I19" s="211">
        <f t="shared" si="3"/>
        <v>0</v>
      </c>
      <c r="J19" s="67">
        <f t="shared" si="0"/>
        <v>0</v>
      </c>
    </row>
    <row r="20" spans="1:10" x14ac:dyDescent="0.25">
      <c r="A20" s="53">
        <f>'A) Base RI'!A22</f>
        <v>5421</v>
      </c>
      <c r="B20" s="116" t="str">
        <f>'A) Base RI'!B22</f>
        <v>Apples</v>
      </c>
      <c r="C20" s="127">
        <f>'B) D RI'!U22</f>
        <v>59005.563421052633</v>
      </c>
      <c r="D20" s="168">
        <f>'E) Fact soc'!G26/C20</f>
        <v>15.18652896461618</v>
      </c>
      <c r="E20" s="159">
        <f>'H) Péréquation directe'!I31/C20</f>
        <v>13.204856685478374</v>
      </c>
      <c r="F20" s="206">
        <f>+'I) Dépenses thématiques'!O20/C20</f>
        <v>-4.4810594629020519</v>
      </c>
      <c r="G20" s="168">
        <f t="shared" si="1"/>
        <v>23.910326187192503</v>
      </c>
      <c r="H20" s="206">
        <f t="shared" si="2"/>
        <v>28.391385650094556</v>
      </c>
      <c r="I20" s="211">
        <f t="shared" si="3"/>
        <v>0</v>
      </c>
      <c r="J20" s="67">
        <f t="shared" si="0"/>
        <v>0</v>
      </c>
    </row>
    <row r="21" spans="1:10" x14ac:dyDescent="0.25">
      <c r="A21" s="53">
        <f>'A) Base RI'!A23</f>
        <v>5422</v>
      </c>
      <c r="B21" s="116" t="str">
        <f>'A) Base RI'!B23</f>
        <v>Aubonne</v>
      </c>
      <c r="C21" s="127">
        <f>'B) D RI'!U23</f>
        <v>218988.17661764708</v>
      </c>
      <c r="D21" s="168">
        <f>'E) Fact soc'!G27/C21</f>
        <v>20.01656343558945</v>
      </c>
      <c r="E21" s="159">
        <f>'H) Péréquation directe'!I32/C21</f>
        <v>13.263136670529086</v>
      </c>
      <c r="F21" s="206">
        <f>+'I) Dépenses thématiques'!O21/C21</f>
        <v>-0.12081975537591572</v>
      </c>
      <c r="G21" s="168">
        <f t="shared" si="1"/>
        <v>33.158880350742621</v>
      </c>
      <c r="H21" s="206">
        <f t="shared" si="2"/>
        <v>33.27970010611854</v>
      </c>
      <c r="I21" s="211">
        <f t="shared" si="3"/>
        <v>0</v>
      </c>
      <c r="J21" s="67">
        <f t="shared" si="0"/>
        <v>0</v>
      </c>
    </row>
    <row r="22" spans="1:10" x14ac:dyDescent="0.25">
      <c r="A22" s="53">
        <f>'A) Base RI'!A24</f>
        <v>5423</v>
      </c>
      <c r="B22" s="116" t="str">
        <f>'A) Base RI'!B24</f>
        <v>Ballens</v>
      </c>
      <c r="C22" s="127">
        <f>'B) D RI'!U24</f>
        <v>15358.055362318841</v>
      </c>
      <c r="D22" s="168">
        <f>'E) Fact soc'!G28/C22</f>
        <v>15.33241302292002</v>
      </c>
      <c r="E22" s="159">
        <f>'H) Péréquation directe'!I33/C22</f>
        <v>6.5732573133532322</v>
      </c>
      <c r="F22" s="206">
        <f>+'I) Dépenses thématiques'!O22/C22</f>
        <v>-3.7147816660321178</v>
      </c>
      <c r="G22" s="168">
        <f t="shared" si="1"/>
        <v>18.190888670241137</v>
      </c>
      <c r="H22" s="206">
        <f t="shared" si="2"/>
        <v>21.905670336273253</v>
      </c>
      <c r="I22" s="211">
        <f t="shared" si="3"/>
        <v>0</v>
      </c>
      <c r="J22" s="67">
        <f t="shared" si="0"/>
        <v>0</v>
      </c>
    </row>
    <row r="23" spans="1:10" x14ac:dyDescent="0.25">
      <c r="A23" s="53">
        <f>'A) Base RI'!A25</f>
        <v>5424</v>
      </c>
      <c r="B23" s="116" t="str">
        <f>'A) Base RI'!B25</f>
        <v>Berolle</v>
      </c>
      <c r="C23" s="127">
        <f>'B) D RI'!U25</f>
        <v>9058.2428571428572</v>
      </c>
      <c r="D23" s="168">
        <f>'E) Fact soc'!G29/C23</f>
        <v>17.274303172647187</v>
      </c>
      <c r="E23" s="159">
        <f>'H) Péréquation directe'!I34/C23</f>
        <v>4.2586749824232877</v>
      </c>
      <c r="F23" s="206">
        <f>+'I) Dépenses thématiques'!O23/C23</f>
        <v>-2.9522808258508983</v>
      </c>
      <c r="G23" s="168">
        <f t="shared" si="1"/>
        <v>18.580697329219575</v>
      </c>
      <c r="H23" s="206">
        <f t="shared" si="2"/>
        <v>21.532978155070474</v>
      </c>
      <c r="I23" s="211">
        <f t="shared" si="3"/>
        <v>0</v>
      </c>
      <c r="J23" s="67">
        <f t="shared" si="0"/>
        <v>0</v>
      </c>
    </row>
    <row r="24" spans="1:10" x14ac:dyDescent="0.25">
      <c r="A24" s="53">
        <f>'A) Base RI'!A26</f>
        <v>5425</v>
      </c>
      <c r="B24" s="116" t="str">
        <f>'A) Base RI'!B26</f>
        <v>Bière</v>
      </c>
      <c r="C24" s="127">
        <f>'B) D RI'!U26</f>
        <v>39413.041470588236</v>
      </c>
      <c r="D24" s="168">
        <f>'E) Fact soc'!G30/C24</f>
        <v>19.419318507261156</v>
      </c>
      <c r="E24" s="159">
        <f>'H) Péréquation directe'!I35/C24</f>
        <v>-2.2066868385066694</v>
      </c>
      <c r="F24" s="206">
        <f>+'I) Dépenses thématiques'!O24/C24</f>
        <v>-11.965124457354911</v>
      </c>
      <c r="G24" s="168">
        <f t="shared" si="1"/>
        <v>5.2475072113995758</v>
      </c>
      <c r="H24" s="206">
        <f t="shared" si="2"/>
        <v>17.212631668754486</v>
      </c>
      <c r="I24" s="211">
        <f t="shared" si="3"/>
        <v>0</v>
      </c>
      <c r="J24" s="67">
        <f t="shared" si="0"/>
        <v>0</v>
      </c>
    </row>
    <row r="25" spans="1:10" x14ac:dyDescent="0.25">
      <c r="A25" s="53">
        <f>'A) Base RI'!A27</f>
        <v>5426</v>
      </c>
      <c r="B25" s="116" t="str">
        <f>'A) Base RI'!B27</f>
        <v>Bougy-Villars</v>
      </c>
      <c r="C25" s="127">
        <f>'B) D RI'!U27</f>
        <v>42567.7185483871</v>
      </c>
      <c r="D25" s="168">
        <f>'E) Fact soc'!G31/C25</f>
        <v>88.970726568581469</v>
      </c>
      <c r="E25" s="159">
        <f>'H) Péréquation directe'!I36/C25</f>
        <v>14.479109217308508</v>
      </c>
      <c r="F25" s="206">
        <f>+'I) Dépenses thématiques'!O25/C25</f>
        <v>0</v>
      </c>
      <c r="G25" s="168">
        <f t="shared" si="1"/>
        <v>103.44983578588997</v>
      </c>
      <c r="H25" s="206">
        <f t="shared" si="2"/>
        <v>103.44983578588997</v>
      </c>
      <c r="I25" s="211">
        <f t="shared" si="3"/>
        <v>0</v>
      </c>
      <c r="J25" s="67">
        <f t="shared" si="0"/>
        <v>0</v>
      </c>
    </row>
    <row r="26" spans="1:10" x14ac:dyDescent="0.25">
      <c r="A26" s="53">
        <f>'A) Base RI'!A28</f>
        <v>5427</v>
      </c>
      <c r="B26" s="116" t="str">
        <f>'A) Base RI'!B28</f>
        <v>Féchy</v>
      </c>
      <c r="C26" s="127">
        <f>'B) D RI'!U28</f>
        <v>68786.678798076915</v>
      </c>
      <c r="D26" s="168">
        <f>'E) Fact soc'!G32/C26</f>
        <v>22.603482226124836</v>
      </c>
      <c r="E26" s="159">
        <f>'H) Péréquation directe'!I37/C26</f>
        <v>15.260854099691123</v>
      </c>
      <c r="F26" s="206">
        <f>+'I) Dépenses thématiques'!O26/C26</f>
        <v>0</v>
      </c>
      <c r="G26" s="168">
        <f t="shared" si="1"/>
        <v>37.864336325815955</v>
      </c>
      <c r="H26" s="206">
        <f t="shared" si="2"/>
        <v>37.864336325815955</v>
      </c>
      <c r="I26" s="211">
        <f t="shared" si="3"/>
        <v>0</v>
      </c>
      <c r="J26" s="67">
        <f t="shared" si="0"/>
        <v>0</v>
      </c>
    </row>
    <row r="27" spans="1:10" x14ac:dyDescent="0.25">
      <c r="A27" s="53">
        <f>'A) Base RI'!A29</f>
        <v>5428</v>
      </c>
      <c r="B27" s="116" t="str">
        <f>'A) Base RI'!B29</f>
        <v>Gimel</v>
      </c>
      <c r="C27" s="127">
        <f>'B) D RI'!U29</f>
        <v>58004.622727272719</v>
      </c>
      <c r="D27" s="168">
        <f>'E) Fact soc'!G33/C27</f>
        <v>20.092040534832314</v>
      </c>
      <c r="E27" s="159">
        <f>'H) Péréquation directe'!I38/C27</f>
        <v>1.3950552738691142</v>
      </c>
      <c r="F27" s="206">
        <f>+'I) Dépenses thématiques'!O27/C27</f>
        <v>-4.9503797870164146</v>
      </c>
      <c r="G27" s="168">
        <f t="shared" si="1"/>
        <v>16.536716021685017</v>
      </c>
      <c r="H27" s="206">
        <f t="shared" si="2"/>
        <v>21.487095808701433</v>
      </c>
      <c r="I27" s="211">
        <f t="shared" si="3"/>
        <v>0</v>
      </c>
      <c r="J27" s="67">
        <f t="shared" si="0"/>
        <v>0</v>
      </c>
    </row>
    <row r="28" spans="1:10" x14ac:dyDescent="0.25">
      <c r="A28" s="53">
        <f>'A) Base RI'!A30</f>
        <v>5429</v>
      </c>
      <c r="B28" s="116" t="str">
        <f>'A) Base RI'!B30</f>
        <v>Longirod</v>
      </c>
      <c r="C28" s="127">
        <f>'B) D RI'!U30</f>
        <v>12171.349506172839</v>
      </c>
      <c r="D28" s="168">
        <f>'E) Fact soc'!G34/C28</f>
        <v>21.525999650030826</v>
      </c>
      <c r="E28" s="159">
        <f>'H) Péréquation directe'!I39/C28</f>
        <v>-2.6438259898743204</v>
      </c>
      <c r="F28" s="206">
        <f>+'I) Dépenses thématiques'!O28/C28</f>
        <v>-8.6886782380174825</v>
      </c>
      <c r="G28" s="168">
        <f t="shared" si="1"/>
        <v>10.193495422139025</v>
      </c>
      <c r="H28" s="206">
        <f t="shared" si="2"/>
        <v>18.882173660156507</v>
      </c>
      <c r="I28" s="211">
        <f t="shared" si="3"/>
        <v>0</v>
      </c>
      <c r="J28" s="67">
        <f t="shared" si="0"/>
        <v>0</v>
      </c>
    </row>
    <row r="29" spans="1:10" x14ac:dyDescent="0.25">
      <c r="A29" s="53">
        <f>'A) Base RI'!A31</f>
        <v>5430</v>
      </c>
      <c r="B29" s="116" t="str">
        <f>'A) Base RI'!B31</f>
        <v>Marchissy</v>
      </c>
      <c r="C29" s="127">
        <f>'B) D RI'!U31</f>
        <v>10573.165189873416</v>
      </c>
      <c r="D29" s="168">
        <f>'E) Fact soc'!G35/C29</f>
        <v>19.166179007437044</v>
      </c>
      <c r="E29" s="159">
        <f>'H) Péréquation directe'!I40/C29</f>
        <v>-5.237299362388403</v>
      </c>
      <c r="F29" s="206">
        <f>+'I) Dépenses thématiques'!O29/C29</f>
        <v>-12.10481628653166</v>
      </c>
      <c r="G29" s="168">
        <f t="shared" si="1"/>
        <v>1.8240633585169821</v>
      </c>
      <c r="H29" s="206">
        <f t="shared" si="2"/>
        <v>13.928879645048642</v>
      </c>
      <c r="I29" s="211">
        <f t="shared" si="3"/>
        <v>0</v>
      </c>
      <c r="J29" s="67">
        <f t="shared" si="0"/>
        <v>0</v>
      </c>
    </row>
    <row r="30" spans="1:10" x14ac:dyDescent="0.25">
      <c r="A30" s="53">
        <f>'A) Base RI'!A32</f>
        <v>5431</v>
      </c>
      <c r="B30" s="116" t="str">
        <f>'A) Base RI'!B32</f>
        <v>Mollens</v>
      </c>
      <c r="C30" s="127">
        <f>'B) D RI'!U32</f>
        <v>11206.031081081082</v>
      </c>
      <c r="D30" s="168">
        <f>'E) Fact soc'!G36/C30</f>
        <v>16.885526859529509</v>
      </c>
      <c r="E30" s="159">
        <f>'H) Péréquation directe'!I41/C30</f>
        <v>12.444507205109559</v>
      </c>
      <c r="F30" s="206">
        <f>+'I) Dépenses thématiques'!O30/C30</f>
        <v>-1.5546905404785674</v>
      </c>
      <c r="G30" s="168">
        <f t="shared" si="1"/>
        <v>27.775343524160501</v>
      </c>
      <c r="H30" s="206">
        <f t="shared" si="2"/>
        <v>29.330034064639069</v>
      </c>
      <c r="I30" s="211">
        <f t="shared" si="3"/>
        <v>0</v>
      </c>
      <c r="J30" s="67">
        <f t="shared" si="0"/>
        <v>0</v>
      </c>
    </row>
    <row r="31" spans="1:10" x14ac:dyDescent="0.25">
      <c r="A31" s="53">
        <f>'A) Base RI'!A33</f>
        <v>5432</v>
      </c>
      <c r="B31" s="116" t="str">
        <f>'A) Base RI'!B33</f>
        <v>Montherod</v>
      </c>
      <c r="C31" s="127">
        <f>'B) D RI'!U33</f>
        <v>17725.419230769232</v>
      </c>
      <c r="D31" s="168">
        <f>'E) Fact soc'!G37/C31</f>
        <v>17.985156098197518</v>
      </c>
      <c r="E31" s="159">
        <f>'H) Péréquation directe'!I42/C31</f>
        <v>8.396151901979561</v>
      </c>
      <c r="F31" s="206">
        <f>+'I) Dépenses thématiques'!O31/C31</f>
        <v>-0.56137949349091232</v>
      </c>
      <c r="G31" s="168">
        <f t="shared" si="1"/>
        <v>25.819928506686168</v>
      </c>
      <c r="H31" s="206">
        <f t="shared" si="2"/>
        <v>26.381308000177079</v>
      </c>
      <c r="I31" s="211">
        <f t="shared" si="3"/>
        <v>0</v>
      </c>
      <c r="J31" s="67">
        <f t="shared" si="0"/>
        <v>0</v>
      </c>
    </row>
    <row r="32" spans="1:10" x14ac:dyDescent="0.25">
      <c r="A32" s="53">
        <f>'A) Base RI'!A34</f>
        <v>5434</v>
      </c>
      <c r="B32" s="116" t="str">
        <f>'A) Base RI'!B34</f>
        <v>Saint-George</v>
      </c>
      <c r="C32" s="127">
        <f>'B) D RI'!U34</f>
        <v>35895.731094890507</v>
      </c>
      <c r="D32" s="168">
        <f>'E) Fact soc'!G38/C32</f>
        <v>17.561089839605742</v>
      </c>
      <c r="E32" s="159">
        <f>'H) Péréquation directe'!I43/C32</f>
        <v>11.761132180827039</v>
      </c>
      <c r="F32" s="206">
        <f>+'I) Dépenses thématiques'!O32/C32</f>
        <v>-1.9677459222609064</v>
      </c>
      <c r="G32" s="168">
        <f t="shared" si="1"/>
        <v>27.354476098171876</v>
      </c>
      <c r="H32" s="206">
        <f t="shared" si="2"/>
        <v>29.322222020432783</v>
      </c>
      <c r="I32" s="211">
        <f t="shared" si="3"/>
        <v>0</v>
      </c>
      <c r="J32" s="67">
        <f t="shared" si="0"/>
        <v>0</v>
      </c>
    </row>
    <row r="33" spans="1:10" x14ac:dyDescent="0.25">
      <c r="A33" s="53">
        <f>'A) Base RI'!A35</f>
        <v>5435</v>
      </c>
      <c r="B33" s="116" t="str">
        <f>'A) Base RI'!B35</f>
        <v>Saint-Livres</v>
      </c>
      <c r="C33" s="127">
        <f>'B) D RI'!U35</f>
        <v>22398.12956521739</v>
      </c>
      <c r="D33" s="168">
        <f>'E) Fact soc'!G39/C33</f>
        <v>15.114406894481197</v>
      </c>
      <c r="E33" s="159">
        <f>'H) Péréquation directe'!I44/C33</f>
        <v>8.7444022241409947</v>
      </c>
      <c r="F33" s="206">
        <f>+'I) Dépenses thématiques'!O33/C33</f>
        <v>-3.8120764161862515</v>
      </c>
      <c r="G33" s="168">
        <f t="shared" si="1"/>
        <v>20.046732702435939</v>
      </c>
      <c r="H33" s="206">
        <f t="shared" si="2"/>
        <v>23.85880911862219</v>
      </c>
      <c r="I33" s="211">
        <f t="shared" si="3"/>
        <v>0</v>
      </c>
      <c r="J33" s="67">
        <f t="shared" si="0"/>
        <v>0</v>
      </c>
    </row>
    <row r="34" spans="1:10" x14ac:dyDescent="0.25">
      <c r="A34" s="53">
        <f>'A) Base RI'!A36</f>
        <v>5436</v>
      </c>
      <c r="B34" s="116" t="str">
        <f>'A) Base RI'!B36</f>
        <v>Saint-Oyens</v>
      </c>
      <c r="C34" s="127">
        <f>'B) D RI'!U36</f>
        <v>10474.604814814815</v>
      </c>
      <c r="D34" s="168">
        <f>'E) Fact soc'!G40/C34</f>
        <v>17.744498485814255</v>
      </c>
      <c r="E34" s="159">
        <f>'H) Péréquation directe'!I45/C34</f>
        <v>2.8517075074718705</v>
      </c>
      <c r="F34" s="206">
        <f>+'I) Dépenses thématiques'!O34/C34</f>
        <v>-4.033843769674335</v>
      </c>
      <c r="G34" s="168">
        <f t="shared" si="1"/>
        <v>16.562362223611792</v>
      </c>
      <c r="H34" s="206">
        <f t="shared" si="2"/>
        <v>20.596205993286127</v>
      </c>
      <c r="I34" s="211">
        <f t="shared" si="3"/>
        <v>0</v>
      </c>
      <c r="J34" s="67">
        <f t="shared" si="0"/>
        <v>0</v>
      </c>
    </row>
    <row r="35" spans="1:10" x14ac:dyDescent="0.25">
      <c r="A35" s="53">
        <f>'A) Base RI'!A37</f>
        <v>5437</v>
      </c>
      <c r="B35" s="116" t="str">
        <f>'A) Base RI'!B37</f>
        <v>Saubraz</v>
      </c>
      <c r="C35" s="127">
        <f>'B) D RI'!U37</f>
        <v>10138.793125</v>
      </c>
      <c r="D35" s="168">
        <f>'E) Fact soc'!G41/C35</f>
        <v>19.76029122765086</v>
      </c>
      <c r="E35" s="159">
        <f>'H) Péréquation directe'!I46/C35</f>
        <v>-6.6686678154517649</v>
      </c>
      <c r="F35" s="206">
        <f>+'I) Dépenses thématiques'!O35/C35</f>
        <v>-4.6122361635720202</v>
      </c>
      <c r="G35" s="168">
        <f t="shared" si="1"/>
        <v>8.4793872486270736</v>
      </c>
      <c r="H35" s="206">
        <f t="shared" si="2"/>
        <v>13.091623412199095</v>
      </c>
      <c r="I35" s="211">
        <f t="shared" si="3"/>
        <v>0</v>
      </c>
      <c r="J35" s="67">
        <f t="shared" si="0"/>
        <v>0</v>
      </c>
    </row>
    <row r="36" spans="1:10" x14ac:dyDescent="0.25">
      <c r="A36" s="53">
        <f>'A) Base RI'!A38</f>
        <v>5451</v>
      </c>
      <c r="B36" s="116" t="str">
        <f>'A) Base RI'!B38</f>
        <v>Avenches</v>
      </c>
      <c r="C36" s="127">
        <f>'B) D RI'!U38</f>
        <v>109207.82382352941</v>
      </c>
      <c r="D36" s="168">
        <f>'E) Fact soc'!G42/C36</f>
        <v>20.026211495523089</v>
      </c>
      <c r="E36" s="159">
        <f>'H) Péréquation directe'!I47/C36</f>
        <v>-6.0887386246100137</v>
      </c>
      <c r="F36" s="206">
        <f>+'I) Dépenses thématiques'!O36/C36</f>
        <v>-14.627961611374454</v>
      </c>
      <c r="G36" s="168">
        <f t="shared" si="1"/>
        <v>-0.69048874046137776</v>
      </c>
      <c r="H36" s="206">
        <f t="shared" si="2"/>
        <v>13.937472870913076</v>
      </c>
      <c r="I36" s="211">
        <f t="shared" si="3"/>
        <v>0</v>
      </c>
      <c r="J36" s="67">
        <f t="shared" si="0"/>
        <v>0</v>
      </c>
    </row>
    <row r="37" spans="1:10" x14ac:dyDescent="0.25">
      <c r="A37" s="53">
        <f>'A) Base RI'!A39</f>
        <v>5456</v>
      </c>
      <c r="B37" s="116" t="str">
        <f>'A) Base RI'!B39</f>
        <v>Cudrefin</v>
      </c>
      <c r="C37" s="127">
        <f>'B) D RI'!U39</f>
        <v>51373.818644067804</v>
      </c>
      <c r="D37" s="168">
        <f>'E) Fact soc'!G43/C37</f>
        <v>16.354781254327563</v>
      </c>
      <c r="E37" s="159">
        <f>'H) Péréquation directe'!I48/C37</f>
        <v>8.2561491809722973</v>
      </c>
      <c r="F37" s="206">
        <f>+'I) Dépenses thématiques'!O37/C37</f>
        <v>-5.6001673835091701</v>
      </c>
      <c r="G37" s="168">
        <f t="shared" si="1"/>
        <v>19.01076305179069</v>
      </c>
      <c r="H37" s="206">
        <f t="shared" si="2"/>
        <v>24.61093043529986</v>
      </c>
      <c r="I37" s="211">
        <f t="shared" si="3"/>
        <v>0</v>
      </c>
      <c r="J37" s="67">
        <f t="shared" si="0"/>
        <v>0</v>
      </c>
    </row>
    <row r="38" spans="1:10" x14ac:dyDescent="0.25">
      <c r="A38" s="53">
        <f>'A) Base RI'!A40</f>
        <v>5458</v>
      </c>
      <c r="B38" s="116" t="str">
        <f>'A) Base RI'!B40</f>
        <v>Faoug</v>
      </c>
      <c r="C38" s="127">
        <f>'B) D RI'!U40</f>
        <v>31692.092968750003</v>
      </c>
      <c r="D38" s="168">
        <f>'E) Fact soc'!G44/C38</f>
        <v>16.995609344105883</v>
      </c>
      <c r="E38" s="159">
        <f>'H) Péréquation directe'!I49/C38</f>
        <v>12.407166279053053</v>
      </c>
      <c r="F38" s="206">
        <f>+'I) Dépenses thématiques'!O38/C38</f>
        <v>-2.3020332132913985</v>
      </c>
      <c r="G38" s="168">
        <f t="shared" si="1"/>
        <v>27.100742409867539</v>
      </c>
      <c r="H38" s="206">
        <f t="shared" si="2"/>
        <v>29.402775623158938</v>
      </c>
      <c r="I38" s="211">
        <f t="shared" si="3"/>
        <v>0</v>
      </c>
      <c r="J38" s="67">
        <f t="shared" si="0"/>
        <v>0</v>
      </c>
    </row>
    <row r="39" spans="1:10" x14ac:dyDescent="0.25">
      <c r="A39" s="53">
        <f>'A) Base RI'!A41</f>
        <v>5464</v>
      </c>
      <c r="B39" s="116" t="str">
        <f>'A) Base RI'!B41</f>
        <v>Vully-les-Lacs</v>
      </c>
      <c r="C39" s="127">
        <f>'B) D RI'!U41</f>
        <v>96310.385124378095</v>
      </c>
      <c r="D39" s="168">
        <f>'E) Fact soc'!G45/C39</f>
        <v>20.185456010569677</v>
      </c>
      <c r="E39" s="159">
        <f>'H) Péréquation directe'!I50/C39</f>
        <v>4.4352205180941127</v>
      </c>
      <c r="F39" s="206">
        <f>+'I) Dépenses thématiques'!O39/C39</f>
        <v>-5.3861275674838343</v>
      </c>
      <c r="G39" s="168">
        <f t="shared" si="1"/>
        <v>19.234548961179954</v>
      </c>
      <c r="H39" s="206">
        <f t="shared" si="2"/>
        <v>24.620676528663786</v>
      </c>
      <c r="I39" s="211">
        <f t="shared" si="3"/>
        <v>0</v>
      </c>
      <c r="J39" s="67">
        <f t="shared" si="0"/>
        <v>0</v>
      </c>
    </row>
    <row r="40" spans="1:10" x14ac:dyDescent="0.25">
      <c r="A40" s="53">
        <f>'A) Base RI'!A42</f>
        <v>5471</v>
      </c>
      <c r="B40" s="116" t="str">
        <f>'A) Base RI'!B42</f>
        <v>Bettens</v>
      </c>
      <c r="C40" s="127">
        <f>'B) D RI'!U42</f>
        <v>16449.086587301586</v>
      </c>
      <c r="D40" s="168">
        <f>'E) Fact soc'!G46/C40</f>
        <v>16.357189225944353</v>
      </c>
      <c r="E40" s="159">
        <f>'H) Péréquation directe'!I51/C40</f>
        <v>3.9840811755553522</v>
      </c>
      <c r="F40" s="206">
        <f>+'I) Dépenses thématiques'!O40/C40</f>
        <v>-1.5927108752970158</v>
      </c>
      <c r="G40" s="168">
        <f t="shared" si="1"/>
        <v>18.748559526202691</v>
      </c>
      <c r="H40" s="206">
        <f t="shared" si="2"/>
        <v>20.341270401499706</v>
      </c>
      <c r="I40" s="211">
        <f t="shared" si="3"/>
        <v>0</v>
      </c>
      <c r="J40" s="67">
        <f t="shared" si="0"/>
        <v>0</v>
      </c>
    </row>
    <row r="41" spans="1:10" x14ac:dyDescent="0.25">
      <c r="A41" s="53">
        <f>'A) Base RI'!A43</f>
        <v>5472</v>
      </c>
      <c r="B41" s="116" t="str">
        <f>'A) Base RI'!B43</f>
        <v>Bournens</v>
      </c>
      <c r="C41" s="127">
        <f>'B) D RI'!U43</f>
        <v>14191.801124999998</v>
      </c>
      <c r="D41" s="168">
        <f>'E) Fact soc'!G47/C41</f>
        <v>18.556594665264946</v>
      </c>
      <c r="E41" s="159">
        <f>'H) Péréquation directe'!I52/C41</f>
        <v>12.161849489534063</v>
      </c>
      <c r="F41" s="206">
        <f>+'I) Dépenses thématiques'!O41/C41</f>
        <v>-2.4954505659439437</v>
      </c>
      <c r="G41" s="168">
        <f t="shared" si="1"/>
        <v>28.222993588855065</v>
      </c>
      <c r="H41" s="206">
        <f t="shared" si="2"/>
        <v>30.718444154799009</v>
      </c>
      <c r="I41" s="211">
        <f t="shared" si="3"/>
        <v>0</v>
      </c>
      <c r="J41" s="67">
        <f t="shared" si="0"/>
        <v>0</v>
      </c>
    </row>
    <row r="42" spans="1:10" x14ac:dyDescent="0.25">
      <c r="A42" s="53">
        <f>'A) Base RI'!A44</f>
        <v>5473</v>
      </c>
      <c r="B42" s="116" t="str">
        <f>'A) Base RI'!B44</f>
        <v>Boussens</v>
      </c>
      <c r="C42" s="127">
        <f>'B) D RI'!U44</f>
        <v>32757.052898550723</v>
      </c>
      <c r="D42" s="168">
        <f>'E) Fact soc'!G48/C42</f>
        <v>16.402446857661761</v>
      </c>
      <c r="E42" s="159">
        <f>'H) Péréquation directe'!I53/C42</f>
        <v>9.5360068682800314</v>
      </c>
      <c r="F42" s="206">
        <f>+'I) Dépenses thématiques'!O42/C42</f>
        <v>0</v>
      </c>
      <c r="G42" s="168">
        <f t="shared" si="1"/>
        <v>25.938453725941791</v>
      </c>
      <c r="H42" s="206">
        <f t="shared" si="2"/>
        <v>25.938453725941791</v>
      </c>
      <c r="I42" s="211">
        <f t="shared" si="3"/>
        <v>0</v>
      </c>
      <c r="J42" s="67">
        <f t="shared" si="0"/>
        <v>0</v>
      </c>
    </row>
    <row r="43" spans="1:10" x14ac:dyDescent="0.25">
      <c r="A43" s="53">
        <f>'A) Base RI'!A45</f>
        <v>5474</v>
      </c>
      <c r="B43" s="116" t="str">
        <f>'A) Base RI'!B45</f>
        <v>La Chaux (Cossonay)</v>
      </c>
      <c r="C43" s="127">
        <f>'B) D RI'!U45</f>
        <v>12924.858852813852</v>
      </c>
      <c r="D43" s="168">
        <f>'E) Fact soc'!G49/C43</f>
        <v>18.62063898942144</v>
      </c>
      <c r="E43" s="159">
        <f>'H) Péréquation directe'!I54/C43</f>
        <v>5.0093637389691548</v>
      </c>
      <c r="F43" s="206">
        <f>+'I) Dépenses thématiques'!O43/C43</f>
        <v>-8.133909816343218</v>
      </c>
      <c r="G43" s="168">
        <f t="shared" si="1"/>
        <v>15.496092912047375</v>
      </c>
      <c r="H43" s="206">
        <f t="shared" si="2"/>
        <v>23.630002728390593</v>
      </c>
      <c r="I43" s="211">
        <f t="shared" si="3"/>
        <v>0</v>
      </c>
      <c r="J43" s="67">
        <f t="shared" si="0"/>
        <v>0</v>
      </c>
    </row>
    <row r="44" spans="1:10" x14ac:dyDescent="0.25">
      <c r="A44" s="53">
        <f>'A) Base RI'!A46</f>
        <v>5475</v>
      </c>
      <c r="B44" s="116" t="str">
        <f>'A) Base RI'!B46</f>
        <v>Chavannes-le-Veyron</v>
      </c>
      <c r="C44" s="127">
        <f>'B) D RI'!U46</f>
        <v>2672.7945454545452</v>
      </c>
      <c r="D44" s="168">
        <f>'E) Fact soc'!G50/C44</f>
        <v>27.402640366537074</v>
      </c>
      <c r="E44" s="159">
        <f>'H) Péréquation directe'!I55/C44</f>
        <v>-18.922050740702176</v>
      </c>
      <c r="F44" s="206">
        <f>+'I) Dépenses thématiques'!O44/C44</f>
        <v>-17.309951543757983</v>
      </c>
      <c r="G44" s="168">
        <f t="shared" si="1"/>
        <v>-8.8293619179230838</v>
      </c>
      <c r="H44" s="206">
        <f t="shared" si="2"/>
        <v>8.4805896258348987</v>
      </c>
      <c r="I44" s="211">
        <f t="shared" si="3"/>
        <v>0</v>
      </c>
      <c r="J44" s="67">
        <f t="shared" si="0"/>
        <v>0</v>
      </c>
    </row>
    <row r="45" spans="1:10" x14ac:dyDescent="0.25">
      <c r="A45" s="53">
        <f>'A) Base RI'!A47</f>
        <v>5476</v>
      </c>
      <c r="B45" s="116" t="str">
        <f>'A) Base RI'!B47</f>
        <v>Chevilly</v>
      </c>
      <c r="C45" s="127">
        <f>'B) D RI'!U47</f>
        <v>10247.952162162162</v>
      </c>
      <c r="D45" s="168">
        <f>'E) Fact soc'!G51/C45</f>
        <v>17.270367570928247</v>
      </c>
      <c r="E45" s="159">
        <f>'H) Péréquation directe'!I56/C45</f>
        <v>9.4116561486267347</v>
      </c>
      <c r="F45" s="206">
        <f>+'I) Dépenses thématiques'!O45/C45</f>
        <v>-2.5697520628504376</v>
      </c>
      <c r="G45" s="168">
        <f t="shared" si="1"/>
        <v>24.112271656704547</v>
      </c>
      <c r="H45" s="206">
        <f t="shared" si="2"/>
        <v>26.682023719554984</v>
      </c>
      <c r="I45" s="211">
        <f t="shared" si="3"/>
        <v>0</v>
      </c>
      <c r="J45" s="67">
        <f t="shared" si="0"/>
        <v>0</v>
      </c>
    </row>
    <row r="46" spans="1:10" x14ac:dyDescent="0.25">
      <c r="A46" s="53">
        <f>'A) Base RI'!A48</f>
        <v>5477</v>
      </c>
      <c r="B46" s="116" t="str">
        <f>'A) Base RI'!B48</f>
        <v>Cossonay</v>
      </c>
      <c r="C46" s="127">
        <f>'B) D RI'!U48</f>
        <v>125937.08528138528</v>
      </c>
      <c r="D46" s="168">
        <f>'E) Fact soc'!G52/C46</f>
        <v>17.286442914589731</v>
      </c>
      <c r="E46" s="159">
        <f>'H) Péréquation directe'!I57/C46</f>
        <v>4.6077666373251045</v>
      </c>
      <c r="F46" s="206">
        <f>+'I) Dépenses thématiques'!O46/C46</f>
        <v>-4.9027207731708229</v>
      </c>
      <c r="G46" s="168">
        <f t="shared" si="1"/>
        <v>16.99148877874401</v>
      </c>
      <c r="H46" s="206">
        <f t="shared" si="2"/>
        <v>21.894209551914834</v>
      </c>
      <c r="I46" s="211">
        <f t="shared" si="3"/>
        <v>0</v>
      </c>
      <c r="J46" s="67">
        <f t="shared" si="0"/>
        <v>0</v>
      </c>
    </row>
    <row r="47" spans="1:10" x14ac:dyDescent="0.25">
      <c r="A47" s="53">
        <f>'A) Base RI'!A49</f>
        <v>5478</v>
      </c>
      <c r="B47" s="116" t="str">
        <f>'A) Base RI'!B49</f>
        <v>Cottens</v>
      </c>
      <c r="C47" s="127">
        <f>'B) D RI'!U49</f>
        <v>14465.317702702703</v>
      </c>
      <c r="D47" s="168">
        <f>'E) Fact soc'!G53/C47</f>
        <v>15.361946919157146</v>
      </c>
      <c r="E47" s="159">
        <f>'H) Péréquation directe'!I58/C47</f>
        <v>4.9299479355627325</v>
      </c>
      <c r="F47" s="206">
        <f>+'I) Dépenses thématiques'!O47/C47</f>
        <v>-0.67339561321622177</v>
      </c>
      <c r="G47" s="168">
        <f t="shared" si="1"/>
        <v>19.618499241503656</v>
      </c>
      <c r="H47" s="206">
        <f t="shared" si="2"/>
        <v>20.291894854719878</v>
      </c>
      <c r="I47" s="211">
        <f t="shared" si="3"/>
        <v>0</v>
      </c>
      <c r="J47" s="67">
        <f t="shared" si="0"/>
        <v>0</v>
      </c>
    </row>
    <row r="48" spans="1:10" x14ac:dyDescent="0.25">
      <c r="A48" s="53">
        <f>'A) Base RI'!A50</f>
        <v>5479</v>
      </c>
      <c r="B48" s="116" t="str">
        <f>'A) Base RI'!B50</f>
        <v>Cuarnens</v>
      </c>
      <c r="C48" s="127">
        <f>'B) D RI'!U50</f>
        <v>11562.819350649352</v>
      </c>
      <c r="D48" s="168">
        <f>'E) Fact soc'!G54/C48</f>
        <v>19.065723184634027</v>
      </c>
      <c r="E48" s="159">
        <f>'H) Péréquation directe'!I59/C48</f>
        <v>-5.3113549410189718</v>
      </c>
      <c r="F48" s="206">
        <f>+'I) Dépenses thématiques'!O48/C48</f>
        <v>-20.4865310435036</v>
      </c>
      <c r="G48" s="168">
        <f t="shared" si="1"/>
        <v>-6.7321627998885454</v>
      </c>
      <c r="H48" s="206">
        <f t="shared" si="2"/>
        <v>13.754368243615055</v>
      </c>
      <c r="I48" s="211">
        <f t="shared" si="3"/>
        <v>0</v>
      </c>
      <c r="J48" s="67">
        <f t="shared" si="0"/>
        <v>0</v>
      </c>
    </row>
    <row r="49" spans="1:10" x14ac:dyDescent="0.25">
      <c r="A49" s="53">
        <f>'A) Base RI'!A51</f>
        <v>5480</v>
      </c>
      <c r="B49" s="116" t="str">
        <f>'A) Base RI'!B51</f>
        <v>Daillens</v>
      </c>
      <c r="C49" s="127">
        <f>'B) D RI'!U51</f>
        <v>34852.093380281687</v>
      </c>
      <c r="D49" s="168">
        <f>'E) Fact soc'!G55/C49</f>
        <v>17.434772921173785</v>
      </c>
      <c r="E49" s="159">
        <f>'H) Péréquation directe'!I60/C49</f>
        <v>11.576753701918552</v>
      </c>
      <c r="F49" s="206">
        <f>+'I) Dépenses thématiques'!O49/C49</f>
        <v>-5.7760755712694616</v>
      </c>
      <c r="G49" s="168">
        <f t="shared" si="1"/>
        <v>23.235451051822874</v>
      </c>
      <c r="H49" s="206">
        <f t="shared" si="2"/>
        <v>29.011526623092337</v>
      </c>
      <c r="I49" s="211">
        <f t="shared" si="3"/>
        <v>0</v>
      </c>
      <c r="J49" s="67">
        <f t="shared" si="0"/>
        <v>0</v>
      </c>
    </row>
    <row r="50" spans="1:10" x14ac:dyDescent="0.25">
      <c r="A50" s="53">
        <f>'A) Base RI'!A52</f>
        <v>5481</v>
      </c>
      <c r="B50" s="116" t="str">
        <f>'A) Base RI'!B52</f>
        <v>Dizy</v>
      </c>
      <c r="C50" s="127">
        <f>'B) D RI'!U52</f>
        <v>8900.2526582278479</v>
      </c>
      <c r="D50" s="168">
        <f>'E) Fact soc'!G56/C50</f>
        <v>15.996233640326649</v>
      </c>
      <c r="E50" s="159">
        <f>'H) Péréquation directe'!I61/C50</f>
        <v>13.609090525976494</v>
      </c>
      <c r="F50" s="206">
        <f>+'I) Dépenses thématiques'!O50/C50</f>
        <v>0</v>
      </c>
      <c r="G50" s="168">
        <f t="shared" si="1"/>
        <v>29.605324166303141</v>
      </c>
      <c r="H50" s="206">
        <f t="shared" si="2"/>
        <v>29.605324166303141</v>
      </c>
      <c r="I50" s="211">
        <f t="shared" si="3"/>
        <v>0</v>
      </c>
      <c r="J50" s="67">
        <f t="shared" si="0"/>
        <v>0</v>
      </c>
    </row>
    <row r="51" spans="1:10" x14ac:dyDescent="0.25">
      <c r="A51" s="53">
        <f>'A) Base RI'!A53</f>
        <v>5482</v>
      </c>
      <c r="B51" s="116" t="str">
        <f>'A) Base RI'!B53</f>
        <v>Eclépens</v>
      </c>
      <c r="C51" s="127">
        <f>'B) D RI'!U53</f>
        <v>26792.007391304349</v>
      </c>
      <c r="D51" s="168">
        <f>'E) Fact soc'!G57/C51</f>
        <v>21.872364422557371</v>
      </c>
      <c r="E51" s="159">
        <f>'H) Péréquation directe'!I62/C51</f>
        <v>8.2654492292105388</v>
      </c>
      <c r="F51" s="206">
        <f>+'I) Dépenses thématiques'!O51/C51</f>
        <v>-8.6266054543196624</v>
      </c>
      <c r="G51" s="168">
        <f t="shared" si="1"/>
        <v>21.511208197448248</v>
      </c>
      <c r="H51" s="206">
        <f t="shared" si="2"/>
        <v>30.13781365176791</v>
      </c>
      <c r="I51" s="211">
        <f t="shared" si="3"/>
        <v>0</v>
      </c>
      <c r="J51" s="67">
        <f t="shared" si="0"/>
        <v>0</v>
      </c>
    </row>
    <row r="52" spans="1:10" x14ac:dyDescent="0.25">
      <c r="A52" s="53">
        <f>'A) Base RI'!A54</f>
        <v>5483</v>
      </c>
      <c r="B52" s="116" t="str">
        <f>'A) Base RI'!B54</f>
        <v>Ferreyres</v>
      </c>
      <c r="C52" s="127">
        <f>'B) D RI'!U54</f>
        <v>9773.8555263157887</v>
      </c>
      <c r="D52" s="168">
        <f>'E) Fact soc'!G58/C52</f>
        <v>15.16244945077529</v>
      </c>
      <c r="E52" s="159">
        <f>'H) Péréquation directe'!I63/C52</f>
        <v>5.5460486352825331</v>
      </c>
      <c r="F52" s="206">
        <f>+'I) Dépenses thématiques'!O52/C52</f>
        <v>-1.7280867340357322</v>
      </c>
      <c r="G52" s="168">
        <f t="shared" si="1"/>
        <v>18.980411352022092</v>
      </c>
      <c r="H52" s="206">
        <f t="shared" si="2"/>
        <v>20.708498086057823</v>
      </c>
      <c r="I52" s="211">
        <f t="shared" si="3"/>
        <v>0</v>
      </c>
      <c r="J52" s="67">
        <f t="shared" si="0"/>
        <v>0</v>
      </c>
    </row>
    <row r="53" spans="1:10" x14ac:dyDescent="0.25">
      <c r="A53" s="53">
        <f>'A) Base RI'!A55</f>
        <v>5484</v>
      </c>
      <c r="B53" s="116" t="str">
        <f>'A) Base RI'!B55</f>
        <v>Gollion</v>
      </c>
      <c r="C53" s="127">
        <f>'B) D RI'!U55</f>
        <v>29063.721351351356</v>
      </c>
      <c r="D53" s="168">
        <f>'E) Fact soc'!G59/C53</f>
        <v>18.46265295631305</v>
      </c>
      <c r="E53" s="159">
        <f>'H) Péréquation directe'!I64/C53</f>
        <v>7.4347180105324435</v>
      </c>
      <c r="F53" s="206">
        <f>+'I) Dépenses thématiques'!O53/C53</f>
        <v>-4.0703005028076777</v>
      </c>
      <c r="G53" s="168">
        <f t="shared" si="1"/>
        <v>21.827070464037817</v>
      </c>
      <c r="H53" s="206">
        <f t="shared" si="2"/>
        <v>25.897370966845493</v>
      </c>
      <c r="I53" s="211">
        <f t="shared" si="3"/>
        <v>0</v>
      </c>
      <c r="J53" s="67">
        <f t="shared" si="0"/>
        <v>0</v>
      </c>
    </row>
    <row r="54" spans="1:10" x14ac:dyDescent="0.25">
      <c r="A54" s="53">
        <f>'A) Base RI'!A56</f>
        <v>5485</v>
      </c>
      <c r="B54" s="116" t="str">
        <f>'A) Base RI'!B56</f>
        <v>Grancy</v>
      </c>
      <c r="C54" s="127">
        <f>'B) D RI'!U56</f>
        <v>15073.947999999999</v>
      </c>
      <c r="D54" s="168">
        <f>'E) Fact soc'!G60/C54</f>
        <v>16.795028646594982</v>
      </c>
      <c r="E54" s="159">
        <f>'H) Péréquation directe'!I65/C54</f>
        <v>12.101326481514699</v>
      </c>
      <c r="F54" s="206">
        <f>+'I) Dépenses thématiques'!O54/C54</f>
        <v>-3.2493200412572967</v>
      </c>
      <c r="G54" s="168">
        <f t="shared" si="1"/>
        <v>25.647035086852387</v>
      </c>
      <c r="H54" s="206">
        <f t="shared" si="2"/>
        <v>28.896355128109683</v>
      </c>
      <c r="I54" s="211">
        <f t="shared" si="3"/>
        <v>0</v>
      </c>
      <c r="J54" s="67">
        <f t="shared" si="0"/>
        <v>0</v>
      </c>
    </row>
    <row r="55" spans="1:10" x14ac:dyDescent="0.25">
      <c r="A55" s="53">
        <f>'A) Base RI'!A57</f>
        <v>5486</v>
      </c>
      <c r="B55" s="116" t="str">
        <f>'A) Base RI'!B57</f>
        <v>L'Isle</v>
      </c>
      <c r="C55" s="127">
        <f>'B) D RI'!U57</f>
        <v>29834.586052631581</v>
      </c>
      <c r="D55" s="168">
        <f>'E) Fact soc'!G61/C55</f>
        <v>18.620435253701004</v>
      </c>
      <c r="E55" s="159">
        <f>'H) Péréquation directe'!I66/C55</f>
        <v>2.713213867273272</v>
      </c>
      <c r="F55" s="206">
        <f>+'I) Dépenses thématiques'!O55/C55</f>
        <v>-10.133909439469816</v>
      </c>
      <c r="G55" s="168">
        <f t="shared" si="1"/>
        <v>11.199739681504459</v>
      </c>
      <c r="H55" s="206">
        <f t="shared" si="2"/>
        <v>21.333649120974275</v>
      </c>
      <c r="I55" s="211">
        <f t="shared" si="3"/>
        <v>0</v>
      </c>
      <c r="J55" s="67">
        <f t="shared" si="0"/>
        <v>0</v>
      </c>
    </row>
    <row r="56" spans="1:10" x14ac:dyDescent="0.25">
      <c r="A56" s="53">
        <f>'A) Base RI'!A58</f>
        <v>5487</v>
      </c>
      <c r="B56" s="116" t="str">
        <f>'A) Base RI'!B58</f>
        <v>Lussery-Villars</v>
      </c>
      <c r="C56" s="127">
        <f>'B) D RI'!U58</f>
        <v>13143.798970588234</v>
      </c>
      <c r="D56" s="168">
        <f>'E) Fact soc'!G62/C56</f>
        <v>16.202233065718406</v>
      </c>
      <c r="E56" s="159">
        <f>'H) Péréquation directe'!I67/C56</f>
        <v>4.9311051109562278</v>
      </c>
      <c r="F56" s="206">
        <f>+'I) Dépenses thématiques'!O56/C56</f>
        <v>-0.27558529821655836</v>
      </c>
      <c r="G56" s="168">
        <f t="shared" si="1"/>
        <v>20.857752878458076</v>
      </c>
      <c r="H56" s="206">
        <f t="shared" si="2"/>
        <v>21.133338176674634</v>
      </c>
      <c r="I56" s="211">
        <f t="shared" si="3"/>
        <v>0</v>
      </c>
      <c r="J56" s="67">
        <f t="shared" si="0"/>
        <v>0</v>
      </c>
    </row>
    <row r="57" spans="1:10" x14ac:dyDescent="0.25">
      <c r="A57" s="53">
        <f>'A) Base RI'!A59</f>
        <v>5488</v>
      </c>
      <c r="B57" s="116" t="str">
        <f>'A) Base RI'!B59</f>
        <v>Mauraz</v>
      </c>
      <c r="C57" s="127">
        <f>'B) D RI'!U59</f>
        <v>1604.8968918918922</v>
      </c>
      <c r="D57" s="168">
        <f>'E) Fact soc'!G63/C57</f>
        <v>14.664437178454055</v>
      </c>
      <c r="E57" s="159">
        <f>'H) Péréquation directe'!I68/C57</f>
        <v>5.3195315291601162</v>
      </c>
      <c r="F57" s="206">
        <f>+'I) Dépenses thématiques'!O57/C57</f>
        <v>-5.0182944469819981</v>
      </c>
      <c r="G57" s="168">
        <f t="shared" si="1"/>
        <v>14.965674260632174</v>
      </c>
      <c r="H57" s="206">
        <f t="shared" si="2"/>
        <v>19.983968707614171</v>
      </c>
      <c r="I57" s="211">
        <f t="shared" si="3"/>
        <v>0</v>
      </c>
      <c r="J57" s="67">
        <f t="shared" si="0"/>
        <v>0</v>
      </c>
    </row>
    <row r="58" spans="1:10" x14ac:dyDescent="0.25">
      <c r="A58" s="53">
        <f>'A) Base RI'!A60</f>
        <v>5489</v>
      </c>
      <c r="B58" s="116" t="str">
        <f>'A) Base RI'!B60</f>
        <v>Mex</v>
      </c>
      <c r="C58" s="127">
        <f>'B) D RI'!U60</f>
        <v>46901.97049180328</v>
      </c>
      <c r="D58" s="168">
        <f>'E) Fact soc'!G64/C58</f>
        <v>19.834053514059633</v>
      </c>
      <c r="E58" s="159">
        <f>'H) Péréquation directe'!I69/C58</f>
        <v>16.058306850848179</v>
      </c>
      <c r="F58" s="206">
        <f>+'I) Dépenses thématiques'!O58/C58</f>
        <v>0</v>
      </c>
      <c r="G58" s="168">
        <f t="shared" si="1"/>
        <v>35.892360364907816</v>
      </c>
      <c r="H58" s="206">
        <f t="shared" si="2"/>
        <v>35.892360364907816</v>
      </c>
      <c r="I58" s="211">
        <f t="shared" si="3"/>
        <v>0</v>
      </c>
      <c r="J58" s="67">
        <f t="shared" si="0"/>
        <v>0</v>
      </c>
    </row>
    <row r="59" spans="1:10" x14ac:dyDescent="0.25">
      <c r="A59" s="53">
        <f>'A) Base RI'!A61</f>
        <v>5490</v>
      </c>
      <c r="B59" s="116" t="str">
        <f>'A) Base RI'!B61</f>
        <v>Moiry</v>
      </c>
      <c r="C59" s="127">
        <f>'B) D RI'!U61</f>
        <v>7445.9272839506175</v>
      </c>
      <c r="D59" s="168">
        <f>'E) Fact soc'!G65/C59</f>
        <v>16.897980344507662</v>
      </c>
      <c r="E59" s="159">
        <f>'H) Péréquation directe'!I70/C59</f>
        <v>-6.4509827199180387</v>
      </c>
      <c r="F59" s="206">
        <f>+'I) Dépenses thématiques'!O59/C59</f>
        <v>-3.7932892383391748</v>
      </c>
      <c r="G59" s="168">
        <f t="shared" si="1"/>
        <v>6.6537083862504494</v>
      </c>
      <c r="H59" s="206">
        <f t="shared" si="2"/>
        <v>10.446997624589624</v>
      </c>
      <c r="I59" s="211">
        <f t="shared" si="3"/>
        <v>0</v>
      </c>
      <c r="J59" s="67">
        <f t="shared" si="0"/>
        <v>0</v>
      </c>
    </row>
    <row r="60" spans="1:10" x14ac:dyDescent="0.25">
      <c r="A60" s="53">
        <f>'A) Base RI'!A62</f>
        <v>5491</v>
      </c>
      <c r="B60" s="116" t="str">
        <f>'A) Base RI'!B62</f>
        <v>Mont-la-Ville</v>
      </c>
      <c r="C60" s="127">
        <f>'B) D RI'!U62</f>
        <v>8756.4323684210522</v>
      </c>
      <c r="D60" s="168">
        <f>'E) Fact soc'!G66/C60</f>
        <v>21.303231673075647</v>
      </c>
      <c r="E60" s="159">
        <f>'H) Péréquation directe'!I71/C60</f>
        <v>-9.6135395451692229</v>
      </c>
      <c r="F60" s="206">
        <f>+'I) Dépenses thématiques'!O60/C60</f>
        <v>-16.767786682484967</v>
      </c>
      <c r="G60" s="168">
        <f t="shared" si="1"/>
        <v>-5.0780945545785432</v>
      </c>
      <c r="H60" s="206">
        <f t="shared" si="2"/>
        <v>11.689692127906424</v>
      </c>
      <c r="I60" s="211">
        <f t="shared" si="3"/>
        <v>0</v>
      </c>
      <c r="J60" s="67">
        <f t="shared" si="0"/>
        <v>0</v>
      </c>
    </row>
    <row r="61" spans="1:10" x14ac:dyDescent="0.25">
      <c r="A61" s="53">
        <f>'A) Base RI'!A63</f>
        <v>5492</v>
      </c>
      <c r="B61" s="116" t="str">
        <f>'A) Base RI'!B63</f>
        <v>Montricher</v>
      </c>
      <c r="C61" s="127">
        <f>'B) D RI'!U63</f>
        <v>201844.58625000002</v>
      </c>
      <c r="D61" s="168">
        <f>'E) Fact soc'!G67/C61</f>
        <v>35.781819520870371</v>
      </c>
      <c r="E61" s="159">
        <f>'H) Péréquation directe'!I72/C61</f>
        <v>10.2678653539918</v>
      </c>
      <c r="F61" s="206">
        <f>+'I) Dépenses thématiques'!O61/C61</f>
        <v>-0.98806630954148844</v>
      </c>
      <c r="G61" s="168">
        <f t="shared" si="1"/>
        <v>45.061618565320686</v>
      </c>
      <c r="H61" s="206">
        <f t="shared" si="2"/>
        <v>46.049684874862173</v>
      </c>
      <c r="I61" s="211">
        <f t="shared" si="3"/>
        <v>0</v>
      </c>
      <c r="J61" s="67">
        <f t="shared" ref="J61:J115" si="4">-I61*C61</f>
        <v>0</v>
      </c>
    </row>
    <row r="62" spans="1:10" x14ac:dyDescent="0.25">
      <c r="A62" s="53">
        <f>'A) Base RI'!A64</f>
        <v>5493</v>
      </c>
      <c r="B62" s="116" t="str">
        <f>'A) Base RI'!B64</f>
        <v>Orny</v>
      </c>
      <c r="C62" s="127">
        <f>'B) D RI'!U64</f>
        <v>9079.112581664911</v>
      </c>
      <c r="D62" s="168">
        <f>'E) Fact soc'!G68/C62</f>
        <v>28.734561747454002</v>
      </c>
      <c r="E62" s="159">
        <f>'H) Péréquation directe'!I73/C62</f>
        <v>-2.5471770119878774</v>
      </c>
      <c r="F62" s="206">
        <f>+'I) Dépenses thématiques'!O62/C62</f>
        <v>-3.9503090021417178</v>
      </c>
      <c r="G62" s="168">
        <f t="shared" ref="G62:G116" si="5">SUM(D62:F62)</f>
        <v>22.237075733324406</v>
      </c>
      <c r="H62" s="206">
        <f t="shared" ref="H62:H116" si="6">G62-F62</f>
        <v>26.187384735466125</v>
      </c>
      <c r="I62" s="211">
        <f t="shared" ref="I62:I116" si="7">IF(H62&lt;I$4,H62-I$4,0)</f>
        <v>0</v>
      </c>
      <c r="J62" s="67">
        <f t="shared" si="4"/>
        <v>0</v>
      </c>
    </row>
    <row r="63" spans="1:10" x14ac:dyDescent="0.25">
      <c r="A63" s="53">
        <f>'A) Base RI'!A65</f>
        <v>5494</v>
      </c>
      <c r="B63" s="116" t="str">
        <f>'A) Base RI'!B65</f>
        <v>Pampigny</v>
      </c>
      <c r="C63" s="127">
        <f>'B) D RI'!U65</f>
        <v>36797.992425396827</v>
      </c>
      <c r="D63" s="168">
        <f>'E) Fact soc'!G69/C63</f>
        <v>17.779397464192087</v>
      </c>
      <c r="E63" s="159">
        <f>'H) Péréquation directe'!I74/C63</f>
        <v>7.2093949287347234</v>
      </c>
      <c r="F63" s="206">
        <f>+'I) Dépenses thématiques'!O63/C63</f>
        <v>-7.2572387641396796</v>
      </c>
      <c r="G63" s="168">
        <f t="shared" si="5"/>
        <v>17.731553628787132</v>
      </c>
      <c r="H63" s="206">
        <f t="shared" si="6"/>
        <v>24.988792392926811</v>
      </c>
      <c r="I63" s="211">
        <f t="shared" si="7"/>
        <v>0</v>
      </c>
      <c r="J63" s="67">
        <f t="shared" si="4"/>
        <v>0</v>
      </c>
    </row>
    <row r="64" spans="1:10" x14ac:dyDescent="0.25">
      <c r="A64" s="53">
        <f>'A) Base RI'!A66</f>
        <v>5495</v>
      </c>
      <c r="B64" s="116" t="str">
        <f>'A) Base RI'!B66</f>
        <v>Penthalaz</v>
      </c>
      <c r="C64" s="127">
        <f>'B) D RI'!U66</f>
        <v>99436.02810810809</v>
      </c>
      <c r="D64" s="168">
        <f>'E) Fact soc'!G70/C64</f>
        <v>16.332738277726072</v>
      </c>
      <c r="E64" s="159">
        <f>'H) Péréquation directe'!I75/C64</f>
        <v>-0.29763534915116224</v>
      </c>
      <c r="F64" s="206">
        <f>+'I) Dépenses thématiques'!O64/C64</f>
        <v>-4.2046634612427001</v>
      </c>
      <c r="G64" s="168">
        <f t="shared" si="5"/>
        <v>11.830439467332212</v>
      </c>
      <c r="H64" s="206">
        <f t="shared" si="6"/>
        <v>16.035102928574911</v>
      </c>
      <c r="I64" s="211">
        <f t="shared" si="7"/>
        <v>0</v>
      </c>
      <c r="J64" s="67">
        <f t="shared" si="4"/>
        <v>0</v>
      </c>
    </row>
    <row r="65" spans="1:10" x14ac:dyDescent="0.25">
      <c r="A65" s="53">
        <f>'A) Base RI'!A67</f>
        <v>5496</v>
      </c>
      <c r="B65" s="116" t="str">
        <f>'A) Base RI'!B67</f>
        <v>Penthaz</v>
      </c>
      <c r="C65" s="127">
        <f>'B) D RI'!U67</f>
        <v>52905.64732394366</v>
      </c>
      <c r="D65" s="168">
        <f>'E) Fact soc'!G71/C65</f>
        <v>16.181913933032313</v>
      </c>
      <c r="E65" s="159">
        <f>'H) Péréquation directe'!I76/C65</f>
        <v>3.661121279216863</v>
      </c>
      <c r="F65" s="206">
        <f>+'I) Dépenses thématiques'!O65/C65</f>
        <v>-3.4870099732284152</v>
      </c>
      <c r="G65" s="168">
        <f t="shared" si="5"/>
        <v>16.356025239020763</v>
      </c>
      <c r="H65" s="206">
        <f t="shared" si="6"/>
        <v>19.843035212249177</v>
      </c>
      <c r="I65" s="211">
        <f t="shared" si="7"/>
        <v>0</v>
      </c>
      <c r="J65" s="67">
        <f t="shared" si="4"/>
        <v>0</v>
      </c>
    </row>
    <row r="66" spans="1:10" x14ac:dyDescent="0.25">
      <c r="A66" s="53">
        <f>'A) Base RI'!A68</f>
        <v>5497</v>
      </c>
      <c r="B66" s="116" t="str">
        <f>'A) Base RI'!B68</f>
        <v>Pompaples</v>
      </c>
      <c r="C66" s="127">
        <f>'B) D RI'!U68</f>
        <v>22272.608181818188</v>
      </c>
      <c r="D66" s="168">
        <f>'E) Fact soc'!G72/C66</f>
        <v>22.305803811883809</v>
      </c>
      <c r="E66" s="159">
        <f>'H) Péréquation directe'!I77/C66</f>
        <v>2.5593931744134029</v>
      </c>
      <c r="F66" s="206">
        <f>+'I) Dépenses thématiques'!O66/C66</f>
        <v>-7.3351909416086443</v>
      </c>
      <c r="G66" s="168">
        <f t="shared" si="5"/>
        <v>17.530006044688569</v>
      </c>
      <c r="H66" s="206">
        <f t="shared" si="6"/>
        <v>24.865196986297214</v>
      </c>
      <c r="I66" s="211">
        <f t="shared" si="7"/>
        <v>0</v>
      </c>
      <c r="J66" s="67">
        <f t="shared" si="4"/>
        <v>0</v>
      </c>
    </row>
    <row r="67" spans="1:10" x14ac:dyDescent="0.25">
      <c r="A67" s="53">
        <f>'A) Base RI'!A69</f>
        <v>5498</v>
      </c>
      <c r="B67" s="116" t="str">
        <f>'A) Base RI'!B69</f>
        <v>La Sarraz</v>
      </c>
      <c r="C67" s="127">
        <f>'B) D RI'!U69</f>
        <v>73804.61909090908</v>
      </c>
      <c r="D67" s="168">
        <f>'E) Fact soc'!G73/C67</f>
        <v>17.019111345743486</v>
      </c>
      <c r="E67" s="159">
        <f>'H) Péréquation directe'!I78/C67</f>
        <v>0.6062699467763617</v>
      </c>
      <c r="F67" s="206">
        <f>+'I) Dépenses thématiques'!O67/C67</f>
        <v>-8.0208527174006594</v>
      </c>
      <c r="G67" s="168">
        <f t="shared" si="5"/>
        <v>9.604528575119188</v>
      </c>
      <c r="H67" s="206">
        <f t="shared" si="6"/>
        <v>17.625381292519847</v>
      </c>
      <c r="I67" s="211">
        <f t="shared" si="7"/>
        <v>0</v>
      </c>
      <c r="J67" s="67">
        <f t="shared" si="4"/>
        <v>0</v>
      </c>
    </row>
    <row r="68" spans="1:10" x14ac:dyDescent="0.25">
      <c r="A68" s="53">
        <f>'A) Base RI'!A70</f>
        <v>5499</v>
      </c>
      <c r="B68" s="116" t="str">
        <f>'A) Base RI'!B70</f>
        <v>Senarclens</v>
      </c>
      <c r="C68" s="127">
        <f>'B) D RI'!U70</f>
        <v>18585.936788321167</v>
      </c>
      <c r="D68" s="168">
        <f>'E) Fact soc'!G74/C68</f>
        <v>17.802985999767952</v>
      </c>
      <c r="E68" s="159">
        <f>'H) Péréquation directe'!I79/C68</f>
        <v>14.455856476607586</v>
      </c>
      <c r="F68" s="206">
        <f>+'I) Dépenses thématiques'!O68/C68</f>
        <v>-4.6798654806115181</v>
      </c>
      <c r="G68" s="168">
        <f t="shared" si="5"/>
        <v>27.578976995764016</v>
      </c>
      <c r="H68" s="206">
        <f t="shared" si="6"/>
        <v>32.258842476375534</v>
      </c>
      <c r="I68" s="211">
        <f t="shared" si="7"/>
        <v>0</v>
      </c>
      <c r="J68" s="67">
        <f t="shared" si="4"/>
        <v>0</v>
      </c>
    </row>
    <row r="69" spans="1:10" x14ac:dyDescent="0.25">
      <c r="A69" s="53">
        <f>'A) Base RI'!A71</f>
        <v>5500</v>
      </c>
      <c r="B69" s="116" t="str">
        <f>'A) Base RI'!B71</f>
        <v>Sévery</v>
      </c>
      <c r="C69" s="127">
        <f>'B) D RI'!U71</f>
        <v>8028.7526973684207</v>
      </c>
      <c r="D69" s="168">
        <f>'E) Fact soc'!G75/C69</f>
        <v>15.561717898329915</v>
      </c>
      <c r="E69" s="159">
        <f>'H) Péréquation directe'!I80/C69</f>
        <v>7.8515130615114916</v>
      </c>
      <c r="F69" s="206">
        <f>+'I) Dépenses thématiques'!O69/C69</f>
        <v>-1.4613898136371108</v>
      </c>
      <c r="G69" s="168">
        <f t="shared" si="5"/>
        <v>21.951841146204295</v>
      </c>
      <c r="H69" s="206">
        <f t="shared" si="6"/>
        <v>23.413230959841407</v>
      </c>
      <c r="I69" s="211">
        <f t="shared" si="7"/>
        <v>0</v>
      </c>
      <c r="J69" s="67">
        <f t="shared" si="4"/>
        <v>0</v>
      </c>
    </row>
    <row r="70" spans="1:10" x14ac:dyDescent="0.25">
      <c r="A70" s="53">
        <f>'A) Base RI'!A72</f>
        <v>5501</v>
      </c>
      <c r="B70" s="116" t="str">
        <f>'A) Base RI'!B72</f>
        <v>Sullens</v>
      </c>
      <c r="C70" s="127">
        <f>'B) D RI'!U72</f>
        <v>35737.650142857143</v>
      </c>
      <c r="D70" s="168">
        <f>'E) Fact soc'!G76/C70</f>
        <v>19.486526048626832</v>
      </c>
      <c r="E70" s="159">
        <f>'H) Péréquation directe'!I81/C70</f>
        <v>11.813144370821842</v>
      </c>
      <c r="F70" s="206">
        <f>+'I) Dépenses thématiques'!O70/C70</f>
        <v>-0.3783483933288625</v>
      </c>
      <c r="G70" s="168">
        <f t="shared" si="5"/>
        <v>30.92132202611981</v>
      </c>
      <c r="H70" s="206">
        <f t="shared" si="6"/>
        <v>31.299670419448674</v>
      </c>
      <c r="I70" s="211">
        <f t="shared" si="7"/>
        <v>0</v>
      </c>
      <c r="J70" s="67">
        <f t="shared" si="4"/>
        <v>0</v>
      </c>
    </row>
    <row r="71" spans="1:10" x14ac:dyDescent="0.25">
      <c r="A71" s="53">
        <f>'A) Base RI'!A73</f>
        <v>5503</v>
      </c>
      <c r="B71" s="116" t="str">
        <f>'A) Base RI'!B73</f>
        <v>Vufflens-la-Ville</v>
      </c>
      <c r="C71" s="127">
        <f>'B) D RI'!U73</f>
        <v>64927.66542288557</v>
      </c>
      <c r="D71" s="168">
        <f>'E) Fact soc'!G77/C71</f>
        <v>19.513624315390963</v>
      </c>
      <c r="E71" s="159">
        <f>'H) Péréquation directe'!I82/C71</f>
        <v>15.701441995111869</v>
      </c>
      <c r="F71" s="206">
        <f>+'I) Dépenses thématiques'!O71/C71</f>
        <v>0</v>
      </c>
      <c r="G71" s="168">
        <f t="shared" si="5"/>
        <v>35.215066310502834</v>
      </c>
      <c r="H71" s="206">
        <f t="shared" si="6"/>
        <v>35.215066310502834</v>
      </c>
      <c r="I71" s="211">
        <f t="shared" si="7"/>
        <v>0</v>
      </c>
      <c r="J71" s="67">
        <f t="shared" si="4"/>
        <v>0</v>
      </c>
    </row>
    <row r="72" spans="1:10" x14ac:dyDescent="0.25">
      <c r="A72" s="53">
        <f>'A) Base RI'!A74</f>
        <v>5511</v>
      </c>
      <c r="B72" s="116" t="str">
        <f>'A) Base RI'!B74</f>
        <v>Assens</v>
      </c>
      <c r="C72" s="127">
        <f>'B) D RI'!U74</f>
        <v>39993.346428571429</v>
      </c>
      <c r="D72" s="168">
        <f>'E) Fact soc'!G78/C72</f>
        <v>17.065245902262308</v>
      </c>
      <c r="E72" s="159">
        <f>'H) Péréquation directe'!I83/C72</f>
        <v>12.272402909560418</v>
      </c>
      <c r="F72" s="206">
        <f>+'I) Dépenses thématiques'!O72/C72</f>
        <v>-7.0108328930641104</v>
      </c>
      <c r="G72" s="168">
        <f t="shared" si="5"/>
        <v>22.326815918758612</v>
      </c>
      <c r="H72" s="206">
        <f t="shared" si="6"/>
        <v>29.337648811822724</v>
      </c>
      <c r="I72" s="211">
        <f t="shared" si="7"/>
        <v>0</v>
      </c>
      <c r="J72" s="67">
        <f t="shared" si="4"/>
        <v>0</v>
      </c>
    </row>
    <row r="73" spans="1:10" x14ac:dyDescent="0.25">
      <c r="A73" s="53">
        <f>'A) Base RI'!A75</f>
        <v>5512</v>
      </c>
      <c r="B73" s="116" t="str">
        <f>'A) Base RI'!B75</f>
        <v>Bercher</v>
      </c>
      <c r="C73" s="127">
        <f>'B) D RI'!U75</f>
        <v>35096.262278481016</v>
      </c>
      <c r="D73" s="168">
        <f>'E) Fact soc'!G79/C73</f>
        <v>19.090430430027254</v>
      </c>
      <c r="E73" s="159">
        <f>'H) Péréquation directe'!I84/C73</f>
        <v>2.8910419315442297</v>
      </c>
      <c r="F73" s="206">
        <f>+'I) Dépenses thématiques'!O73/C73</f>
        <v>-4.0938241038652947</v>
      </c>
      <c r="G73" s="168">
        <f t="shared" si="5"/>
        <v>17.887648257706189</v>
      </c>
      <c r="H73" s="206">
        <f t="shared" si="6"/>
        <v>21.981472361571484</v>
      </c>
      <c r="I73" s="211">
        <f t="shared" si="7"/>
        <v>0</v>
      </c>
      <c r="J73" s="67">
        <f t="shared" si="4"/>
        <v>0</v>
      </c>
    </row>
    <row r="74" spans="1:10" x14ac:dyDescent="0.25">
      <c r="A74" s="53">
        <f>'A) Base RI'!A76</f>
        <v>5513</v>
      </c>
      <c r="B74" s="116" t="str">
        <f>'A) Base RI'!B76</f>
        <v>Bioley-Orjulaz</v>
      </c>
      <c r="C74" s="127">
        <f>'B) D RI'!U76</f>
        <v>22441.228030303031</v>
      </c>
      <c r="D74" s="168">
        <f>'E) Fact soc'!G80/C74</f>
        <v>16.823245285326887</v>
      </c>
      <c r="E74" s="159">
        <f>'H) Péréquation directe'!I85/C74</f>
        <v>16.437252093145531</v>
      </c>
      <c r="F74" s="206">
        <f>+'I) Dépenses thématiques'!O74/C74</f>
        <v>-0.31593751462631942</v>
      </c>
      <c r="G74" s="168">
        <f t="shared" si="5"/>
        <v>32.944559863846102</v>
      </c>
      <c r="H74" s="206">
        <f t="shared" si="6"/>
        <v>33.260497378472422</v>
      </c>
      <c r="I74" s="211">
        <f t="shared" si="7"/>
        <v>0</v>
      </c>
      <c r="J74" s="67">
        <f t="shared" si="4"/>
        <v>0</v>
      </c>
    </row>
    <row r="75" spans="1:10" x14ac:dyDescent="0.25">
      <c r="A75" s="53">
        <f>'A) Base RI'!A77</f>
        <v>5514</v>
      </c>
      <c r="B75" s="116" t="str">
        <f>'A) Base RI'!B77</f>
        <v>Bottens</v>
      </c>
      <c r="C75" s="127">
        <f>'B) D RI'!U77</f>
        <v>40579.944927536235</v>
      </c>
      <c r="D75" s="168">
        <f>'E) Fact soc'!G81/C75</f>
        <v>17.86518782589674</v>
      </c>
      <c r="E75" s="159">
        <f>'H) Péréquation directe'!I86/C75</f>
        <v>7.4784353718047898</v>
      </c>
      <c r="F75" s="206">
        <f>+'I) Dépenses thématiques'!O75/C75</f>
        <v>-0.47393175602725957</v>
      </c>
      <c r="G75" s="168">
        <f t="shared" si="5"/>
        <v>24.86969144167427</v>
      </c>
      <c r="H75" s="206">
        <f t="shared" si="6"/>
        <v>25.343623197701529</v>
      </c>
      <c r="I75" s="211">
        <f t="shared" si="7"/>
        <v>0</v>
      </c>
      <c r="J75" s="67">
        <f t="shared" si="4"/>
        <v>0</v>
      </c>
    </row>
    <row r="76" spans="1:10" x14ac:dyDescent="0.25">
      <c r="A76" s="53">
        <f>'A) Base RI'!A78</f>
        <v>5515</v>
      </c>
      <c r="B76" s="116" t="str">
        <f>'A) Base RI'!B78</f>
        <v>Bretigny-sur-Morrens</v>
      </c>
      <c r="C76" s="127">
        <f>'B) D RI'!U78</f>
        <v>25654.980410958906</v>
      </c>
      <c r="D76" s="168">
        <f>'E) Fact soc'!G82/C76</f>
        <v>16.278826444653145</v>
      </c>
      <c r="E76" s="159">
        <f>'H) Péréquation directe'!I87/C76</f>
        <v>6.8102347466922071</v>
      </c>
      <c r="F76" s="206">
        <f>+'I) Dépenses thématiques'!O76/C76</f>
        <v>-1.9364273162475225</v>
      </c>
      <c r="G76" s="168">
        <f t="shared" si="5"/>
        <v>21.152633875097827</v>
      </c>
      <c r="H76" s="206">
        <f t="shared" si="6"/>
        <v>23.089061191345351</v>
      </c>
      <c r="I76" s="211">
        <f t="shared" si="7"/>
        <v>0</v>
      </c>
      <c r="J76" s="67">
        <f t="shared" si="4"/>
        <v>0</v>
      </c>
    </row>
    <row r="77" spans="1:10" x14ac:dyDescent="0.25">
      <c r="A77" s="53">
        <f>'A) Base RI'!A79</f>
        <v>5516</v>
      </c>
      <c r="B77" s="116" t="str">
        <f>'A) Base RI'!B79</f>
        <v>Cugy</v>
      </c>
      <c r="C77" s="127">
        <f>'B) D RI'!U79</f>
        <v>107712.55485714282</v>
      </c>
      <c r="D77" s="168">
        <f>'E) Fact soc'!G83/C77</f>
        <v>16.881163634498805</v>
      </c>
      <c r="E77" s="159">
        <f>'H) Péréquation directe'!I88/C77</f>
        <v>9.6976875531422113</v>
      </c>
      <c r="F77" s="206">
        <f>+'I) Dépenses thématiques'!O77/C77</f>
        <v>-1.5344309644769398</v>
      </c>
      <c r="G77" s="168">
        <f t="shared" si="5"/>
        <v>25.044420223164074</v>
      </c>
      <c r="H77" s="206">
        <f t="shared" si="6"/>
        <v>26.578851187641014</v>
      </c>
      <c r="I77" s="211">
        <f t="shared" si="7"/>
        <v>0</v>
      </c>
      <c r="J77" s="67">
        <f t="shared" si="4"/>
        <v>0</v>
      </c>
    </row>
    <row r="78" spans="1:10" x14ac:dyDescent="0.25">
      <c r="A78" s="53">
        <f>'A) Base RI'!A80</f>
        <v>5518</v>
      </c>
      <c r="B78" s="116" t="str">
        <f>'A) Base RI'!B80</f>
        <v>Echallens</v>
      </c>
      <c r="C78" s="127">
        <f>'B) D RI'!U80</f>
        <v>187267.45324324328</v>
      </c>
      <c r="D78" s="168">
        <f>'E) Fact soc'!G84/C78</f>
        <v>18.376121819656269</v>
      </c>
      <c r="E78" s="159">
        <f>'H) Péréquation directe'!I89/C78</f>
        <v>-0.42541945704449435</v>
      </c>
      <c r="F78" s="206">
        <f>+'I) Dépenses thématiques'!O78/C78</f>
        <v>-4.4096065216025728</v>
      </c>
      <c r="G78" s="168">
        <f t="shared" si="5"/>
        <v>13.541095841009202</v>
      </c>
      <c r="H78" s="206">
        <f t="shared" si="6"/>
        <v>17.950702362611775</v>
      </c>
      <c r="I78" s="211">
        <f t="shared" si="7"/>
        <v>0</v>
      </c>
      <c r="J78" s="67">
        <f t="shared" si="4"/>
        <v>0</v>
      </c>
    </row>
    <row r="79" spans="1:10" x14ac:dyDescent="0.25">
      <c r="A79" s="53">
        <f>'A) Base RI'!A81</f>
        <v>5520</v>
      </c>
      <c r="B79" s="116" t="str">
        <f>'A) Base RI'!B81</f>
        <v>Essertines-sur-Yverdon</v>
      </c>
      <c r="C79" s="127">
        <f>'B) D RI'!U81</f>
        <v>28096.496575342466</v>
      </c>
      <c r="D79" s="168">
        <f>'E) Fact soc'!G85/C79</f>
        <v>16.819314561036123</v>
      </c>
      <c r="E79" s="159">
        <f>'H) Péréquation directe'!I90/C79</f>
        <v>5.0282407421889186</v>
      </c>
      <c r="F79" s="206">
        <f>+'I) Dépenses thématiques'!O79/C79</f>
        <v>-3.7369258900619897</v>
      </c>
      <c r="G79" s="168">
        <f t="shared" si="5"/>
        <v>18.110629413163053</v>
      </c>
      <c r="H79" s="206">
        <f t="shared" si="6"/>
        <v>21.847555303225043</v>
      </c>
      <c r="I79" s="211">
        <f t="shared" si="7"/>
        <v>0</v>
      </c>
      <c r="J79" s="67">
        <f t="shared" si="4"/>
        <v>0</v>
      </c>
    </row>
    <row r="80" spans="1:10" x14ac:dyDescent="0.25">
      <c r="A80" s="53">
        <f>'A) Base RI'!A82</f>
        <v>5521</v>
      </c>
      <c r="B80" s="116" t="str">
        <f>'A) Base RI'!B82</f>
        <v>Etagnières</v>
      </c>
      <c r="C80" s="127">
        <f>'B) D RI'!U82</f>
        <v>40658.047260273968</v>
      </c>
      <c r="D80" s="168">
        <f>'E) Fact soc'!G86/C80</f>
        <v>16.010056894269972</v>
      </c>
      <c r="E80" s="159">
        <f>'H) Péréquation directe'!I91/C80</f>
        <v>10.606897165424122</v>
      </c>
      <c r="F80" s="206">
        <f>+'I) Dépenses thématiques'!O80/C80</f>
        <v>-0.39464107776131307</v>
      </c>
      <c r="G80" s="168">
        <f t="shared" si="5"/>
        <v>26.222312981932781</v>
      </c>
      <c r="H80" s="206">
        <f t="shared" si="6"/>
        <v>26.616954059694095</v>
      </c>
      <c r="I80" s="211">
        <f t="shared" si="7"/>
        <v>0</v>
      </c>
      <c r="J80" s="67">
        <f t="shared" si="4"/>
        <v>0</v>
      </c>
    </row>
    <row r="81" spans="1:10" x14ac:dyDescent="0.25">
      <c r="A81" s="53">
        <f>'A) Base RI'!A83</f>
        <v>5522</v>
      </c>
      <c r="B81" s="116" t="str">
        <f>'A) Base RI'!B83</f>
        <v>Fey</v>
      </c>
      <c r="C81" s="127">
        <f>'B) D RI'!U83</f>
        <v>19109.159333333333</v>
      </c>
      <c r="D81" s="168">
        <f>'E) Fact soc'!G87/C81</f>
        <v>18.775812704166174</v>
      </c>
      <c r="E81" s="159">
        <f>'H) Péréquation directe'!I92/C81</f>
        <v>1.3440494323790431</v>
      </c>
      <c r="F81" s="206">
        <f>+'I) Dépenses thématiques'!O81/C81</f>
        <v>-4.1013814081301465</v>
      </c>
      <c r="G81" s="168">
        <f t="shared" si="5"/>
        <v>16.018480728415071</v>
      </c>
      <c r="H81" s="206">
        <f t="shared" si="6"/>
        <v>20.119862136545215</v>
      </c>
      <c r="I81" s="211">
        <f t="shared" si="7"/>
        <v>0</v>
      </c>
      <c r="J81" s="67">
        <f t="shared" si="4"/>
        <v>0</v>
      </c>
    </row>
    <row r="82" spans="1:10" x14ac:dyDescent="0.25">
      <c r="A82" s="53">
        <f>'A) Base RI'!A84</f>
        <v>5523</v>
      </c>
      <c r="B82" s="116" t="str">
        <f>'A) Base RI'!B84</f>
        <v>Froideville</v>
      </c>
      <c r="C82" s="127">
        <f>'B) D RI'!U84</f>
        <v>77198.057236842113</v>
      </c>
      <c r="D82" s="168">
        <f>'E) Fact soc'!G88/C82</f>
        <v>18.595444717529446</v>
      </c>
      <c r="E82" s="159">
        <f>'H) Péréquation directe'!I93/C82</f>
        <v>1.4214360550011855</v>
      </c>
      <c r="F82" s="206">
        <f>+'I) Dépenses thématiques'!O82/C82</f>
        <v>-2.005326448722121</v>
      </c>
      <c r="G82" s="168">
        <f t="shared" si="5"/>
        <v>18.011554323808511</v>
      </c>
      <c r="H82" s="206">
        <f t="shared" si="6"/>
        <v>20.016880772530634</v>
      </c>
      <c r="I82" s="211">
        <f t="shared" si="7"/>
        <v>0</v>
      </c>
      <c r="J82" s="67">
        <f t="shared" si="4"/>
        <v>0</v>
      </c>
    </row>
    <row r="83" spans="1:10" x14ac:dyDescent="0.25">
      <c r="A83" s="53">
        <f>'A) Base RI'!A85</f>
        <v>5527</v>
      </c>
      <c r="B83" s="116" t="str">
        <f>'A) Base RI'!B85</f>
        <v>Morrens</v>
      </c>
      <c r="C83" s="127">
        <f>'B) D RI'!U85</f>
        <v>37560.717323943667</v>
      </c>
      <c r="D83" s="168">
        <f>'E) Fact soc'!G89/C83</f>
        <v>15.637831794022096</v>
      </c>
      <c r="E83" s="159">
        <f>'H) Péréquation directe'!I94/C83</f>
        <v>9.9994667776800679</v>
      </c>
      <c r="F83" s="206">
        <f>+'I) Dépenses thématiques'!O83/C83</f>
        <v>-0.31677733732791519</v>
      </c>
      <c r="G83" s="168">
        <f t="shared" si="5"/>
        <v>25.320521234374247</v>
      </c>
      <c r="H83" s="206">
        <f t="shared" si="6"/>
        <v>25.637298571702164</v>
      </c>
      <c r="I83" s="211">
        <f t="shared" si="7"/>
        <v>0</v>
      </c>
      <c r="J83" s="67">
        <f t="shared" si="4"/>
        <v>0</v>
      </c>
    </row>
    <row r="84" spans="1:10" x14ac:dyDescent="0.25">
      <c r="A84" s="53">
        <f>'A) Base RI'!A86</f>
        <v>5529</v>
      </c>
      <c r="B84" s="116" t="str">
        <f>'A) Base RI'!B86</f>
        <v>Oulens-sous-Echallens</v>
      </c>
      <c r="C84" s="127">
        <f>'B) D RI'!U86</f>
        <v>19874.862394366199</v>
      </c>
      <c r="D84" s="168">
        <f>'E) Fact soc'!G90/C84</f>
        <v>16.530188460863499</v>
      </c>
      <c r="E84" s="159">
        <f>'H) Péréquation directe'!I95/C84</f>
        <v>10.897028895259801</v>
      </c>
      <c r="F84" s="206">
        <f>+'I) Dépenses thématiques'!O84/C84</f>
        <v>-6.2525867538921203</v>
      </c>
      <c r="G84" s="168">
        <f t="shared" si="5"/>
        <v>21.174630602231179</v>
      </c>
      <c r="H84" s="206">
        <f t="shared" si="6"/>
        <v>27.4272173561233</v>
      </c>
      <c r="I84" s="211">
        <f t="shared" si="7"/>
        <v>0</v>
      </c>
      <c r="J84" s="67">
        <f t="shared" si="4"/>
        <v>0</v>
      </c>
    </row>
    <row r="85" spans="1:10" x14ac:dyDescent="0.25">
      <c r="A85" s="53">
        <f>'A) Base RI'!A87</f>
        <v>5530</v>
      </c>
      <c r="B85" s="116" t="str">
        <f>'A) Base RI'!B87</f>
        <v>Pailly</v>
      </c>
      <c r="C85" s="127">
        <f>'B) D RI'!U87</f>
        <v>15272.027655913982</v>
      </c>
      <c r="D85" s="168">
        <f>'E) Fact soc'!G91/C85</f>
        <v>15.052450488376611</v>
      </c>
      <c r="E85" s="159">
        <f>'H) Péréquation directe'!I96/C85</f>
        <v>2.1058159190802126</v>
      </c>
      <c r="F85" s="206">
        <f>+'I) Dépenses thématiques'!O85/C85</f>
        <v>-23.412595496965604</v>
      </c>
      <c r="G85" s="168">
        <f t="shared" si="5"/>
        <v>-6.2543290895087829</v>
      </c>
      <c r="H85" s="206">
        <f t="shared" si="6"/>
        <v>17.158266407456821</v>
      </c>
      <c r="I85" s="211">
        <f t="shared" si="7"/>
        <v>0</v>
      </c>
      <c r="J85" s="67">
        <f t="shared" si="4"/>
        <v>0</v>
      </c>
    </row>
    <row r="86" spans="1:10" x14ac:dyDescent="0.25">
      <c r="A86" s="53">
        <f>'A) Base RI'!A88</f>
        <v>5531</v>
      </c>
      <c r="B86" s="116" t="str">
        <f>'A) Base RI'!B88</f>
        <v>Penthéréaz</v>
      </c>
      <c r="C86" s="127">
        <f>'B) D RI'!U88</f>
        <v>12101.700128205126</v>
      </c>
      <c r="D86" s="168">
        <f>'E) Fact soc'!G92/C86</f>
        <v>16.992630300206677</v>
      </c>
      <c r="E86" s="159">
        <f>'H) Péréquation directe'!I97/C86</f>
        <v>3.1125697409017805</v>
      </c>
      <c r="F86" s="206">
        <f>+'I) Dépenses thématiques'!O86/C86</f>
        <v>-5.9258950833449786</v>
      </c>
      <c r="G86" s="168">
        <f t="shared" si="5"/>
        <v>14.179304957763478</v>
      </c>
      <c r="H86" s="206">
        <f t="shared" si="6"/>
        <v>20.105200041108457</v>
      </c>
      <c r="I86" s="211">
        <f t="shared" si="7"/>
        <v>0</v>
      </c>
      <c r="J86" s="67">
        <f t="shared" si="4"/>
        <v>0</v>
      </c>
    </row>
    <row r="87" spans="1:10" x14ac:dyDescent="0.25">
      <c r="A87" s="53">
        <f>'A) Base RI'!A89</f>
        <v>5533</v>
      </c>
      <c r="B87" s="116" t="str">
        <f>'A) Base RI'!B89</f>
        <v>Poliez-Pittet</v>
      </c>
      <c r="C87" s="127">
        <f>'B) D RI'!U89</f>
        <v>27045.170985915491</v>
      </c>
      <c r="D87" s="168">
        <f>'E) Fact soc'!G93/C87</f>
        <v>15.57135786358389</v>
      </c>
      <c r="E87" s="159">
        <f>'H) Péréquation directe'!I98/C87</f>
        <v>7.9058032139341687</v>
      </c>
      <c r="F87" s="206">
        <f>+'I) Dépenses thématiques'!O87/C87</f>
        <v>-1.2887106652546774</v>
      </c>
      <c r="G87" s="168">
        <f t="shared" si="5"/>
        <v>22.188450412263382</v>
      </c>
      <c r="H87" s="206">
        <f t="shared" si="6"/>
        <v>23.477161077518058</v>
      </c>
      <c r="I87" s="211">
        <f t="shared" si="7"/>
        <v>0</v>
      </c>
      <c r="J87" s="67">
        <f t="shared" si="4"/>
        <v>0</v>
      </c>
    </row>
    <row r="88" spans="1:10" x14ac:dyDescent="0.25">
      <c r="A88" s="53">
        <f>'A) Base RI'!A90</f>
        <v>5534</v>
      </c>
      <c r="B88" s="116" t="str">
        <f>'A) Base RI'!B90</f>
        <v>Rueyres</v>
      </c>
      <c r="C88" s="127">
        <f>'B) D RI'!U90</f>
        <v>10934.157945205479</v>
      </c>
      <c r="D88" s="168">
        <f>'E) Fact soc'!G94/C88</f>
        <v>27.669580849563491</v>
      </c>
      <c r="E88" s="159">
        <f>'H) Péréquation directe'!I99/C88</f>
        <v>14.13746440243589</v>
      </c>
      <c r="F88" s="206">
        <f>+'I) Dépenses thématiques'!O88/C88</f>
        <v>-4.3793995572900268</v>
      </c>
      <c r="G88" s="168">
        <f t="shared" si="5"/>
        <v>37.427645694709355</v>
      </c>
      <c r="H88" s="206">
        <f t="shared" si="6"/>
        <v>41.807045251999384</v>
      </c>
      <c r="I88" s="211">
        <f t="shared" si="7"/>
        <v>0</v>
      </c>
      <c r="J88" s="67">
        <f t="shared" si="4"/>
        <v>0</v>
      </c>
    </row>
    <row r="89" spans="1:10" x14ac:dyDescent="0.25">
      <c r="A89" s="53">
        <f>'A) Base RI'!A91</f>
        <v>5535</v>
      </c>
      <c r="B89" s="116" t="str">
        <f>'A) Base RI'!B91</f>
        <v>Saint-Barthélemy</v>
      </c>
      <c r="C89" s="127">
        <f>'B) D RI'!U91</f>
        <v>20697.547200000001</v>
      </c>
      <c r="D89" s="168">
        <f>'E) Fact soc'!G95/C89</f>
        <v>15.684158007983074</v>
      </c>
      <c r="E89" s="159">
        <f>'H) Péréquation directe'!I100/C89</f>
        <v>0.12518167099359073</v>
      </c>
      <c r="F89" s="206">
        <f>+'I) Dépenses thématiques'!O89/C89</f>
        <v>0</v>
      </c>
      <c r="G89" s="168">
        <f t="shared" si="5"/>
        <v>15.809339678976665</v>
      </c>
      <c r="H89" s="206">
        <f t="shared" si="6"/>
        <v>15.809339678976665</v>
      </c>
      <c r="I89" s="211">
        <f t="shared" si="7"/>
        <v>0</v>
      </c>
      <c r="J89" s="67">
        <f t="shared" si="4"/>
        <v>0</v>
      </c>
    </row>
    <row r="90" spans="1:10" x14ac:dyDescent="0.25">
      <c r="A90" s="53">
        <f>'A) Base RI'!A92</f>
        <v>5537</v>
      </c>
      <c r="B90" s="116" t="str">
        <f>'A) Base RI'!B92</f>
        <v>Villars-le-Terroir</v>
      </c>
      <c r="C90" s="127">
        <f>'B) D RI'!U92</f>
        <v>30041.138287671231</v>
      </c>
      <c r="D90" s="168">
        <f>'E) Fact soc'!G96/C90</f>
        <v>16.60888979674824</v>
      </c>
      <c r="E90" s="159">
        <f>'H) Péréquation directe'!I101/C90</f>
        <v>2.4924867688274448</v>
      </c>
      <c r="F90" s="206">
        <f>+'I) Dépenses thématiques'!O90/C90</f>
        <v>-2.8340787085578882</v>
      </c>
      <c r="G90" s="168">
        <f t="shared" si="5"/>
        <v>16.267297857017795</v>
      </c>
      <c r="H90" s="206">
        <f t="shared" si="6"/>
        <v>19.101376565575684</v>
      </c>
      <c r="I90" s="211">
        <f t="shared" si="7"/>
        <v>0</v>
      </c>
      <c r="J90" s="67">
        <f t="shared" si="4"/>
        <v>0</v>
      </c>
    </row>
    <row r="91" spans="1:10" x14ac:dyDescent="0.25">
      <c r="A91" s="53">
        <f>'A) Base RI'!A93</f>
        <v>5539</v>
      </c>
      <c r="B91" s="116" t="str">
        <f>'A) Base RI'!B93</f>
        <v>Vuarrens</v>
      </c>
      <c r="C91" s="127">
        <f>'B) D RI'!U93</f>
        <v>22727.031566666661</v>
      </c>
      <c r="D91" s="168">
        <f>'E) Fact soc'!G97/C91</f>
        <v>16.831966398251108</v>
      </c>
      <c r="E91" s="159">
        <f>'H) Péréquation directe'!I102/C91</f>
        <v>-6.5794918685652188</v>
      </c>
      <c r="F91" s="206">
        <f>+'I) Dépenses thématiques'!O91/C91</f>
        <v>-13.205994387135368</v>
      </c>
      <c r="G91" s="168">
        <f t="shared" si="5"/>
        <v>-2.9535198574494785</v>
      </c>
      <c r="H91" s="206">
        <f t="shared" si="6"/>
        <v>10.252474529685889</v>
      </c>
      <c r="I91" s="211">
        <f t="shared" si="7"/>
        <v>0</v>
      </c>
      <c r="J91" s="67">
        <f t="shared" si="4"/>
        <v>0</v>
      </c>
    </row>
    <row r="92" spans="1:10" x14ac:dyDescent="0.25">
      <c r="A92" s="53">
        <f>'A) Base RI'!A94</f>
        <v>5540</v>
      </c>
      <c r="B92" s="116" t="str">
        <f>'A) Base RI'!B94</f>
        <v>Montilliez</v>
      </c>
      <c r="C92" s="127">
        <f>'B) D RI'!U94</f>
        <v>54875.674391891895</v>
      </c>
      <c r="D92" s="168">
        <f>'E) Fact soc'!G98/C92</f>
        <v>17.208159903447569</v>
      </c>
      <c r="E92" s="159">
        <f>'H) Péréquation directe'!I103/C92</f>
        <v>4.3980627704955113</v>
      </c>
      <c r="F92" s="206">
        <f>+'I) Dépenses thématiques'!O92/C92</f>
        <v>-3.4313525324100804</v>
      </c>
      <c r="G92" s="168">
        <f>SUM(D92:F92)</f>
        <v>18.174870141532999</v>
      </c>
      <c r="H92" s="206">
        <f>G92-F92</f>
        <v>21.60622267394308</v>
      </c>
      <c r="I92" s="211">
        <f t="shared" si="7"/>
        <v>0</v>
      </c>
      <c r="J92" s="67">
        <f>-I92*C92</f>
        <v>0</v>
      </c>
    </row>
    <row r="93" spans="1:10" x14ac:dyDescent="0.25">
      <c r="A93" s="53">
        <f>'A) Base RI'!A95</f>
        <v>5541</v>
      </c>
      <c r="B93" s="116" t="str">
        <f>'A) Base RI'!B95</f>
        <v>Goumoëns</v>
      </c>
      <c r="C93" s="127">
        <f>'B) D RI'!U95</f>
        <v>32498.070519480509</v>
      </c>
      <c r="D93" s="168">
        <f>'E) Fact soc'!G99/C93</f>
        <v>20.133669263892994</v>
      </c>
      <c r="E93" s="159">
        <f>'H) Péréquation directe'!I104/C93</f>
        <v>4.8884193984057287</v>
      </c>
      <c r="F93" s="206">
        <f>+'I) Dépenses thématiques'!O93/C93</f>
        <v>-2.1589566902315065</v>
      </c>
      <c r="G93" s="168">
        <f>SUM(D93:F93)</f>
        <v>22.863131972067215</v>
      </c>
      <c r="H93" s="206">
        <f>G93-F93</f>
        <v>25.022088662298721</v>
      </c>
      <c r="I93" s="211">
        <f t="shared" si="7"/>
        <v>0</v>
      </c>
      <c r="J93" s="67">
        <f>-I93*C93</f>
        <v>0</v>
      </c>
    </row>
    <row r="94" spans="1:10" x14ac:dyDescent="0.25">
      <c r="A94" s="53">
        <f>'A) Base RI'!A96</f>
        <v>5551</v>
      </c>
      <c r="B94" s="116" t="str">
        <f>'A) Base RI'!B96</f>
        <v>Bonvillars</v>
      </c>
      <c r="C94" s="127">
        <f>'B) D RI'!U96</f>
        <v>19291.965896103895</v>
      </c>
      <c r="D94" s="168">
        <f>'E) Fact soc'!G100/C94</f>
        <v>15.71146396197534</v>
      </c>
      <c r="E94" s="159">
        <f>'H) Péréquation directe'!I105/C94</f>
        <v>14.440883129144801</v>
      </c>
      <c r="F94" s="206">
        <f>+'I) Dépenses thématiques'!O94/C94</f>
        <v>-3.3966363515517624</v>
      </c>
      <c r="G94" s="168">
        <f t="shared" si="5"/>
        <v>26.755710739568379</v>
      </c>
      <c r="H94" s="206">
        <f t="shared" si="6"/>
        <v>30.152347091120141</v>
      </c>
      <c r="I94" s="211">
        <f t="shared" si="7"/>
        <v>0</v>
      </c>
      <c r="J94" s="67">
        <f t="shared" si="4"/>
        <v>0</v>
      </c>
    </row>
    <row r="95" spans="1:10" x14ac:dyDescent="0.25">
      <c r="A95" s="53">
        <f>'A) Base RI'!A97</f>
        <v>5552</v>
      </c>
      <c r="B95" s="116" t="str">
        <f>'A) Base RI'!B97</f>
        <v>Bullet</v>
      </c>
      <c r="C95" s="127">
        <f>'B) D RI'!U97</f>
        <v>15735.537571428569</v>
      </c>
      <c r="D95" s="168">
        <f>'E) Fact soc'!G101/C95</f>
        <v>20.550436597258241</v>
      </c>
      <c r="E95" s="159">
        <f>'H) Péréquation directe'!I106/C95</f>
        <v>-0.31628042416390456</v>
      </c>
      <c r="F95" s="206">
        <f>+'I) Dépenses thématiques'!O95/C95</f>
        <v>-11.672683348479715</v>
      </c>
      <c r="G95" s="168">
        <f t="shared" si="5"/>
        <v>8.5614728246146221</v>
      </c>
      <c r="H95" s="206">
        <f t="shared" si="6"/>
        <v>20.234156173094338</v>
      </c>
      <c r="I95" s="211">
        <f t="shared" si="7"/>
        <v>0</v>
      </c>
      <c r="J95" s="67">
        <f t="shared" si="4"/>
        <v>0</v>
      </c>
    </row>
    <row r="96" spans="1:10" x14ac:dyDescent="0.25">
      <c r="A96" s="53">
        <f>'A) Base RI'!A98</f>
        <v>5553</v>
      </c>
      <c r="B96" s="116" t="str">
        <f>'A) Base RI'!B98</f>
        <v>Champagne</v>
      </c>
      <c r="C96" s="127">
        <f>'B) D RI'!U98</f>
        <v>33369.783650793652</v>
      </c>
      <c r="D96" s="168">
        <f>'E) Fact soc'!G102/C96</f>
        <v>19.583850103568889</v>
      </c>
      <c r="E96" s="159">
        <f>'H) Péréquation directe'!I107/C96</f>
        <v>9.661319397548171</v>
      </c>
      <c r="F96" s="206">
        <f>+'I) Dépenses thématiques'!O96/C96</f>
        <v>-9.8766677698273124</v>
      </c>
      <c r="G96" s="168">
        <f t="shared" si="5"/>
        <v>19.368501731289747</v>
      </c>
      <c r="H96" s="206">
        <f t="shared" si="6"/>
        <v>29.245169501117061</v>
      </c>
      <c r="I96" s="211">
        <f t="shared" si="7"/>
        <v>0</v>
      </c>
      <c r="J96" s="67">
        <f t="shared" si="4"/>
        <v>0</v>
      </c>
    </row>
    <row r="97" spans="1:10" x14ac:dyDescent="0.25">
      <c r="A97" s="53">
        <f>'A) Base RI'!A99</f>
        <v>5554</v>
      </c>
      <c r="B97" s="116" t="str">
        <f>'A) Base RI'!B99</f>
        <v>Concise</v>
      </c>
      <c r="C97" s="127">
        <f>'B) D RI'!U99</f>
        <v>28986.7088</v>
      </c>
      <c r="D97" s="168">
        <f>'E) Fact soc'!G103/C97</f>
        <v>17.32011604600455</v>
      </c>
      <c r="E97" s="159">
        <f>'H) Péréquation directe'!I108/C97</f>
        <v>4.9446657256829054</v>
      </c>
      <c r="F97" s="206">
        <f>+'I) Dépenses thématiques'!O97/C97</f>
        <v>-3.4039567282113321</v>
      </c>
      <c r="G97" s="168">
        <f t="shared" si="5"/>
        <v>18.860825043476126</v>
      </c>
      <c r="H97" s="206">
        <f t="shared" si="6"/>
        <v>22.26478177168746</v>
      </c>
      <c r="I97" s="211">
        <f t="shared" si="7"/>
        <v>0</v>
      </c>
      <c r="J97" s="67">
        <f t="shared" si="4"/>
        <v>0</v>
      </c>
    </row>
    <row r="98" spans="1:10" x14ac:dyDescent="0.25">
      <c r="A98" s="53">
        <f>'A) Base RI'!A100</f>
        <v>5555</v>
      </c>
      <c r="B98" s="116" t="str">
        <f>'A) Base RI'!B100</f>
        <v>Corcelles-près-Concise</v>
      </c>
      <c r="C98" s="127">
        <f>'B) D RI'!U100</f>
        <v>11040.372394366199</v>
      </c>
      <c r="D98" s="168">
        <f>'E) Fact soc'!G104/C98</f>
        <v>18.410586630904142</v>
      </c>
      <c r="E98" s="159">
        <f>'H) Péréquation directe'!I109/C98</f>
        <v>4.8250129690866048</v>
      </c>
      <c r="F98" s="206">
        <f>+'I) Dépenses thématiques'!O98/C98</f>
        <v>-8.863453845448511</v>
      </c>
      <c r="G98" s="168">
        <f t="shared" si="5"/>
        <v>14.372145754542235</v>
      </c>
      <c r="H98" s="206">
        <f t="shared" si="6"/>
        <v>23.235599599990746</v>
      </c>
      <c r="I98" s="211">
        <f t="shared" si="7"/>
        <v>0</v>
      </c>
      <c r="J98" s="67">
        <f t="shared" si="4"/>
        <v>0</v>
      </c>
    </row>
    <row r="99" spans="1:10" x14ac:dyDescent="0.25">
      <c r="A99" s="53">
        <f>'A) Base RI'!A101</f>
        <v>5556</v>
      </c>
      <c r="B99" s="116" t="str">
        <f>'A) Base RI'!B101</f>
        <v>Fiez</v>
      </c>
      <c r="C99" s="127">
        <f>'B) D RI'!U101</f>
        <v>12472.754202898552</v>
      </c>
      <c r="D99" s="168">
        <f>'E) Fact soc'!G105/C99</f>
        <v>16.662865079342811</v>
      </c>
      <c r="E99" s="159">
        <f>'H) Péréquation directe'!I110/C99</f>
        <v>5.4879548705456562</v>
      </c>
      <c r="F99" s="206">
        <f>+'I) Dépenses thématiques'!O99/C99</f>
        <v>-2.9874982365471401</v>
      </c>
      <c r="G99" s="168">
        <f t="shared" si="5"/>
        <v>19.163321713341329</v>
      </c>
      <c r="H99" s="206">
        <f t="shared" si="6"/>
        <v>22.150819949888469</v>
      </c>
      <c r="I99" s="211">
        <f t="shared" si="7"/>
        <v>0</v>
      </c>
      <c r="J99" s="67">
        <f t="shared" si="4"/>
        <v>0</v>
      </c>
    </row>
    <row r="100" spans="1:10" x14ac:dyDescent="0.25">
      <c r="A100" s="53">
        <f>'A) Base RI'!A102</f>
        <v>5557</v>
      </c>
      <c r="B100" s="116" t="str">
        <f>'A) Base RI'!B102</f>
        <v>Fontaines-sur-Grandson</v>
      </c>
      <c r="C100" s="127">
        <f>'B) D RI'!U102</f>
        <v>4030.2872463768117</v>
      </c>
      <c r="D100" s="168">
        <f>'E) Fact soc'!G106/C100</f>
        <v>19.026121327841469</v>
      </c>
      <c r="E100" s="159">
        <f>'H) Péréquation directe'!I111/C100</f>
        <v>-8.9415767536619146</v>
      </c>
      <c r="F100" s="206">
        <f>+'I) Dépenses thématiques'!O100/C100</f>
        <v>-8.6234316134964928</v>
      </c>
      <c r="G100" s="168">
        <f t="shared" si="5"/>
        <v>1.461112960683062</v>
      </c>
      <c r="H100" s="206">
        <f t="shared" si="6"/>
        <v>10.084544574179555</v>
      </c>
      <c r="I100" s="211">
        <f t="shared" si="7"/>
        <v>0</v>
      </c>
      <c r="J100" s="67">
        <f t="shared" si="4"/>
        <v>0</v>
      </c>
    </row>
    <row r="101" spans="1:10" x14ac:dyDescent="0.25">
      <c r="A101" s="53">
        <f>'A) Base RI'!A103</f>
        <v>5559</v>
      </c>
      <c r="B101" s="116" t="str">
        <f>'A) Base RI'!B103</f>
        <v>Giez</v>
      </c>
      <c r="C101" s="127">
        <f>'B) D RI'!U103</f>
        <v>18149.138484848489</v>
      </c>
      <c r="D101" s="168">
        <f>'E) Fact soc'!G107/C101</f>
        <v>23.89900911915073</v>
      </c>
      <c r="E101" s="159">
        <f>'H) Péréquation directe'!I112/C101</f>
        <v>16.342848754569562</v>
      </c>
      <c r="F101" s="206">
        <f>+'I) Dépenses thématiques'!O101/C101</f>
        <v>0</v>
      </c>
      <c r="G101" s="168">
        <f t="shared" si="5"/>
        <v>40.241857873720292</v>
      </c>
      <c r="H101" s="206">
        <f t="shared" si="6"/>
        <v>40.241857873720292</v>
      </c>
      <c r="I101" s="211">
        <f t="shared" si="7"/>
        <v>0</v>
      </c>
      <c r="J101" s="67">
        <f t="shared" si="4"/>
        <v>0</v>
      </c>
    </row>
    <row r="102" spans="1:10" x14ac:dyDescent="0.25">
      <c r="A102" s="53">
        <f>'A) Base RI'!A104</f>
        <v>5560</v>
      </c>
      <c r="B102" s="116" t="str">
        <f>'A) Base RI'!B104</f>
        <v>Grandevent</v>
      </c>
      <c r="C102" s="127">
        <f>'B) D RI'!U104</f>
        <v>6446.6273529411765</v>
      </c>
      <c r="D102" s="168">
        <f>'E) Fact soc'!G108/C102</f>
        <v>15.585298533545657</v>
      </c>
      <c r="E102" s="159">
        <f>'H) Péréquation directe'!I113/C102</f>
        <v>4.1654754192709085</v>
      </c>
      <c r="F102" s="206">
        <f>+'I) Dépenses thématiques'!O102/C102</f>
        <v>-2.8020776826879703</v>
      </c>
      <c r="G102" s="168">
        <f t="shared" si="5"/>
        <v>16.948696270128597</v>
      </c>
      <c r="H102" s="206">
        <f t="shared" si="6"/>
        <v>19.750773952816566</v>
      </c>
      <c r="I102" s="211">
        <f t="shared" si="7"/>
        <v>0</v>
      </c>
      <c r="J102" s="67">
        <f t="shared" si="4"/>
        <v>0</v>
      </c>
    </row>
    <row r="103" spans="1:10" x14ac:dyDescent="0.25">
      <c r="A103" s="53">
        <f>'A) Base RI'!A105</f>
        <v>5561</v>
      </c>
      <c r="B103" s="116" t="str">
        <f>'A) Base RI'!B105</f>
        <v>Grandson</v>
      </c>
      <c r="C103" s="127">
        <f>'B) D RI'!U105</f>
        <v>115170.40130434782</v>
      </c>
      <c r="D103" s="168">
        <f>'E) Fact soc'!G109/C103</f>
        <v>18.494728338369868</v>
      </c>
      <c r="E103" s="159">
        <f>'H) Péréquation directe'!I114/C103</f>
        <v>5.2633199674497533</v>
      </c>
      <c r="F103" s="206">
        <f>+'I) Dépenses thématiques'!O103/C103</f>
        <v>-6.2952492013624974</v>
      </c>
      <c r="G103" s="168">
        <f t="shared" si="5"/>
        <v>17.462799104457122</v>
      </c>
      <c r="H103" s="206">
        <f t="shared" si="6"/>
        <v>23.758048305819621</v>
      </c>
      <c r="I103" s="211">
        <f t="shared" si="7"/>
        <v>0</v>
      </c>
      <c r="J103" s="67">
        <f t="shared" si="4"/>
        <v>0</v>
      </c>
    </row>
    <row r="104" spans="1:10" x14ac:dyDescent="0.25">
      <c r="A104" s="53">
        <f>'A) Base RI'!A106</f>
        <v>5562</v>
      </c>
      <c r="B104" s="116" t="str">
        <f>'A) Base RI'!B106</f>
        <v>Mauborget</v>
      </c>
      <c r="C104" s="127">
        <f>'B) D RI'!U106</f>
        <v>3662.5545714285713</v>
      </c>
      <c r="D104" s="168">
        <f>'E) Fact soc'!G110/C104</f>
        <v>16.855380642504635</v>
      </c>
      <c r="E104" s="159">
        <f>'H) Péréquation directe'!I115/C104</f>
        <v>5.8316907981224197</v>
      </c>
      <c r="F104" s="206">
        <f>+'I) Dépenses thématiques'!O104/C104</f>
        <v>-5.2629106877706731</v>
      </c>
      <c r="G104" s="168">
        <f t="shared" si="5"/>
        <v>17.42416075285638</v>
      </c>
      <c r="H104" s="206">
        <f t="shared" si="6"/>
        <v>22.687071440627054</v>
      </c>
      <c r="I104" s="211">
        <f t="shared" si="7"/>
        <v>0</v>
      </c>
      <c r="J104" s="67">
        <f t="shared" si="4"/>
        <v>0</v>
      </c>
    </row>
    <row r="105" spans="1:10" x14ac:dyDescent="0.25">
      <c r="A105" s="53">
        <f>'A) Base RI'!A107</f>
        <v>5563</v>
      </c>
      <c r="B105" s="116" t="str">
        <f>'A) Base RI'!B107</f>
        <v>Mutrux</v>
      </c>
      <c r="C105" s="127">
        <f>'B) D RI'!U107</f>
        <v>4275.1686624203812</v>
      </c>
      <c r="D105" s="168">
        <f>'E) Fact soc'!G111/C105</f>
        <v>17.802529744936479</v>
      </c>
      <c r="E105" s="159">
        <f>'H) Péréquation directe'!I116/C105</f>
        <v>-1.699597403072963</v>
      </c>
      <c r="F105" s="206">
        <f>+'I) Dépenses thématiques'!O105/C105</f>
        <v>-4.9121250405753791</v>
      </c>
      <c r="G105" s="168">
        <f t="shared" si="5"/>
        <v>11.190807301288135</v>
      </c>
      <c r="H105" s="206">
        <f t="shared" si="6"/>
        <v>16.102932341863514</v>
      </c>
      <c r="I105" s="211">
        <f t="shared" si="7"/>
        <v>0</v>
      </c>
      <c r="J105" s="67">
        <f t="shared" si="4"/>
        <v>0</v>
      </c>
    </row>
    <row r="106" spans="1:10" x14ac:dyDescent="0.25">
      <c r="A106" s="53">
        <f>'A) Base RI'!A108</f>
        <v>5564</v>
      </c>
      <c r="B106" s="116" t="str">
        <f>'A) Base RI'!B108</f>
        <v>Novalles</v>
      </c>
      <c r="C106" s="127">
        <f>'B) D RI'!U108</f>
        <v>2063.0078618421053</v>
      </c>
      <c r="D106" s="168">
        <f>'E) Fact soc'!G112/C106</f>
        <v>21.920892801765568</v>
      </c>
      <c r="E106" s="159">
        <f>'H) Péréquation directe'!I117/C106</f>
        <v>-13.01718240342683</v>
      </c>
      <c r="F106" s="206">
        <f>+'I) Dépenses thématiques'!O106/C106</f>
        <v>-4.5697425539459502</v>
      </c>
      <c r="G106" s="168">
        <f t="shared" si="5"/>
        <v>4.333967844392788</v>
      </c>
      <c r="H106" s="206">
        <f t="shared" si="6"/>
        <v>8.9037103983387382</v>
      </c>
      <c r="I106" s="211">
        <f t="shared" si="7"/>
        <v>0</v>
      </c>
      <c r="J106" s="67">
        <f t="shared" si="4"/>
        <v>0</v>
      </c>
    </row>
    <row r="107" spans="1:10" x14ac:dyDescent="0.25">
      <c r="A107" s="53">
        <f>'A) Base RI'!A109</f>
        <v>5565</v>
      </c>
      <c r="B107" s="116" t="str">
        <f>'A) Base RI'!B109</f>
        <v>Onnens</v>
      </c>
      <c r="C107" s="127">
        <f>'B) D RI'!U109</f>
        <v>17902.806410256413</v>
      </c>
      <c r="D107" s="168">
        <f>'E) Fact soc'!G113/C107</f>
        <v>15.65100987522864</v>
      </c>
      <c r="E107" s="159">
        <f>'H) Péréquation directe'!I118/C107</f>
        <v>11.896516886289277</v>
      </c>
      <c r="F107" s="206">
        <f>+'I) Dépenses thématiques'!O107/C107</f>
        <v>-3.2085219656853567</v>
      </c>
      <c r="G107" s="168">
        <f t="shared" si="5"/>
        <v>24.339004795832558</v>
      </c>
      <c r="H107" s="206">
        <f t="shared" si="6"/>
        <v>27.547526761517915</v>
      </c>
      <c r="I107" s="211">
        <f t="shared" si="7"/>
        <v>0</v>
      </c>
      <c r="J107" s="67">
        <f t="shared" si="4"/>
        <v>0</v>
      </c>
    </row>
    <row r="108" spans="1:10" x14ac:dyDescent="0.25">
      <c r="A108" s="53">
        <f>'A) Base RI'!A110</f>
        <v>5566</v>
      </c>
      <c r="B108" s="116" t="str">
        <f>'A) Base RI'!B110</f>
        <v>Provence</v>
      </c>
      <c r="C108" s="127">
        <f>'B) D RI'!U110</f>
        <v>8605.0976954732487</v>
      </c>
      <c r="D108" s="168">
        <f>'E) Fact soc'!G114/C108</f>
        <v>20.21426609267111</v>
      </c>
      <c r="E108" s="159">
        <f>'H) Péréquation directe'!I119/C108</f>
        <v>-12.090519259228563</v>
      </c>
      <c r="F108" s="206">
        <f>+'I) Dépenses thématiques'!O108/C108</f>
        <v>-14.480532146888081</v>
      </c>
      <c r="G108" s="168">
        <f t="shared" si="5"/>
        <v>-6.356785313445533</v>
      </c>
      <c r="H108" s="206">
        <f t="shared" si="6"/>
        <v>8.1237468334425476</v>
      </c>
      <c r="I108" s="211">
        <f t="shared" si="7"/>
        <v>0</v>
      </c>
      <c r="J108" s="67">
        <f t="shared" si="4"/>
        <v>0</v>
      </c>
    </row>
    <row r="109" spans="1:10" x14ac:dyDescent="0.25">
      <c r="A109" s="53">
        <f>'A) Base RI'!A111</f>
        <v>5568</v>
      </c>
      <c r="B109" s="116" t="str">
        <f>'A) Base RI'!B111</f>
        <v>Sainte-Croix</v>
      </c>
      <c r="C109" s="127">
        <f>'B) D RI'!U111</f>
        <v>96229.339714285714</v>
      </c>
      <c r="D109" s="168">
        <f>'E) Fact soc'!G115/C109</f>
        <v>23.790716830870963</v>
      </c>
      <c r="E109" s="159">
        <f>'H) Péréquation directe'!I120/C109</f>
        <v>-23.066890173908817</v>
      </c>
      <c r="F109" s="206">
        <f>+'I) Dépenses thématiques'!O109/C109</f>
        <v>-10.262698118792814</v>
      </c>
      <c r="G109" s="168">
        <f t="shared" si="5"/>
        <v>-9.5388714618306683</v>
      </c>
      <c r="H109" s="206">
        <f t="shared" si="6"/>
        <v>0.72382665696214588</v>
      </c>
      <c r="I109" s="211">
        <f t="shared" si="7"/>
        <v>0</v>
      </c>
      <c r="J109" s="67">
        <f t="shared" si="4"/>
        <v>0</v>
      </c>
    </row>
    <row r="110" spans="1:10" x14ac:dyDescent="0.25">
      <c r="A110" s="53">
        <f>'A) Base RI'!A112</f>
        <v>5571</v>
      </c>
      <c r="B110" s="116" t="str">
        <f>'A) Base RI'!B112</f>
        <v>Tévenon</v>
      </c>
      <c r="C110" s="127">
        <f>'B) D RI'!U112</f>
        <v>20963.465799086756</v>
      </c>
      <c r="D110" s="168">
        <f>'E) Fact soc'!G116/C110</f>
        <v>24.117177097472247</v>
      </c>
      <c r="E110" s="159">
        <f>'H) Péréquation directe'!I121/C110</f>
        <v>0.70160014625438849</v>
      </c>
      <c r="F110" s="206">
        <f>+'I) Dépenses thématiques'!O110/C110</f>
        <v>-6.0525687239113495</v>
      </c>
      <c r="G110" s="168">
        <f t="shared" si="5"/>
        <v>18.766208519815287</v>
      </c>
      <c r="H110" s="206">
        <f t="shared" si="6"/>
        <v>24.818777243726636</v>
      </c>
      <c r="I110" s="211">
        <f t="shared" si="7"/>
        <v>0</v>
      </c>
      <c r="J110" s="67">
        <f t="shared" si="4"/>
        <v>0</v>
      </c>
    </row>
    <row r="111" spans="1:10" x14ac:dyDescent="0.25">
      <c r="A111" s="53">
        <f>'A) Base RI'!A113</f>
        <v>5581</v>
      </c>
      <c r="B111" s="116" t="str">
        <f>'A) Base RI'!B113</f>
        <v>Belmont-sur-Lausanne</v>
      </c>
      <c r="C111" s="127">
        <f>'B) D RI'!U113</f>
        <v>187042.91923261393</v>
      </c>
      <c r="D111" s="168">
        <f>'E) Fact soc'!G117/C111</f>
        <v>16.392777397513424</v>
      </c>
      <c r="E111" s="159">
        <f>'H) Péréquation directe'!I122/C111</f>
        <v>12.85593384759369</v>
      </c>
      <c r="F111" s="206">
        <f>+'I) Dépenses thématiques'!O111/C111</f>
        <v>-3.1124334402118881</v>
      </c>
      <c r="G111" s="168">
        <f t="shared" si="5"/>
        <v>26.136277804895226</v>
      </c>
      <c r="H111" s="206">
        <f t="shared" si="6"/>
        <v>29.248711245107113</v>
      </c>
      <c r="I111" s="211">
        <f t="shared" si="7"/>
        <v>0</v>
      </c>
      <c r="J111" s="67">
        <f t="shared" si="4"/>
        <v>0</v>
      </c>
    </row>
    <row r="112" spans="1:10" x14ac:dyDescent="0.25">
      <c r="A112" s="53">
        <f>'A) Base RI'!A114</f>
        <v>5582</v>
      </c>
      <c r="B112" s="116" t="str">
        <f>'A) Base RI'!B114</f>
        <v>Cheseaux-sur-Lausanne</v>
      </c>
      <c r="C112" s="127">
        <f>'B) D RI'!U114</f>
        <v>203617.184295302</v>
      </c>
      <c r="D112" s="168">
        <f>'E) Fact soc'!G118/C112</f>
        <v>16.876999991161579</v>
      </c>
      <c r="E112" s="159">
        <f>'H) Péréquation directe'!I123/C112</f>
        <v>11.424531938419555</v>
      </c>
      <c r="F112" s="206">
        <f>+'I) Dépenses thématiques'!O112/C112</f>
        <v>-0.28855462315257235</v>
      </c>
      <c r="G112" s="168">
        <f t="shared" si="5"/>
        <v>28.012977306428564</v>
      </c>
      <c r="H112" s="206">
        <f t="shared" si="6"/>
        <v>28.301531929581135</v>
      </c>
      <c r="I112" s="211">
        <f t="shared" si="7"/>
        <v>0</v>
      </c>
      <c r="J112" s="67">
        <f t="shared" si="4"/>
        <v>0</v>
      </c>
    </row>
    <row r="113" spans="1:10" x14ac:dyDescent="0.25">
      <c r="A113" s="53">
        <f>'A) Base RI'!A115</f>
        <v>5583</v>
      </c>
      <c r="B113" s="116" t="str">
        <f>'A) Base RI'!B115</f>
        <v>Crissier</v>
      </c>
      <c r="C113" s="127">
        <f>'B) D RI'!U115</f>
        <v>311741.22092307697</v>
      </c>
      <c r="D113" s="168">
        <f>'E) Fact soc'!G119/C113</f>
        <v>17.361844045310118</v>
      </c>
      <c r="E113" s="159">
        <f>'H) Péréquation directe'!I124/C113</f>
        <v>6.512124387589286</v>
      </c>
      <c r="F113" s="206">
        <f>+'I) Dépenses thématiques'!O113/C113</f>
        <v>-6.7357044692521439</v>
      </c>
      <c r="G113" s="168">
        <f t="shared" si="5"/>
        <v>17.138263963647258</v>
      </c>
      <c r="H113" s="206">
        <f t="shared" si="6"/>
        <v>23.873968432899403</v>
      </c>
      <c r="I113" s="211">
        <f t="shared" si="7"/>
        <v>0</v>
      </c>
      <c r="J113" s="67">
        <f t="shared" si="4"/>
        <v>0</v>
      </c>
    </row>
    <row r="114" spans="1:10" x14ac:dyDescent="0.25">
      <c r="A114" s="53">
        <f>'A) Base RI'!A116</f>
        <v>5584</v>
      </c>
      <c r="B114" s="116" t="str">
        <f>'A) Base RI'!B116</f>
        <v>Epalinges</v>
      </c>
      <c r="C114" s="127">
        <f>'B) D RI'!U116</f>
        <v>455692.51</v>
      </c>
      <c r="D114" s="168">
        <f>'E) Fact soc'!G120/C114</f>
        <v>19.631015551664532</v>
      </c>
      <c r="E114" s="159">
        <f>'H) Péréquation directe'!I125/C114</f>
        <v>8.9261094247949728</v>
      </c>
      <c r="F114" s="206">
        <f>+'I) Dépenses thématiques'!O114/C114</f>
        <v>-6.364997032302222</v>
      </c>
      <c r="G114" s="168">
        <f t="shared" si="5"/>
        <v>22.192127944157285</v>
      </c>
      <c r="H114" s="206">
        <f t="shared" si="6"/>
        <v>28.557124976459505</v>
      </c>
      <c r="I114" s="211">
        <f t="shared" si="7"/>
        <v>0</v>
      </c>
      <c r="J114" s="67">
        <f t="shared" si="4"/>
        <v>0</v>
      </c>
    </row>
    <row r="115" spans="1:10" x14ac:dyDescent="0.25">
      <c r="A115" s="53">
        <f>'A) Base RI'!A117</f>
        <v>5585</v>
      </c>
      <c r="B115" s="116" t="str">
        <f>'A) Base RI'!B117</f>
        <v>Jouxtens-Mézery</v>
      </c>
      <c r="C115" s="127">
        <f>'B) D RI'!U117</f>
        <v>201546.16339622639</v>
      </c>
      <c r="D115" s="168">
        <f>'E) Fact soc'!G121/C115</f>
        <v>29.109176698449172</v>
      </c>
      <c r="E115" s="159">
        <f>'H) Péréquation directe'!I126/C115</f>
        <v>11.78349175483495</v>
      </c>
      <c r="F115" s="206">
        <f>+'I) Dépenses thématiques'!O115/C115</f>
        <v>0</v>
      </c>
      <c r="G115" s="168">
        <f t="shared" si="5"/>
        <v>40.892668453284124</v>
      </c>
      <c r="H115" s="206">
        <f t="shared" si="6"/>
        <v>40.892668453284124</v>
      </c>
      <c r="I115" s="211">
        <f t="shared" si="7"/>
        <v>0</v>
      </c>
      <c r="J115" s="67">
        <f t="shared" si="4"/>
        <v>0</v>
      </c>
    </row>
    <row r="116" spans="1:10" x14ac:dyDescent="0.25">
      <c r="A116" s="53">
        <f>'A) Base RI'!A118</f>
        <v>5586</v>
      </c>
      <c r="B116" s="116" t="str">
        <f>'A) Base RI'!B118</f>
        <v>Lausanne</v>
      </c>
      <c r="C116" s="127">
        <f>'B) D RI'!U118</f>
        <v>6075429.3645991571</v>
      </c>
      <c r="D116" s="168">
        <f>'E) Fact soc'!G122/C116</f>
        <v>17.247354247894027</v>
      </c>
      <c r="E116" s="159">
        <f>'H) Péréquation directe'!I127/C116</f>
        <v>-3.8199844016224702</v>
      </c>
      <c r="F116" s="206">
        <f>+'I) Dépenses thématiques'!O116/C116</f>
        <v>-7.2067817921026966</v>
      </c>
      <c r="G116" s="168">
        <f t="shared" si="5"/>
        <v>6.2205880541688598</v>
      </c>
      <c r="H116" s="206">
        <f t="shared" si="6"/>
        <v>13.427369846271556</v>
      </c>
      <c r="I116" s="211">
        <f t="shared" si="7"/>
        <v>0</v>
      </c>
      <c r="J116" s="67">
        <f t="shared" ref="J116:J169" si="8">-I116*C116</f>
        <v>0</v>
      </c>
    </row>
    <row r="117" spans="1:10" x14ac:dyDescent="0.25">
      <c r="A117" s="53">
        <f>'A) Base RI'!A119</f>
        <v>5587</v>
      </c>
      <c r="B117" s="116" t="str">
        <f>'A) Base RI'!B119</f>
        <v>Le Mont-sur-Lausanne</v>
      </c>
      <c r="C117" s="127">
        <f>'B) D RI'!U119</f>
        <v>413343.80273333337</v>
      </c>
      <c r="D117" s="168">
        <f>'E) Fact soc'!G123/C117</f>
        <v>17.325805324596793</v>
      </c>
      <c r="E117" s="159">
        <f>'H) Péréquation directe'!I128/C117</f>
        <v>10.142743028546443</v>
      </c>
      <c r="F117" s="206">
        <f>+'I) Dépenses thématiques'!O117/C117</f>
        <v>-5.0866916536161328</v>
      </c>
      <c r="G117" s="168">
        <f t="shared" ref="G117:G170" si="9">SUM(D117:F117)</f>
        <v>22.381856699527102</v>
      </c>
      <c r="H117" s="206">
        <f t="shared" ref="H117:H170" si="10">G117-F117</f>
        <v>27.468548353143234</v>
      </c>
      <c r="I117" s="211">
        <f t="shared" ref="I117:I170" si="11">IF(H117&lt;I$4,H117-I$4,0)</f>
        <v>0</v>
      </c>
      <c r="J117" s="67">
        <f t="shared" si="8"/>
        <v>0</v>
      </c>
    </row>
    <row r="118" spans="1:10" x14ac:dyDescent="0.25">
      <c r="A118" s="53">
        <f>'A) Base RI'!A120</f>
        <v>5588</v>
      </c>
      <c r="B118" s="116" t="str">
        <f>'A) Base RI'!B120</f>
        <v>Paudex</v>
      </c>
      <c r="C118" s="127">
        <f>'B) D RI'!U120</f>
        <v>160000.57716608592</v>
      </c>
      <c r="D118" s="168">
        <f>'E) Fact soc'!G124/C118</f>
        <v>26.884257603079455</v>
      </c>
      <c r="E118" s="159">
        <f>'H) Péréquation directe'!I129/C118</f>
        <v>12.774866461339483</v>
      </c>
      <c r="F118" s="206">
        <f>+'I) Dépenses thématiques'!O118/C118</f>
        <v>0</v>
      </c>
      <c r="G118" s="168">
        <f t="shared" si="9"/>
        <v>39.65912406441894</v>
      </c>
      <c r="H118" s="206">
        <f t="shared" si="10"/>
        <v>39.65912406441894</v>
      </c>
      <c r="I118" s="211">
        <f t="shared" si="11"/>
        <v>0</v>
      </c>
      <c r="J118" s="67">
        <f t="shared" si="8"/>
        <v>0</v>
      </c>
    </row>
    <row r="119" spans="1:10" x14ac:dyDescent="0.25">
      <c r="A119" s="53">
        <f>'A) Base RI'!A121</f>
        <v>5589</v>
      </c>
      <c r="B119" s="116" t="str">
        <f>'A) Base RI'!B121</f>
        <v>Prilly</v>
      </c>
      <c r="C119" s="127">
        <f>'B) D RI'!U121</f>
        <v>437574.2323809524</v>
      </c>
      <c r="D119" s="168">
        <f>'E) Fact soc'!G125/C119</f>
        <v>18.293007241550658</v>
      </c>
      <c r="E119" s="159">
        <f>'H) Péréquation directe'!I130/C119</f>
        <v>-0.63972461608517517</v>
      </c>
      <c r="F119" s="206">
        <f>+'I) Dépenses thématiques'!O119/C119</f>
        <v>-4.0362501184242463</v>
      </c>
      <c r="G119" s="168">
        <f t="shared" si="9"/>
        <v>13.617032507041237</v>
      </c>
      <c r="H119" s="206">
        <f t="shared" si="10"/>
        <v>17.653282625465483</v>
      </c>
      <c r="I119" s="211">
        <f t="shared" si="11"/>
        <v>0</v>
      </c>
      <c r="J119" s="67">
        <f t="shared" si="8"/>
        <v>0</v>
      </c>
    </row>
    <row r="120" spans="1:10" x14ac:dyDescent="0.25">
      <c r="A120" s="53">
        <f>'A) Base RI'!A122</f>
        <v>5590</v>
      </c>
      <c r="B120" s="116" t="str">
        <f>'A) Base RI'!B122</f>
        <v>Pully</v>
      </c>
      <c r="C120" s="127">
        <f>'B) D RI'!U122</f>
        <v>1422298.2200936768</v>
      </c>
      <c r="D120" s="168">
        <f>'E) Fact soc'!G126/C120</f>
        <v>22.822273036657474</v>
      </c>
      <c r="E120" s="159">
        <f>'H) Péréquation directe'!I131/C120</f>
        <v>7.4770858071191633</v>
      </c>
      <c r="F120" s="206">
        <f>+'I) Dépenses thématiques'!O120/C120</f>
        <v>-1.2322095259782253</v>
      </c>
      <c r="G120" s="168">
        <f t="shared" si="9"/>
        <v>29.067149317798414</v>
      </c>
      <c r="H120" s="206">
        <f t="shared" si="10"/>
        <v>30.299358843776638</v>
      </c>
      <c r="I120" s="211">
        <f t="shared" si="11"/>
        <v>0</v>
      </c>
      <c r="J120" s="67">
        <f t="shared" si="8"/>
        <v>0</v>
      </c>
    </row>
    <row r="121" spans="1:10" x14ac:dyDescent="0.25">
      <c r="A121" s="53">
        <f>'A) Base RI'!A123</f>
        <v>5591</v>
      </c>
      <c r="B121" s="116" t="str">
        <f>'A) Base RI'!B123</f>
        <v>Renens</v>
      </c>
      <c r="C121" s="127">
        <f>'B) D RI'!U123</f>
        <v>529647.11015468603</v>
      </c>
      <c r="D121" s="168">
        <f>'E) Fact soc'!G127/C121</f>
        <v>17.856027800946656</v>
      </c>
      <c r="E121" s="159">
        <f>'H) Péréquation directe'!I132/C121</f>
        <v>-27.035461199775902</v>
      </c>
      <c r="F121" s="206">
        <f>+'I) Dépenses thématiques'!O121/C121</f>
        <v>-9.9645075163131089</v>
      </c>
      <c r="G121" s="168">
        <f t="shared" si="9"/>
        <v>-19.143940915142355</v>
      </c>
      <c r="H121" s="206">
        <f t="shared" si="10"/>
        <v>-9.1794333988292465</v>
      </c>
      <c r="I121" s="211">
        <f t="shared" si="11"/>
        <v>-3.6794333988292465</v>
      </c>
      <c r="J121" s="67">
        <f t="shared" si="8"/>
        <v>1948801.2666965448</v>
      </c>
    </row>
    <row r="122" spans="1:10" x14ac:dyDescent="0.25">
      <c r="A122" s="53">
        <f>'A) Base RI'!A124</f>
        <v>5592</v>
      </c>
      <c r="B122" s="116" t="str">
        <f>'A) Base RI'!B124</f>
        <v>Romanel-sur-Lausanne</v>
      </c>
      <c r="C122" s="127">
        <f>'B) D RI'!U124</f>
        <v>116555.94314285714</v>
      </c>
      <c r="D122" s="168">
        <f>'E) Fact soc'!G128/C122</f>
        <v>16.349372366694904</v>
      </c>
      <c r="E122" s="159">
        <f>'H) Péréquation directe'!I133/C122</f>
        <v>5.0529310125954758</v>
      </c>
      <c r="F122" s="206">
        <f>+'I) Dépenses thématiques'!O122/C122</f>
        <v>-1.6132019382738989</v>
      </c>
      <c r="G122" s="168">
        <f t="shared" si="9"/>
        <v>19.789101441016481</v>
      </c>
      <c r="H122" s="206">
        <f t="shared" si="10"/>
        <v>21.40230337929038</v>
      </c>
      <c r="I122" s="211">
        <f t="shared" si="11"/>
        <v>0</v>
      </c>
      <c r="J122" s="67">
        <f t="shared" si="8"/>
        <v>0</v>
      </c>
    </row>
    <row r="123" spans="1:10" x14ac:dyDescent="0.25">
      <c r="A123" s="53">
        <f>'A) Base RI'!A125</f>
        <v>5601</v>
      </c>
      <c r="B123" s="116" t="str">
        <f>'A) Base RI'!B125</f>
        <v>Chexbres</v>
      </c>
      <c r="C123" s="127">
        <f>'B) D RI'!U125</f>
        <v>99746.160000000018</v>
      </c>
      <c r="D123" s="168">
        <f>'E) Fact soc'!G129/C123</f>
        <v>17.447339347319502</v>
      </c>
      <c r="E123" s="159">
        <f>'H) Péréquation directe'!I134/C123</f>
        <v>13.298337348673837</v>
      </c>
      <c r="F123" s="206">
        <f>+'I) Dépenses thématiques'!O123/C123</f>
        <v>-1.9986661102451662</v>
      </c>
      <c r="G123" s="168">
        <f t="shared" si="9"/>
        <v>28.747010585748171</v>
      </c>
      <c r="H123" s="206">
        <f t="shared" si="10"/>
        <v>30.745676695993339</v>
      </c>
      <c r="I123" s="211">
        <f t="shared" si="11"/>
        <v>0</v>
      </c>
      <c r="J123" s="67">
        <f t="shared" si="8"/>
        <v>0</v>
      </c>
    </row>
    <row r="124" spans="1:10" x14ac:dyDescent="0.25">
      <c r="A124" s="53">
        <f>'A) Base RI'!A126</f>
        <v>5604</v>
      </c>
      <c r="B124" s="116" t="str">
        <f>'A) Base RI'!B126</f>
        <v>Forel (Lavaux)</v>
      </c>
      <c r="C124" s="127">
        <f>'B) D RI'!U126</f>
        <v>71240.347352941171</v>
      </c>
      <c r="D124" s="168">
        <f>'E) Fact soc'!G130/C124</f>
        <v>16.774540590152171</v>
      </c>
      <c r="E124" s="159">
        <f>'H) Péréquation directe'!I135/C124</f>
        <v>6.8600797756298713</v>
      </c>
      <c r="F124" s="206">
        <f>+'I) Dépenses thématiques'!O124/C124</f>
        <v>-3.5830120221081039</v>
      </c>
      <c r="G124" s="168">
        <f t="shared" si="9"/>
        <v>20.051608343673937</v>
      </c>
      <c r="H124" s="206">
        <f t="shared" si="10"/>
        <v>23.634620365782041</v>
      </c>
      <c r="I124" s="211">
        <f t="shared" si="11"/>
        <v>0</v>
      </c>
      <c r="J124" s="67">
        <f t="shared" si="8"/>
        <v>0</v>
      </c>
    </row>
    <row r="125" spans="1:10" x14ac:dyDescent="0.25">
      <c r="A125" s="53">
        <f>'A) Base RI'!A127</f>
        <v>5606</v>
      </c>
      <c r="B125" s="116" t="str">
        <f>'A) Base RI'!B127</f>
        <v>Lutry</v>
      </c>
      <c r="C125" s="127">
        <f>'B) D RI'!U127</f>
        <v>770648.37755469768</v>
      </c>
      <c r="D125" s="168">
        <f>'E) Fact soc'!G131/C125</f>
        <v>23.490327576588943</v>
      </c>
      <c r="E125" s="159">
        <f>'H) Péréquation directe'!I136/C125</f>
        <v>10.160945147456792</v>
      </c>
      <c r="F125" s="206">
        <f>+'I) Dépenses thématiques'!O125/C125</f>
        <v>-2.8285391272733134</v>
      </c>
      <c r="G125" s="168">
        <f t="shared" si="9"/>
        <v>30.822733596772419</v>
      </c>
      <c r="H125" s="206">
        <f t="shared" si="10"/>
        <v>33.651272724045732</v>
      </c>
      <c r="I125" s="211">
        <f t="shared" si="11"/>
        <v>0</v>
      </c>
      <c r="J125" s="67">
        <f t="shared" si="8"/>
        <v>0</v>
      </c>
    </row>
    <row r="126" spans="1:10" x14ac:dyDescent="0.25">
      <c r="A126" s="53">
        <f>'A) Base RI'!A128</f>
        <v>5607</v>
      </c>
      <c r="B126" s="116" t="str">
        <f>'A) Base RI'!B128</f>
        <v>Puidoux</v>
      </c>
      <c r="C126" s="127">
        <f>'B) D RI'!U128</f>
        <v>97147.534937888209</v>
      </c>
      <c r="D126" s="168">
        <f>'E) Fact soc'!G132/C126</f>
        <v>19.087110077717018</v>
      </c>
      <c r="E126" s="159">
        <f>'H) Péréquation directe'!I137/C126</f>
        <v>4.9247661226033026</v>
      </c>
      <c r="F126" s="206">
        <f>+'I) Dépenses thématiques'!O126/C126</f>
        <v>-8.2326277048289533</v>
      </c>
      <c r="G126" s="168">
        <f t="shared" si="9"/>
        <v>15.779248495491366</v>
      </c>
      <c r="H126" s="206">
        <f t="shared" si="10"/>
        <v>24.011876200320319</v>
      </c>
      <c r="I126" s="211">
        <f t="shared" si="11"/>
        <v>0</v>
      </c>
      <c r="J126" s="67">
        <f t="shared" si="8"/>
        <v>0</v>
      </c>
    </row>
    <row r="127" spans="1:10" x14ac:dyDescent="0.25">
      <c r="A127" s="53">
        <f>'A) Base RI'!A129</f>
        <v>5609</v>
      </c>
      <c r="B127" s="116" t="str">
        <f>'A) Base RI'!B129</f>
        <v>Rivaz</v>
      </c>
      <c r="C127" s="127">
        <f>'B) D RI'!U129</f>
        <v>16888.91165354331</v>
      </c>
      <c r="D127" s="168">
        <f>'E) Fact soc'!G133/C127</f>
        <v>25.778550322661264</v>
      </c>
      <c r="E127" s="159">
        <f>'H) Péréquation directe'!I138/C127</f>
        <v>16.475185874721969</v>
      </c>
      <c r="F127" s="206">
        <f>+'I) Dépenses thématiques'!O127/C127</f>
        <v>-4.1293367230021572</v>
      </c>
      <c r="G127" s="168">
        <f t="shared" si="9"/>
        <v>38.124399474381079</v>
      </c>
      <c r="H127" s="206">
        <f t="shared" si="10"/>
        <v>42.253736197383233</v>
      </c>
      <c r="I127" s="211">
        <f t="shared" si="11"/>
        <v>0</v>
      </c>
      <c r="J127" s="67">
        <f t="shared" si="8"/>
        <v>0</v>
      </c>
    </row>
    <row r="128" spans="1:10" x14ac:dyDescent="0.25">
      <c r="A128" s="53">
        <f>'A) Base RI'!A130</f>
        <v>5610</v>
      </c>
      <c r="B128" s="116" t="str">
        <f>'A) Base RI'!B130</f>
        <v>St-Saphorin (Lavaux)</v>
      </c>
      <c r="C128" s="127">
        <f>'B) D RI'!U130</f>
        <v>20007.714179104478</v>
      </c>
      <c r="D128" s="168">
        <f>'E) Fact soc'!G134/C128</f>
        <v>18.297898219991875</v>
      </c>
      <c r="E128" s="159">
        <f>'H) Péréquation directe'!I139/C128</f>
        <v>16.598011429075516</v>
      </c>
      <c r="F128" s="206">
        <f>+'I) Dépenses thématiques'!O128/C128</f>
        <v>-3.9446148344026106</v>
      </c>
      <c r="G128" s="168">
        <f t="shared" si="9"/>
        <v>30.951294814664781</v>
      </c>
      <c r="H128" s="206">
        <f t="shared" si="10"/>
        <v>34.895909649067391</v>
      </c>
      <c r="I128" s="211">
        <f t="shared" si="11"/>
        <v>0</v>
      </c>
      <c r="J128" s="67">
        <f t="shared" si="8"/>
        <v>0</v>
      </c>
    </row>
    <row r="129" spans="1:10" x14ac:dyDescent="0.25">
      <c r="A129" s="53">
        <f>'A) Base RI'!A131</f>
        <v>5611</v>
      </c>
      <c r="B129" s="116" t="str">
        <f>'A) Base RI'!B131</f>
        <v>Savigny</v>
      </c>
      <c r="C129" s="127">
        <f>'B) D RI'!U131</f>
        <v>115537.42516908211</v>
      </c>
      <c r="D129" s="168">
        <f>'E) Fact soc'!G135/C129</f>
        <v>17.224446366534437</v>
      </c>
      <c r="E129" s="159">
        <f>'H) Péréquation directe'!I140/C129</f>
        <v>5.7925575213970069</v>
      </c>
      <c r="F129" s="206">
        <f>+'I) Dépenses thématiques'!O129/C129</f>
        <v>-3.801742197426758</v>
      </c>
      <c r="G129" s="168">
        <f t="shared" si="9"/>
        <v>19.215261690504686</v>
      </c>
      <c r="H129" s="206">
        <f t="shared" si="10"/>
        <v>23.017003887931445</v>
      </c>
      <c r="I129" s="211">
        <f t="shared" si="11"/>
        <v>0</v>
      </c>
      <c r="J129" s="67">
        <f t="shared" si="8"/>
        <v>0</v>
      </c>
    </row>
    <row r="130" spans="1:10" x14ac:dyDescent="0.25">
      <c r="A130" s="53">
        <f>'A) Base RI'!A132</f>
        <v>5613</v>
      </c>
      <c r="B130" s="116" t="str">
        <f>'A) Base RI'!B132</f>
        <v>Bourg-en-Lavaux</v>
      </c>
      <c r="C130" s="127">
        <f>'B) D RI'!U132</f>
        <v>301872.13311475411</v>
      </c>
      <c r="D130" s="168">
        <f>'E) Fact soc'!G136/C130</f>
        <v>18.013113696777886</v>
      </c>
      <c r="E130" s="159">
        <f>'H) Péréquation directe'!I141/C130</f>
        <v>11.993530231220227</v>
      </c>
      <c r="F130" s="206">
        <f>+'I) Dépenses thématiques'!O130/C130</f>
        <v>-0.88163958496190598</v>
      </c>
      <c r="G130" s="168">
        <f t="shared" si="9"/>
        <v>29.125004343036206</v>
      </c>
      <c r="H130" s="206">
        <f t="shared" si="10"/>
        <v>30.006643927998113</v>
      </c>
      <c r="I130" s="211">
        <f t="shared" si="11"/>
        <v>0</v>
      </c>
      <c r="J130" s="67">
        <f t="shared" si="8"/>
        <v>0</v>
      </c>
    </row>
    <row r="131" spans="1:10" x14ac:dyDescent="0.25">
      <c r="A131" s="53">
        <f>'A) Base RI'!A133</f>
        <v>5621</v>
      </c>
      <c r="B131" s="116" t="str">
        <f>'A) Base RI'!B133</f>
        <v>Aclens</v>
      </c>
      <c r="C131" s="127">
        <f>'B) D RI'!U133</f>
        <v>26820.105850439882</v>
      </c>
      <c r="D131" s="168">
        <f>'E) Fact soc'!G137/C131</f>
        <v>17.846708176038511</v>
      </c>
      <c r="E131" s="159">
        <f>'H) Péréquation directe'!I142/C131</f>
        <v>16.644014480437807</v>
      </c>
      <c r="F131" s="206">
        <f>+'I) Dépenses thématiques'!O131/C131</f>
        <v>-1.1392534645576833</v>
      </c>
      <c r="G131" s="168">
        <f t="shared" si="9"/>
        <v>33.351469191918639</v>
      </c>
      <c r="H131" s="206">
        <f t="shared" si="10"/>
        <v>34.490722656476322</v>
      </c>
      <c r="I131" s="211">
        <f t="shared" si="11"/>
        <v>0</v>
      </c>
      <c r="J131" s="67">
        <f t="shared" si="8"/>
        <v>0</v>
      </c>
    </row>
    <row r="132" spans="1:10" x14ac:dyDescent="0.25">
      <c r="A132" s="53">
        <f>'A) Base RI'!A134</f>
        <v>5622</v>
      </c>
      <c r="B132" s="116" t="str">
        <f>'A) Base RI'!B134</f>
        <v>Bremblens</v>
      </c>
      <c r="C132" s="127">
        <f>'B) D RI'!U134</f>
        <v>32681.756515151512</v>
      </c>
      <c r="D132" s="168">
        <f>'E) Fact soc'!G138/C132</f>
        <v>21.443229360827857</v>
      </c>
      <c r="E132" s="159">
        <f>'H) Péréquation directe'!I143/C132</f>
        <v>16.237991271726674</v>
      </c>
      <c r="F132" s="206">
        <f>+'I) Dépenses thématiques'!O132/C132</f>
        <v>0</v>
      </c>
      <c r="G132" s="168">
        <f t="shared" si="9"/>
        <v>37.681220632554528</v>
      </c>
      <c r="H132" s="206">
        <f t="shared" si="10"/>
        <v>37.681220632554528</v>
      </c>
      <c r="I132" s="211">
        <f t="shared" si="11"/>
        <v>0</v>
      </c>
      <c r="J132" s="67">
        <f t="shared" si="8"/>
        <v>0</v>
      </c>
    </row>
    <row r="133" spans="1:10" x14ac:dyDescent="0.25">
      <c r="A133" s="53">
        <f>'A) Base RI'!A135</f>
        <v>5623</v>
      </c>
      <c r="B133" s="116" t="str">
        <f>'A) Base RI'!B135</f>
        <v>Buchillon</v>
      </c>
      <c r="C133" s="127">
        <f>'B) D RI'!U135</f>
        <v>82402.410188679249</v>
      </c>
      <c r="D133" s="168">
        <f>'E) Fact soc'!G139/C133</f>
        <v>37.52325588751247</v>
      </c>
      <c r="E133" s="159">
        <f>'H) Péréquation directe'!I144/C133</f>
        <v>12.450860102969052</v>
      </c>
      <c r="F133" s="206">
        <f>+'I) Dépenses thématiques'!O133/C133</f>
        <v>0</v>
      </c>
      <c r="G133" s="168">
        <f t="shared" si="9"/>
        <v>49.974115990481522</v>
      </c>
      <c r="H133" s="206">
        <f t="shared" si="10"/>
        <v>49.974115990481522</v>
      </c>
      <c r="I133" s="211">
        <f t="shared" si="11"/>
        <v>0</v>
      </c>
      <c r="J133" s="67">
        <f t="shared" si="8"/>
        <v>0</v>
      </c>
    </row>
    <row r="134" spans="1:10" x14ac:dyDescent="0.25">
      <c r="A134" s="53">
        <f>'A) Base RI'!A136</f>
        <v>5624</v>
      </c>
      <c r="B134" s="116" t="str">
        <f>'A) Base RI'!B136</f>
        <v>Bussigny</v>
      </c>
      <c r="C134" s="127">
        <f>'B) D RI'!U136</f>
        <v>334130.13322580641</v>
      </c>
      <c r="D134" s="168">
        <f>'E) Fact soc'!G140/C134</f>
        <v>17.74043538333736</v>
      </c>
      <c r="E134" s="159">
        <f>'H) Péréquation directe'!I145/C134</f>
        <v>6.2180311003727455</v>
      </c>
      <c r="F134" s="206">
        <f>+'I) Dépenses thématiques'!O134/C134</f>
        <v>-2.7261270806764846</v>
      </c>
      <c r="G134" s="168">
        <f t="shared" si="9"/>
        <v>21.23233940303362</v>
      </c>
      <c r="H134" s="206">
        <f t="shared" si="10"/>
        <v>23.958466483710104</v>
      </c>
      <c r="I134" s="211">
        <f t="shared" si="11"/>
        <v>0</v>
      </c>
      <c r="J134" s="67">
        <f t="shared" si="8"/>
        <v>0</v>
      </c>
    </row>
    <row r="135" spans="1:10" x14ac:dyDescent="0.25">
      <c r="A135" s="53">
        <f>'A) Base RI'!A137</f>
        <v>5625</v>
      </c>
      <c r="B135" s="116" t="str">
        <f>'A) Base RI'!B137</f>
        <v>Bussy-Chardonney</v>
      </c>
      <c r="C135" s="127">
        <f>'B) D RI'!U137</f>
        <v>13745.926324786325</v>
      </c>
      <c r="D135" s="168">
        <f>'E) Fact soc'!G141/C135</f>
        <v>18.806151505653826</v>
      </c>
      <c r="E135" s="159">
        <f>'H) Péréquation directe'!I146/C135</f>
        <v>11.445892668899722</v>
      </c>
      <c r="F135" s="206">
        <f>+'I) Dépenses thématiques'!O135/C135</f>
        <v>-3.3063120030355355</v>
      </c>
      <c r="G135" s="168">
        <f t="shared" si="9"/>
        <v>26.94573217151801</v>
      </c>
      <c r="H135" s="206">
        <f t="shared" si="10"/>
        <v>30.252044174553546</v>
      </c>
      <c r="I135" s="211">
        <f t="shared" si="11"/>
        <v>0</v>
      </c>
      <c r="J135" s="67">
        <f t="shared" si="8"/>
        <v>0</v>
      </c>
    </row>
    <row r="136" spans="1:10" x14ac:dyDescent="0.25">
      <c r="A136" s="53">
        <f>'A) Base RI'!A138</f>
        <v>5627</v>
      </c>
      <c r="B136" s="116" t="str">
        <f>'A) Base RI'!B138</f>
        <v>Chavannes-près-Renens</v>
      </c>
      <c r="C136" s="127">
        <f>'B) D RI'!U138</f>
        <v>171770.86046413501</v>
      </c>
      <c r="D136" s="168">
        <f>'E) Fact soc'!G142/C136</f>
        <v>16.988280081269021</v>
      </c>
      <c r="E136" s="159">
        <f>'H) Péréquation directe'!I147/C136</f>
        <v>-23.884872308309134</v>
      </c>
      <c r="F136" s="206">
        <f>+'I) Dépenses thématiques'!O136/C136</f>
        <v>-7.4255210068433186</v>
      </c>
      <c r="G136" s="168">
        <f t="shared" si="9"/>
        <v>-14.322113233883432</v>
      </c>
      <c r="H136" s="206">
        <f t="shared" si="10"/>
        <v>-6.896592227040113</v>
      </c>
      <c r="I136" s="211">
        <f t="shared" si="11"/>
        <v>-1.396592227040113</v>
      </c>
      <c r="J136" s="67">
        <f t="shared" si="8"/>
        <v>239893.84855620281</v>
      </c>
    </row>
    <row r="137" spans="1:10" x14ac:dyDescent="0.25">
      <c r="A137" s="53">
        <f>'A) Base RI'!A139</f>
        <v>5628</v>
      </c>
      <c r="B137" s="116" t="str">
        <f>'A) Base RI'!B139</f>
        <v>Chigny</v>
      </c>
      <c r="C137" s="127">
        <f>'B) D RI'!U139</f>
        <v>19361.666733870967</v>
      </c>
      <c r="D137" s="168">
        <f>'E) Fact soc'!G143/C137</f>
        <v>16.975828393622685</v>
      </c>
      <c r="E137" s="159">
        <f>'H) Péréquation directe'!I148/C137</f>
        <v>16.770081858836249</v>
      </c>
      <c r="F137" s="206">
        <f>+'I) Dépenses thématiques'!O137/C137</f>
        <v>0</v>
      </c>
      <c r="G137" s="168">
        <f t="shared" si="9"/>
        <v>33.745910252458934</v>
      </c>
      <c r="H137" s="206">
        <f t="shared" si="10"/>
        <v>33.745910252458934</v>
      </c>
      <c r="I137" s="211">
        <f t="shared" si="11"/>
        <v>0</v>
      </c>
      <c r="J137" s="67">
        <f t="shared" si="8"/>
        <v>0</v>
      </c>
    </row>
    <row r="138" spans="1:10" x14ac:dyDescent="0.25">
      <c r="A138" s="53">
        <f>'A) Base RI'!A140</f>
        <v>5629</v>
      </c>
      <c r="B138" s="116" t="str">
        <f>'A) Base RI'!B140</f>
        <v>Clarmont</v>
      </c>
      <c r="C138" s="127">
        <f>'B) D RI'!U140</f>
        <v>7536.1791999999996</v>
      </c>
      <c r="D138" s="168">
        <f>'E) Fact soc'!G144/C138</f>
        <v>20.114529846101874</v>
      </c>
      <c r="E138" s="159">
        <f>'H) Péréquation directe'!I149/C138</f>
        <v>15.731495164532729</v>
      </c>
      <c r="F138" s="206">
        <f>+'I) Dépenses thématiques'!O138/C138</f>
        <v>-7.8806646543634482</v>
      </c>
      <c r="G138" s="168">
        <f t="shared" si="9"/>
        <v>27.965360356271155</v>
      </c>
      <c r="H138" s="206">
        <f t="shared" si="10"/>
        <v>35.846025010634605</v>
      </c>
      <c r="I138" s="211">
        <f t="shared" si="11"/>
        <v>0</v>
      </c>
      <c r="J138" s="67">
        <f t="shared" si="8"/>
        <v>0</v>
      </c>
    </row>
    <row r="139" spans="1:10" x14ac:dyDescent="0.25">
      <c r="A139" s="53">
        <f>'A) Base RI'!A141</f>
        <v>5631</v>
      </c>
      <c r="B139" s="116" t="str">
        <f>'A) Base RI'!B141</f>
        <v>Denens</v>
      </c>
      <c r="C139" s="127">
        <f>'B) D RI'!U141</f>
        <v>42221.936176470583</v>
      </c>
      <c r="D139" s="168">
        <f>'E) Fact soc'!G145/C139</f>
        <v>21.842484952797836</v>
      </c>
      <c r="E139" s="159">
        <f>'H) Péréquation directe'!I150/C139</f>
        <v>16.763551182033034</v>
      </c>
      <c r="F139" s="206">
        <f>+'I) Dépenses thématiques'!O139/C139</f>
        <v>0</v>
      </c>
      <c r="G139" s="168">
        <f t="shared" si="9"/>
        <v>38.606036134830873</v>
      </c>
      <c r="H139" s="206">
        <f t="shared" si="10"/>
        <v>38.606036134830873</v>
      </c>
      <c r="I139" s="211">
        <f t="shared" si="11"/>
        <v>0</v>
      </c>
      <c r="J139" s="67">
        <f t="shared" si="8"/>
        <v>0</v>
      </c>
    </row>
    <row r="140" spans="1:10" x14ac:dyDescent="0.25">
      <c r="A140" s="53">
        <f>'A) Base RI'!A142</f>
        <v>5632</v>
      </c>
      <c r="B140" s="116" t="str">
        <f>'A) Base RI'!B142</f>
        <v>Denges</v>
      </c>
      <c r="C140" s="127">
        <f>'B) D RI'!U142</f>
        <v>67310.066612903232</v>
      </c>
      <c r="D140" s="168">
        <f>'E) Fact soc'!G146/C140</f>
        <v>17.456811402073814</v>
      </c>
      <c r="E140" s="159">
        <f>'H) Péréquation directe'!I151/C140</f>
        <v>12.914007528025223</v>
      </c>
      <c r="F140" s="206">
        <f>+'I) Dépenses thématiques'!O140/C140</f>
        <v>0</v>
      </c>
      <c r="G140" s="168">
        <f t="shared" si="9"/>
        <v>30.370818930099038</v>
      </c>
      <c r="H140" s="206">
        <f t="shared" si="10"/>
        <v>30.370818930099038</v>
      </c>
      <c r="I140" s="211">
        <f t="shared" si="11"/>
        <v>0</v>
      </c>
      <c r="J140" s="67">
        <f t="shared" si="8"/>
        <v>0</v>
      </c>
    </row>
    <row r="141" spans="1:10" x14ac:dyDescent="0.25">
      <c r="A141" s="53">
        <f>'A) Base RI'!A143</f>
        <v>5633</v>
      </c>
      <c r="B141" s="116" t="str">
        <f>'A) Base RI'!B143</f>
        <v>Echandens</v>
      </c>
      <c r="C141" s="127">
        <f>'B) D RI'!U143</f>
        <v>139554.44612903227</v>
      </c>
      <c r="D141" s="168">
        <f>'E) Fact soc'!G147/C141</f>
        <v>16.815453920138154</v>
      </c>
      <c r="E141" s="159">
        <f>'H) Péréquation directe'!I152/C141</f>
        <v>13.572582018940951</v>
      </c>
      <c r="F141" s="206">
        <f>+'I) Dépenses thématiques'!O141/C141</f>
        <v>-1.5447352549146467</v>
      </c>
      <c r="G141" s="168">
        <f t="shared" si="9"/>
        <v>28.843300684164458</v>
      </c>
      <c r="H141" s="206">
        <f t="shared" si="10"/>
        <v>30.388035939079103</v>
      </c>
      <c r="I141" s="211">
        <f t="shared" si="11"/>
        <v>0</v>
      </c>
      <c r="J141" s="67">
        <f t="shared" si="8"/>
        <v>0</v>
      </c>
    </row>
    <row r="142" spans="1:10" x14ac:dyDescent="0.25">
      <c r="A142" s="53">
        <f>'A) Base RI'!A144</f>
        <v>5634</v>
      </c>
      <c r="B142" s="116" t="str">
        <f>'A) Base RI'!B144</f>
        <v>Echichens</v>
      </c>
      <c r="C142" s="127">
        <f>'B) D RI'!U144</f>
        <v>125699.21529411766</v>
      </c>
      <c r="D142" s="168">
        <f>'E) Fact soc'!G148/C142</f>
        <v>18.728728779675428</v>
      </c>
      <c r="E142" s="159">
        <f>'H) Péréquation directe'!I153/C142</f>
        <v>13.275486801626892</v>
      </c>
      <c r="F142" s="206">
        <f>+'I) Dépenses thématiques'!O142/C142</f>
        <v>0</v>
      </c>
      <c r="G142" s="168">
        <f t="shared" si="9"/>
        <v>32.004215581302319</v>
      </c>
      <c r="H142" s="206">
        <f t="shared" si="10"/>
        <v>32.004215581302319</v>
      </c>
      <c r="I142" s="211">
        <f t="shared" si="11"/>
        <v>0</v>
      </c>
      <c r="J142" s="67">
        <f t="shared" si="8"/>
        <v>0</v>
      </c>
    </row>
    <row r="143" spans="1:10" x14ac:dyDescent="0.25">
      <c r="A143" s="53">
        <f>'A) Base RI'!A145</f>
        <v>5635</v>
      </c>
      <c r="B143" s="116" t="str">
        <f>'A) Base RI'!B145</f>
        <v>Ecublens</v>
      </c>
      <c r="C143" s="127">
        <f>'B) D RI'!U145</f>
        <v>424543.31159592536</v>
      </c>
      <c r="D143" s="168">
        <f>'E) Fact soc'!G149/C143</f>
        <v>18.149384590387797</v>
      </c>
      <c r="E143" s="159">
        <f>'H) Péréquation directe'!I154/C143</f>
        <v>-2.2333912758764023</v>
      </c>
      <c r="F143" s="206">
        <f>+'I) Dépenses thématiques'!O143/C143</f>
        <v>-6.4640526174953052</v>
      </c>
      <c r="G143" s="168">
        <f t="shared" si="9"/>
        <v>9.4519406970160897</v>
      </c>
      <c r="H143" s="206">
        <f t="shared" si="10"/>
        <v>15.915993314511395</v>
      </c>
      <c r="I143" s="211">
        <f t="shared" si="11"/>
        <v>0</v>
      </c>
      <c r="J143" s="67">
        <f t="shared" si="8"/>
        <v>0</v>
      </c>
    </row>
    <row r="144" spans="1:10" x14ac:dyDescent="0.25">
      <c r="A144" s="53">
        <f>'A) Base RI'!A146</f>
        <v>5636</v>
      </c>
      <c r="B144" s="116" t="str">
        <f>'A) Base RI'!B146</f>
        <v>Etoy</v>
      </c>
      <c r="C144" s="127">
        <f>'B) D RI'!U146</f>
        <v>150854.83475409835</v>
      </c>
      <c r="D144" s="168">
        <f>'E) Fact soc'!G150/C144</f>
        <v>32.281581331189265</v>
      </c>
      <c r="E144" s="159">
        <f>'H) Péréquation directe'!I155/C144</f>
        <v>13.545825833303432</v>
      </c>
      <c r="F144" s="206">
        <f>+'I) Dépenses thématiques'!O144/C144</f>
        <v>0</v>
      </c>
      <c r="G144" s="168">
        <f t="shared" si="9"/>
        <v>45.827407164492698</v>
      </c>
      <c r="H144" s="206">
        <f t="shared" si="10"/>
        <v>45.827407164492698</v>
      </c>
      <c r="I144" s="211">
        <f t="shared" si="11"/>
        <v>0</v>
      </c>
      <c r="J144" s="67">
        <f t="shared" si="8"/>
        <v>0</v>
      </c>
    </row>
    <row r="145" spans="1:10" x14ac:dyDescent="0.25">
      <c r="A145" s="53">
        <f>'A) Base RI'!A147</f>
        <v>5637</v>
      </c>
      <c r="B145" s="116" t="str">
        <f>'A) Base RI'!B147</f>
        <v>Lavigny</v>
      </c>
      <c r="C145" s="127">
        <f>'B) D RI'!U147</f>
        <v>35788.809619686814</v>
      </c>
      <c r="D145" s="168">
        <f>'E) Fact soc'!G151/C145</f>
        <v>18.539408754030408</v>
      </c>
      <c r="E145" s="159">
        <f>'H) Péréquation directe'!I156/C145</f>
        <v>10.434377325537669</v>
      </c>
      <c r="F145" s="206">
        <f>+'I) Dépenses thématiques'!O145/C145</f>
        <v>-1.6884751382305405</v>
      </c>
      <c r="G145" s="168">
        <f t="shared" si="9"/>
        <v>27.285310941337539</v>
      </c>
      <c r="H145" s="206">
        <f t="shared" si="10"/>
        <v>28.973786079568079</v>
      </c>
      <c r="I145" s="211">
        <f t="shared" si="11"/>
        <v>0</v>
      </c>
      <c r="J145" s="67">
        <f t="shared" si="8"/>
        <v>0</v>
      </c>
    </row>
    <row r="146" spans="1:10" x14ac:dyDescent="0.25">
      <c r="A146" s="53">
        <f>'A) Base RI'!A148</f>
        <v>5638</v>
      </c>
      <c r="B146" s="116" t="str">
        <f>'A) Base RI'!B148</f>
        <v>Lonay</v>
      </c>
      <c r="C146" s="127">
        <f>'B) D RI'!U148</f>
        <v>150874.30218181817</v>
      </c>
      <c r="D146" s="168">
        <f>'E) Fact soc'!G152/C146</f>
        <v>24.801245079402353</v>
      </c>
      <c r="E146" s="159">
        <f>'H) Péréquation directe'!I157/C146</f>
        <v>14.009189290821604</v>
      </c>
      <c r="F146" s="206">
        <f>+'I) Dépenses thématiques'!O146/C146</f>
        <v>-2.2381767578323855</v>
      </c>
      <c r="G146" s="168">
        <f t="shared" si="9"/>
        <v>36.572257612391574</v>
      </c>
      <c r="H146" s="206">
        <f t="shared" si="10"/>
        <v>38.810434370223959</v>
      </c>
      <c r="I146" s="211">
        <f t="shared" si="11"/>
        <v>0</v>
      </c>
      <c r="J146" s="67">
        <f t="shared" si="8"/>
        <v>0</v>
      </c>
    </row>
    <row r="147" spans="1:10" x14ac:dyDescent="0.25">
      <c r="A147" s="53">
        <f>'A) Base RI'!A149</f>
        <v>5639</v>
      </c>
      <c r="B147" s="116" t="str">
        <f>'A) Base RI'!B149</f>
        <v>Lully</v>
      </c>
      <c r="C147" s="127">
        <f>'B) D RI'!U149</f>
        <v>41723.705573770494</v>
      </c>
      <c r="D147" s="168">
        <f>'E) Fact soc'!G153/C147</f>
        <v>16.435907353108554</v>
      </c>
      <c r="E147" s="159">
        <f>'H) Péréquation directe'!I158/C147</f>
        <v>16.704301283180772</v>
      </c>
      <c r="F147" s="206">
        <f>+'I) Dépenses thématiques'!O147/C147</f>
        <v>0</v>
      </c>
      <c r="G147" s="168">
        <f t="shared" si="9"/>
        <v>33.14020863628933</v>
      </c>
      <c r="H147" s="206">
        <f t="shared" si="10"/>
        <v>33.14020863628933</v>
      </c>
      <c r="I147" s="211">
        <f t="shared" si="11"/>
        <v>0</v>
      </c>
      <c r="J147" s="67">
        <f t="shared" si="8"/>
        <v>0</v>
      </c>
    </row>
    <row r="148" spans="1:10" x14ac:dyDescent="0.25">
      <c r="A148" s="53">
        <f>'A) Base RI'!A150</f>
        <v>5640</v>
      </c>
      <c r="B148" s="116" t="str">
        <f>'A) Base RI'!B150</f>
        <v>Lussy-sur-Morges</v>
      </c>
      <c r="C148" s="127">
        <f>'B) D RI'!U150</f>
        <v>54175.567575757566</v>
      </c>
      <c r="D148" s="168">
        <f>'E) Fact soc'!G154/C148</f>
        <v>25.250001661636485</v>
      </c>
      <c r="E148" s="159">
        <f>'H) Péréquation directe'!I159/C148</f>
        <v>14.851468070857425</v>
      </c>
      <c r="F148" s="206">
        <f>+'I) Dépenses thématiques'!O148/C148</f>
        <v>0</v>
      </c>
      <c r="G148" s="168">
        <f t="shared" si="9"/>
        <v>40.101469732493911</v>
      </c>
      <c r="H148" s="206">
        <f t="shared" si="10"/>
        <v>40.101469732493911</v>
      </c>
      <c r="I148" s="211">
        <f t="shared" si="11"/>
        <v>0</v>
      </c>
      <c r="J148" s="67">
        <f t="shared" si="8"/>
        <v>0</v>
      </c>
    </row>
    <row r="149" spans="1:10" x14ac:dyDescent="0.25">
      <c r="A149" s="53">
        <f>'A) Base RI'!A151</f>
        <v>5642</v>
      </c>
      <c r="B149" s="116" t="str">
        <f>'A) Base RI'!B151</f>
        <v>Morges</v>
      </c>
      <c r="C149" s="127">
        <f>'B) D RI'!U151</f>
        <v>781778.61635036487</v>
      </c>
      <c r="D149" s="168">
        <f>'E) Fact soc'!G155/C149</f>
        <v>17.855995636074734</v>
      </c>
      <c r="E149" s="159">
        <f>'H) Péréquation directe'!I160/C149</f>
        <v>5.1788223422919115</v>
      </c>
      <c r="F149" s="206">
        <f>+'I) Dépenses thématiques'!O149/C149</f>
        <v>-0.31829901527489396</v>
      </c>
      <c r="G149" s="168">
        <f t="shared" si="9"/>
        <v>22.716518963091751</v>
      </c>
      <c r="H149" s="206">
        <f t="shared" si="10"/>
        <v>23.034817978366647</v>
      </c>
      <c r="I149" s="211">
        <f t="shared" si="11"/>
        <v>0</v>
      </c>
      <c r="J149" s="67">
        <f t="shared" si="8"/>
        <v>0</v>
      </c>
    </row>
    <row r="150" spans="1:10" x14ac:dyDescent="0.25">
      <c r="A150" s="53">
        <f>'A) Base RI'!A152</f>
        <v>5643</v>
      </c>
      <c r="B150" s="116" t="str">
        <f>'A) Base RI'!B152</f>
        <v>Préverenges</v>
      </c>
      <c r="C150" s="127">
        <f>'B) D RI'!U152</f>
        <v>262779.91921874997</v>
      </c>
      <c r="D150" s="168">
        <f>'E) Fact soc'!G156/C150</f>
        <v>16.750777914191982</v>
      </c>
      <c r="E150" s="159">
        <f>'H) Péréquation directe'!I161/C150</f>
        <v>11.184555636903363</v>
      </c>
      <c r="F150" s="206">
        <f>+'I) Dépenses thématiques'!O150/C150</f>
        <v>0</v>
      </c>
      <c r="G150" s="168">
        <f t="shared" si="9"/>
        <v>27.935333551095347</v>
      </c>
      <c r="H150" s="206">
        <f t="shared" si="10"/>
        <v>27.935333551095347</v>
      </c>
      <c r="I150" s="211">
        <f t="shared" si="11"/>
        <v>0</v>
      </c>
      <c r="J150" s="67">
        <f t="shared" si="8"/>
        <v>0</v>
      </c>
    </row>
    <row r="151" spans="1:10" x14ac:dyDescent="0.25">
      <c r="A151" s="53">
        <f>'A) Base RI'!A153</f>
        <v>5644</v>
      </c>
      <c r="B151" s="116" t="str">
        <f>'A) Base RI'!B153</f>
        <v>Reverolle</v>
      </c>
      <c r="C151" s="127">
        <f>'B) D RI'!U153</f>
        <v>14128.860263157892</v>
      </c>
      <c r="D151" s="168">
        <f>'E) Fact soc'!G157/C151</f>
        <v>16.899804321432715</v>
      </c>
      <c r="E151" s="159">
        <f>'H) Péréquation directe'!I162/C151</f>
        <v>12.563350184885248</v>
      </c>
      <c r="F151" s="206">
        <f>+'I) Dépenses thématiques'!O151/C151</f>
        <v>-3.2652083521318702</v>
      </c>
      <c r="G151" s="168">
        <f t="shared" si="9"/>
        <v>26.197946154186091</v>
      </c>
      <c r="H151" s="206">
        <f t="shared" si="10"/>
        <v>29.463154506317963</v>
      </c>
      <c r="I151" s="211">
        <f t="shared" si="11"/>
        <v>0</v>
      </c>
      <c r="J151" s="67">
        <f t="shared" si="8"/>
        <v>0</v>
      </c>
    </row>
    <row r="152" spans="1:10" x14ac:dyDescent="0.25">
      <c r="A152" s="53">
        <f>'A) Base RI'!A154</f>
        <v>5645</v>
      </c>
      <c r="B152" s="116" t="str">
        <f>'A) Base RI'!B154</f>
        <v>Romanel-sur-Morges</v>
      </c>
      <c r="C152" s="127">
        <f>'B) D RI'!U154</f>
        <v>26355.884598214288</v>
      </c>
      <c r="D152" s="168">
        <f>'E) Fact soc'!G158/C152</f>
        <v>17.349655909636198</v>
      </c>
      <c r="E152" s="159">
        <f>'H) Péréquation directe'!I163/C152</f>
        <v>16.774875043819545</v>
      </c>
      <c r="F152" s="206">
        <f>+'I) Dépenses thématiques'!O152/C152</f>
        <v>0</v>
      </c>
      <c r="G152" s="168">
        <f t="shared" si="9"/>
        <v>34.124530953455746</v>
      </c>
      <c r="H152" s="206">
        <f t="shared" si="10"/>
        <v>34.124530953455746</v>
      </c>
      <c r="I152" s="211">
        <f t="shared" si="11"/>
        <v>0</v>
      </c>
      <c r="J152" s="67">
        <f t="shared" si="8"/>
        <v>0</v>
      </c>
    </row>
    <row r="153" spans="1:10" x14ac:dyDescent="0.25">
      <c r="A153" s="53">
        <f>'A) Base RI'!A155</f>
        <v>5646</v>
      </c>
      <c r="B153" s="116" t="str">
        <f>'A) Base RI'!B155</f>
        <v>Saint-Prex</v>
      </c>
      <c r="C153" s="127">
        <f>'B) D RI'!U155</f>
        <v>529776.58672727272</v>
      </c>
      <c r="D153" s="168">
        <f>'E) Fact soc'!G159/C153</f>
        <v>23.161235142780953</v>
      </c>
      <c r="E153" s="159">
        <f>'H) Péréquation directe'!I164/C153</f>
        <v>11.326870740757734</v>
      </c>
      <c r="F153" s="206">
        <f>+'I) Dépenses thématiques'!O153/C153</f>
        <v>0</v>
      </c>
      <c r="G153" s="168">
        <f t="shared" si="9"/>
        <v>34.488105883538687</v>
      </c>
      <c r="H153" s="206">
        <f t="shared" si="10"/>
        <v>34.488105883538687</v>
      </c>
      <c r="I153" s="211">
        <f t="shared" si="11"/>
        <v>0</v>
      </c>
      <c r="J153" s="67">
        <f t="shared" si="8"/>
        <v>0</v>
      </c>
    </row>
    <row r="154" spans="1:10" x14ac:dyDescent="0.25">
      <c r="A154" s="53">
        <f>'A) Base RI'!A156</f>
        <v>5648</v>
      </c>
      <c r="B154" s="116" t="str">
        <f>'A) Base RI'!B156</f>
        <v>Saint-Sulpice</v>
      </c>
      <c r="C154" s="127">
        <f>'B) D RI'!U156</f>
        <v>320539.61704545456</v>
      </c>
      <c r="D154" s="168">
        <f>'E) Fact soc'!G160/C154</f>
        <v>23.403244501050182</v>
      </c>
      <c r="E154" s="159">
        <f>'H) Péréquation directe'!I165/C154</f>
        <v>12.329130261656253</v>
      </c>
      <c r="F154" s="206">
        <f>+'I) Dépenses thématiques'!O154/C154</f>
        <v>-3.3482679653458025E-2</v>
      </c>
      <c r="G154" s="168">
        <f t="shared" si="9"/>
        <v>35.698892083052975</v>
      </c>
      <c r="H154" s="206">
        <f t="shared" si="10"/>
        <v>35.732374762706435</v>
      </c>
      <c r="I154" s="211">
        <f t="shared" si="11"/>
        <v>0</v>
      </c>
      <c r="J154" s="67">
        <f t="shared" si="8"/>
        <v>0</v>
      </c>
    </row>
    <row r="155" spans="1:10" x14ac:dyDescent="0.25">
      <c r="A155" s="53">
        <f>'A) Base RI'!A157</f>
        <v>5649</v>
      </c>
      <c r="B155" s="116" t="str">
        <f>'A) Base RI'!B157</f>
        <v>Tolochenaz</v>
      </c>
      <c r="C155" s="127">
        <f>'B) D RI'!U157</f>
        <v>78727.730769230766</v>
      </c>
      <c r="D155" s="168">
        <f>'E) Fact soc'!G161/C155</f>
        <v>20.376431803551945</v>
      </c>
      <c r="E155" s="159">
        <f>'H) Péréquation directe'!I166/C155</f>
        <v>12.762821192335112</v>
      </c>
      <c r="F155" s="206">
        <f>+'I) Dépenses thématiques'!O155/C155</f>
        <v>-1.2512204725897709</v>
      </c>
      <c r="G155" s="168">
        <f t="shared" si="9"/>
        <v>31.888032523297284</v>
      </c>
      <c r="H155" s="206">
        <f t="shared" si="10"/>
        <v>33.139252995887055</v>
      </c>
      <c r="I155" s="211">
        <f t="shared" si="11"/>
        <v>0</v>
      </c>
      <c r="J155" s="67">
        <f t="shared" si="8"/>
        <v>0</v>
      </c>
    </row>
    <row r="156" spans="1:10" x14ac:dyDescent="0.25">
      <c r="A156" s="53">
        <f>'A) Base RI'!A158</f>
        <v>5650</v>
      </c>
      <c r="B156" s="116" t="str">
        <f>'A) Base RI'!B158</f>
        <v>Vaux-sur-Morges</v>
      </c>
      <c r="C156" s="127">
        <f>'B) D RI'!U158</f>
        <v>258152.18179487175</v>
      </c>
      <c r="D156" s="168">
        <f>'E) Fact soc'!G162/C156</f>
        <v>29.776755574461468</v>
      </c>
      <c r="E156" s="159">
        <f>'H) Péréquation directe'!I167/C156</f>
        <v>6.9609209438012112</v>
      </c>
      <c r="F156" s="206">
        <f>+'I) Dépenses thématiques'!O156/C156</f>
        <v>0</v>
      </c>
      <c r="G156" s="168">
        <f t="shared" si="9"/>
        <v>36.737676518262681</v>
      </c>
      <c r="H156" s="206">
        <f t="shared" si="10"/>
        <v>36.737676518262681</v>
      </c>
      <c r="I156" s="211">
        <f t="shared" si="11"/>
        <v>0</v>
      </c>
      <c r="J156" s="67">
        <f t="shared" si="8"/>
        <v>0</v>
      </c>
    </row>
    <row r="157" spans="1:10" x14ac:dyDescent="0.25">
      <c r="A157" s="53">
        <f>'A) Base RI'!A159</f>
        <v>5651</v>
      </c>
      <c r="B157" s="116" t="str">
        <f>'A) Base RI'!B159</f>
        <v>Villars-Sainte-Croix</v>
      </c>
      <c r="C157" s="127">
        <f>'B) D RI'!U159</f>
        <v>39092.930338983046</v>
      </c>
      <c r="D157" s="168">
        <f>'E) Fact soc'!G163/C157</f>
        <v>20.424635711728239</v>
      </c>
      <c r="E157" s="159">
        <f>'H) Péréquation directe'!I168/C157</f>
        <v>16.438242464183421</v>
      </c>
      <c r="F157" s="206">
        <f>+'I) Dépenses thématiques'!O157/C157</f>
        <v>0</v>
      </c>
      <c r="G157" s="168">
        <f t="shared" si="9"/>
        <v>36.862878175911661</v>
      </c>
      <c r="H157" s="206">
        <f t="shared" si="10"/>
        <v>36.862878175911661</v>
      </c>
      <c r="I157" s="211">
        <f t="shared" si="11"/>
        <v>0</v>
      </c>
      <c r="J157" s="67">
        <f t="shared" si="8"/>
        <v>0</v>
      </c>
    </row>
    <row r="158" spans="1:10" x14ac:dyDescent="0.25">
      <c r="A158" s="53">
        <f>'A) Base RI'!A160</f>
        <v>5652</v>
      </c>
      <c r="B158" s="116" t="str">
        <f>'A) Base RI'!B160</f>
        <v>Villars-sous-Yens</v>
      </c>
      <c r="C158" s="127">
        <f>'B) D RI'!U160</f>
        <v>21921.455131578947</v>
      </c>
      <c r="D158" s="168">
        <f>'E) Fact soc'!G164/C158</f>
        <v>17.603046162818501</v>
      </c>
      <c r="E158" s="159">
        <f>'H) Péréquation directe'!I169/C158</f>
        <v>11.186465071263516</v>
      </c>
      <c r="F158" s="206">
        <f>+'I) Dépenses thématiques'!O158/C158</f>
        <v>-6.2016600690137738</v>
      </c>
      <c r="G158" s="168">
        <f t="shared" si="9"/>
        <v>22.587851165068244</v>
      </c>
      <c r="H158" s="206">
        <f t="shared" si="10"/>
        <v>28.789511234082017</v>
      </c>
      <c r="I158" s="211">
        <f t="shared" si="11"/>
        <v>0</v>
      </c>
      <c r="J158" s="67">
        <f t="shared" si="8"/>
        <v>0</v>
      </c>
    </row>
    <row r="159" spans="1:10" x14ac:dyDescent="0.25">
      <c r="A159" s="53">
        <f>'A) Base RI'!A161</f>
        <v>5653</v>
      </c>
      <c r="B159" s="116" t="str">
        <f>'A) Base RI'!B161</f>
        <v>Vufflens-le-Château</v>
      </c>
      <c r="C159" s="127">
        <f>'B) D RI'!U161</f>
        <v>61105.159227272721</v>
      </c>
      <c r="D159" s="168">
        <f>'E) Fact soc'!G165/C159</f>
        <v>19.808688995713727</v>
      </c>
      <c r="E159" s="159">
        <f>'H) Péréquation directe'!I170/C159</f>
        <v>15.61358887629549</v>
      </c>
      <c r="F159" s="206">
        <f>+'I) Dépenses thématiques'!O159/C159</f>
        <v>0</v>
      </c>
      <c r="G159" s="168">
        <f t="shared" si="9"/>
        <v>35.422277872009218</v>
      </c>
      <c r="H159" s="206">
        <f t="shared" si="10"/>
        <v>35.422277872009218</v>
      </c>
      <c r="I159" s="211">
        <f t="shared" si="11"/>
        <v>0</v>
      </c>
      <c r="J159" s="67">
        <f t="shared" si="8"/>
        <v>0</v>
      </c>
    </row>
    <row r="160" spans="1:10" x14ac:dyDescent="0.25">
      <c r="A160" s="53">
        <f>'A) Base RI'!A162</f>
        <v>5654</v>
      </c>
      <c r="B160" s="116" t="str">
        <f>'A) Base RI'!B162</f>
        <v>Vullierens</v>
      </c>
      <c r="C160" s="127">
        <f>'B) D RI'!U162</f>
        <v>17141.735000000001</v>
      </c>
      <c r="D160" s="168">
        <f>'E) Fact soc'!G166/C160</f>
        <v>17.499397000199053</v>
      </c>
      <c r="E160" s="159">
        <f>'H) Péréquation directe'!I171/C160</f>
        <v>11.617187131599488</v>
      </c>
      <c r="F160" s="206">
        <f>+'I) Dépenses thématiques'!O160/C160</f>
        <v>-27.937348223759997</v>
      </c>
      <c r="G160" s="168">
        <f t="shared" si="9"/>
        <v>1.1792359080385424</v>
      </c>
      <c r="H160" s="206">
        <f t="shared" si="10"/>
        <v>29.11658413179854</v>
      </c>
      <c r="I160" s="211">
        <f t="shared" si="11"/>
        <v>0</v>
      </c>
      <c r="J160" s="67">
        <f t="shared" si="8"/>
        <v>0</v>
      </c>
    </row>
    <row r="161" spans="1:10" x14ac:dyDescent="0.25">
      <c r="A161" s="53">
        <f>'A) Base RI'!A163</f>
        <v>5655</v>
      </c>
      <c r="B161" s="116" t="str">
        <f>'A) Base RI'!B163</f>
        <v>Yens</v>
      </c>
      <c r="C161" s="127">
        <f>'B) D RI'!U163</f>
        <v>83580.564109589031</v>
      </c>
      <c r="D161" s="168">
        <f>'E) Fact soc'!G167/C161</f>
        <v>17.538207332603761</v>
      </c>
      <c r="E161" s="159">
        <f>'H) Péréquation directe'!I172/C161</f>
        <v>15.319703353929217</v>
      </c>
      <c r="F161" s="206">
        <f>+'I) Dépenses thématiques'!O161/C161</f>
        <v>0</v>
      </c>
      <c r="G161" s="168">
        <f t="shared" si="9"/>
        <v>32.857910686532975</v>
      </c>
      <c r="H161" s="206">
        <f t="shared" si="10"/>
        <v>32.857910686532975</v>
      </c>
      <c r="I161" s="211">
        <f t="shared" si="11"/>
        <v>0</v>
      </c>
      <c r="J161" s="67">
        <f t="shared" si="8"/>
        <v>0</v>
      </c>
    </row>
    <row r="162" spans="1:10" x14ac:dyDescent="0.25">
      <c r="A162" s="53">
        <f>'A) Base RI'!A164</f>
        <v>5661</v>
      </c>
      <c r="B162" s="116" t="str">
        <f>'A) Base RI'!B164</f>
        <v>Boulens</v>
      </c>
      <c r="C162" s="127">
        <f>'B) D RI'!U164</f>
        <v>9592.9711392405043</v>
      </c>
      <c r="D162" s="168">
        <f>'E) Fact soc'!G168/C162</f>
        <v>17.141407520082879</v>
      </c>
      <c r="E162" s="159">
        <f>'H) Péréquation directe'!I173/C162</f>
        <v>-2.4718301607122641</v>
      </c>
      <c r="F162" s="206">
        <f>+'I) Dépenses thématiques'!O162/C162</f>
        <v>-2.4741856435285965</v>
      </c>
      <c r="G162" s="168">
        <f t="shared" si="9"/>
        <v>12.195391715842019</v>
      </c>
      <c r="H162" s="206">
        <f t="shared" si="10"/>
        <v>14.669577359370615</v>
      </c>
      <c r="I162" s="211">
        <f t="shared" si="11"/>
        <v>0</v>
      </c>
      <c r="J162" s="67">
        <f t="shared" si="8"/>
        <v>0</v>
      </c>
    </row>
    <row r="163" spans="1:10" x14ac:dyDescent="0.25">
      <c r="A163" s="53">
        <f>'A) Base RI'!A165</f>
        <v>5662</v>
      </c>
      <c r="B163" s="116" t="str">
        <f>'A) Base RI'!B165</f>
        <v>Brenles</v>
      </c>
      <c r="C163" s="127">
        <f>'B) D RI'!U165</f>
        <v>5126.068504273504</v>
      </c>
      <c r="D163" s="168">
        <f>'E) Fact soc'!G169/C163</f>
        <v>19.499209671123356</v>
      </c>
      <c r="E163" s="159">
        <f>'H) Péréquation directe'!I174/C163</f>
        <v>11.355861225381998</v>
      </c>
      <c r="F163" s="206">
        <f>+'I) Dépenses thématiques'!O163/C163</f>
        <v>-3.2764604313132195</v>
      </c>
      <c r="G163" s="168">
        <f t="shared" si="9"/>
        <v>27.578610465192135</v>
      </c>
      <c r="H163" s="206">
        <f t="shared" si="10"/>
        <v>30.855070896505353</v>
      </c>
      <c r="I163" s="211">
        <f t="shared" si="11"/>
        <v>0</v>
      </c>
      <c r="J163" s="67">
        <f t="shared" si="8"/>
        <v>0</v>
      </c>
    </row>
    <row r="164" spans="1:10" x14ac:dyDescent="0.25">
      <c r="A164" s="53">
        <f>'A) Base RI'!A166</f>
        <v>5663</v>
      </c>
      <c r="B164" s="116" t="str">
        <f>'A) Base RI'!B166</f>
        <v>Bussy-sur-Moudon</v>
      </c>
      <c r="C164" s="127">
        <f>'B) D RI'!U166</f>
        <v>5468.4132499999996</v>
      </c>
      <c r="D164" s="168">
        <f>'E) Fact soc'!G170/C164</f>
        <v>16.557097723082791</v>
      </c>
      <c r="E164" s="159">
        <f>'H) Péréquation directe'!I175/C164</f>
        <v>-2.5129336983589572</v>
      </c>
      <c r="F164" s="206">
        <f>+'I) Dépenses thématiques'!O164/C164</f>
        <v>-8.5851186716491323</v>
      </c>
      <c r="G164" s="168">
        <f t="shared" si="9"/>
        <v>5.4590453530747016</v>
      </c>
      <c r="H164" s="206">
        <f t="shared" si="10"/>
        <v>14.044164024723834</v>
      </c>
      <c r="I164" s="211">
        <f t="shared" si="11"/>
        <v>0</v>
      </c>
      <c r="J164" s="67">
        <f t="shared" si="8"/>
        <v>0</v>
      </c>
    </row>
    <row r="165" spans="1:10" x14ac:dyDescent="0.25">
      <c r="A165" s="53">
        <f>'A) Base RI'!A167</f>
        <v>5665</v>
      </c>
      <c r="B165" s="116" t="str">
        <f>'A) Base RI'!B167</f>
        <v>Chavannes-sur-Moudon</v>
      </c>
      <c r="C165" s="127">
        <f>'B) D RI'!U167</f>
        <v>4982.8790410958891</v>
      </c>
      <c r="D165" s="168">
        <f>'E) Fact soc'!G171/C165</f>
        <v>14.907268680086068</v>
      </c>
      <c r="E165" s="159">
        <f>'H) Péréquation directe'!I176/C165</f>
        <v>-6.7923565312689682</v>
      </c>
      <c r="F165" s="206">
        <f>+'I) Dépenses thématiques'!O165/C165</f>
        <v>-2.9816025429182744</v>
      </c>
      <c r="G165" s="168">
        <f t="shared" si="9"/>
        <v>5.133309605898825</v>
      </c>
      <c r="H165" s="206">
        <f t="shared" si="10"/>
        <v>8.1149121488170994</v>
      </c>
      <c r="I165" s="211">
        <f t="shared" si="11"/>
        <v>0</v>
      </c>
      <c r="J165" s="67">
        <f t="shared" si="8"/>
        <v>0</v>
      </c>
    </row>
    <row r="166" spans="1:10" x14ac:dyDescent="0.25">
      <c r="A166" s="53">
        <f>'A) Base RI'!A168</f>
        <v>5666</v>
      </c>
      <c r="B166" s="116" t="str">
        <f>'A) Base RI'!B168</f>
        <v>Chesalles-sur-Moudon</v>
      </c>
      <c r="C166" s="127">
        <f>'B) D RI'!U168</f>
        <v>3797.0531999999998</v>
      </c>
      <c r="D166" s="168">
        <f>'E) Fact soc'!G172/C166</f>
        <v>14.664437178454055</v>
      </c>
      <c r="E166" s="159">
        <f>'H) Péréquation directe'!I177/C166</f>
        <v>-15.218398265237983</v>
      </c>
      <c r="F166" s="206">
        <f>+'I) Dépenses thématiques'!O166/C166</f>
        <v>0</v>
      </c>
      <c r="G166" s="168">
        <f t="shared" si="9"/>
        <v>-0.55396108678392864</v>
      </c>
      <c r="H166" s="206">
        <f t="shared" si="10"/>
        <v>-0.55396108678392864</v>
      </c>
      <c r="I166" s="211">
        <f t="shared" si="11"/>
        <v>0</v>
      </c>
      <c r="J166" s="67">
        <f t="shared" si="8"/>
        <v>0</v>
      </c>
    </row>
    <row r="167" spans="1:10" x14ac:dyDescent="0.25">
      <c r="A167" s="53">
        <f>'A) Base RI'!A169</f>
        <v>5668</v>
      </c>
      <c r="B167" s="116" t="str">
        <f>'A) Base RI'!B169</f>
        <v>Cremin</v>
      </c>
      <c r="C167" s="127">
        <f>'B) D RI'!U169</f>
        <v>1016.3289610389612</v>
      </c>
      <c r="D167" s="168">
        <f>'E) Fact soc'!G173/C167</f>
        <v>17.448402910481967</v>
      </c>
      <c r="E167" s="159">
        <f>'H) Péréquation directe'!I178/C167</f>
        <v>-24.124757168041022</v>
      </c>
      <c r="F167" s="206">
        <f>+'I) Dépenses thématiques'!O167/C167</f>
        <v>-2.3469607148675209</v>
      </c>
      <c r="G167" s="168">
        <f t="shared" si="9"/>
        <v>-9.0233149724265758</v>
      </c>
      <c r="H167" s="206">
        <f t="shared" si="10"/>
        <v>-6.6763542575590549</v>
      </c>
      <c r="I167" s="211">
        <f t="shared" si="11"/>
        <v>-1.1763542575590549</v>
      </c>
      <c r="J167" s="67">
        <f t="shared" si="8"/>
        <v>1195.5629003987528</v>
      </c>
    </row>
    <row r="168" spans="1:10" x14ac:dyDescent="0.25">
      <c r="A168" s="53">
        <f>'A) Base RI'!A170</f>
        <v>5669</v>
      </c>
      <c r="B168" s="116" t="str">
        <f>'A) Base RI'!B170</f>
        <v>Curtilles</v>
      </c>
      <c r="C168" s="127">
        <f>'B) D RI'!U170</f>
        <v>8279.174027777779</v>
      </c>
      <c r="D168" s="168">
        <f>'E) Fact soc'!G174/C168</f>
        <v>15.030802227651376</v>
      </c>
      <c r="E168" s="159">
        <f>'H) Péréquation directe'!I179/C168</f>
        <v>1.5010055961418565</v>
      </c>
      <c r="F168" s="206">
        <f>+'I) Dépenses thématiques'!O168/C168</f>
        <v>-3.6794040346493815</v>
      </c>
      <c r="G168" s="168">
        <f t="shared" si="9"/>
        <v>12.852403789143851</v>
      </c>
      <c r="H168" s="206">
        <f t="shared" si="10"/>
        <v>16.531807823793233</v>
      </c>
      <c r="I168" s="211">
        <f t="shared" si="11"/>
        <v>0</v>
      </c>
      <c r="J168" s="67">
        <f t="shared" si="8"/>
        <v>0</v>
      </c>
    </row>
    <row r="169" spans="1:10" x14ac:dyDescent="0.25">
      <c r="A169" s="53">
        <f>'A) Base RI'!A171</f>
        <v>5671</v>
      </c>
      <c r="B169" s="116" t="str">
        <f>'A) Base RI'!B171</f>
        <v>Dompierre</v>
      </c>
      <c r="C169" s="127">
        <f>'B) D RI'!U171</f>
        <v>6672.7971250000001</v>
      </c>
      <c r="D169" s="168">
        <f>'E) Fact soc'!G175/C169</f>
        <v>14.664437178454055</v>
      </c>
      <c r="E169" s="159">
        <f>'H) Péréquation directe'!I180/C169</f>
        <v>-0.3421419260422886</v>
      </c>
      <c r="F169" s="206">
        <f>+'I) Dépenses thématiques'!O169/C169</f>
        <v>-7.462781966139536</v>
      </c>
      <c r="G169" s="168">
        <f t="shared" si="9"/>
        <v>6.8595132862722306</v>
      </c>
      <c r="H169" s="206">
        <f t="shared" si="10"/>
        <v>14.322295252411767</v>
      </c>
      <c r="I169" s="211">
        <f t="shared" si="11"/>
        <v>0</v>
      </c>
      <c r="J169" s="67">
        <f t="shared" si="8"/>
        <v>0</v>
      </c>
    </row>
    <row r="170" spans="1:10" x14ac:dyDescent="0.25">
      <c r="A170" s="53">
        <f>'A) Base RI'!A172</f>
        <v>5672</v>
      </c>
      <c r="B170" s="116" t="str">
        <f>'A) Base RI'!B172</f>
        <v>Forel-sur-Lucens</v>
      </c>
      <c r="C170" s="127">
        <f>'B) D RI'!U172</f>
        <v>4096.3695000000007</v>
      </c>
      <c r="D170" s="168">
        <f>'E) Fact soc'!G176/C170</f>
        <v>14.932967641831443</v>
      </c>
      <c r="E170" s="159">
        <f>'H) Péréquation directe'!I181/C170</f>
        <v>6.6781069279967131E-2</v>
      </c>
      <c r="F170" s="206">
        <f>+'I) Dépenses thématiques'!O170/C170</f>
        <v>-2.3470786005826603</v>
      </c>
      <c r="G170" s="168">
        <f t="shared" si="9"/>
        <v>12.652670110528749</v>
      </c>
      <c r="H170" s="206">
        <f t="shared" si="10"/>
        <v>14.99974871111141</v>
      </c>
      <c r="I170" s="211">
        <f t="shared" si="11"/>
        <v>0</v>
      </c>
      <c r="J170" s="67">
        <f t="shared" ref="J170:J225" si="12">-I170*C170</f>
        <v>0</v>
      </c>
    </row>
    <row r="171" spans="1:10" x14ac:dyDescent="0.25">
      <c r="A171" s="53">
        <f>'A) Base RI'!A173</f>
        <v>5673</v>
      </c>
      <c r="B171" s="116" t="str">
        <f>'A) Base RI'!B173</f>
        <v>Hermenches</v>
      </c>
      <c r="C171" s="127">
        <f>'B) D RI'!U173</f>
        <v>7873.3323555555571</v>
      </c>
      <c r="D171" s="168">
        <f>'E) Fact soc'!G177/C171</f>
        <v>16.286557828675075</v>
      </c>
      <c r="E171" s="159">
        <f>'H) Péréquation directe'!I182/C171</f>
        <v>-11.423673764670363</v>
      </c>
      <c r="F171" s="206">
        <f>+'I) Dépenses thématiques'!O171/C171</f>
        <v>-3.2156581495254479</v>
      </c>
      <c r="G171" s="168">
        <f t="shared" ref="G171:G226" si="13">SUM(D171:F171)</f>
        <v>1.647225914479264</v>
      </c>
      <c r="H171" s="206">
        <f t="shared" ref="H171:H226" si="14">G171-F171</f>
        <v>4.862884064004712</v>
      </c>
      <c r="I171" s="211">
        <f t="shared" ref="I171:I226" si="15">IF(H171&lt;I$4,H171-I$4,0)</f>
        <v>0</v>
      </c>
      <c r="J171" s="67">
        <f t="shared" si="12"/>
        <v>0</v>
      </c>
    </row>
    <row r="172" spans="1:10" x14ac:dyDescent="0.25">
      <c r="A172" s="53">
        <f>'A) Base RI'!A174</f>
        <v>5674</v>
      </c>
      <c r="B172" s="116" t="str">
        <f>'A) Base RI'!B174</f>
        <v>Lovatens</v>
      </c>
      <c r="C172" s="127">
        <f>'B) D RI'!U174</f>
        <v>3776.8391809523814</v>
      </c>
      <c r="D172" s="168">
        <f>'E) Fact soc'!G178/C172</f>
        <v>21.974293033380402</v>
      </c>
      <c r="E172" s="159">
        <f>'H) Péréquation directe'!I183/C172</f>
        <v>-0.22539613673507669</v>
      </c>
      <c r="F172" s="206">
        <f>+'I) Dépenses thématiques'!O172/C172</f>
        <v>-5.4938181762790306</v>
      </c>
      <c r="G172" s="168">
        <f t="shared" si="13"/>
        <v>16.255078720366292</v>
      </c>
      <c r="H172" s="206">
        <f t="shared" si="14"/>
        <v>21.748896896645324</v>
      </c>
      <c r="I172" s="211">
        <f t="shared" si="15"/>
        <v>0</v>
      </c>
      <c r="J172" s="67">
        <f t="shared" si="12"/>
        <v>0</v>
      </c>
    </row>
    <row r="173" spans="1:10" x14ac:dyDescent="0.25">
      <c r="A173" s="53">
        <f>'A) Base RI'!A175</f>
        <v>5675</v>
      </c>
      <c r="B173" s="116" t="str">
        <f>'A) Base RI'!B175</f>
        <v>Lucens</v>
      </c>
      <c r="C173" s="127">
        <f>'B) D RI'!U175</f>
        <v>77479.696914600558</v>
      </c>
      <c r="D173" s="168">
        <f>'E) Fact soc'!G179/C173</f>
        <v>17.056572503974067</v>
      </c>
      <c r="E173" s="159">
        <f>'H) Péréquation directe'!I184/C173</f>
        <v>-10.117582256533908</v>
      </c>
      <c r="F173" s="206">
        <f>+'I) Dépenses thématiques'!O173/C173</f>
        <v>-5.2528777831011455</v>
      </c>
      <c r="G173" s="168">
        <f t="shared" si="13"/>
        <v>1.686112464339014</v>
      </c>
      <c r="H173" s="206">
        <f t="shared" si="14"/>
        <v>6.9389902474401595</v>
      </c>
      <c r="I173" s="211">
        <f t="shared" si="15"/>
        <v>0</v>
      </c>
      <c r="J173" s="67">
        <f t="shared" si="12"/>
        <v>0</v>
      </c>
    </row>
    <row r="174" spans="1:10" x14ac:dyDescent="0.25">
      <c r="A174" s="53">
        <f>'A) Base RI'!A176</f>
        <v>5678</v>
      </c>
      <c r="B174" s="116" t="str">
        <f>'A) Base RI'!B176</f>
        <v>Moudon</v>
      </c>
      <c r="C174" s="127">
        <f>'B) D RI'!U176</f>
        <v>123116.47720000001</v>
      </c>
      <c r="D174" s="168">
        <f>'E) Fact soc'!G180/C174</f>
        <v>17.926750551403618</v>
      </c>
      <c r="E174" s="159">
        <f>'H) Péréquation directe'!I185/C174</f>
        <v>-26.527454186034628</v>
      </c>
      <c r="F174" s="206">
        <f>+'I) Dépenses thématiques'!O174/C174</f>
        <v>-10.54285022424995</v>
      </c>
      <c r="G174" s="168">
        <f t="shared" si="13"/>
        <v>-19.14355385888096</v>
      </c>
      <c r="H174" s="206">
        <f t="shared" si="14"/>
        <v>-8.6007036346310102</v>
      </c>
      <c r="I174" s="211">
        <f t="shared" si="15"/>
        <v>-3.1007036346310102</v>
      </c>
      <c r="J174" s="67">
        <f t="shared" si="12"/>
        <v>381747.70833700593</v>
      </c>
    </row>
    <row r="175" spans="1:10" x14ac:dyDescent="0.25">
      <c r="A175" s="53">
        <f>'A) Base RI'!A177</f>
        <v>5680</v>
      </c>
      <c r="B175" s="116" t="str">
        <f>'A) Base RI'!B177</f>
        <v>Ogens</v>
      </c>
      <c r="C175" s="127">
        <f>'B) D RI'!U177</f>
        <v>8504.3488034188031</v>
      </c>
      <c r="D175" s="168">
        <f>'E) Fact soc'!G181/C175</f>
        <v>16.985011681708954</v>
      </c>
      <c r="E175" s="159">
        <f>'H) Péréquation directe'!I186/C175</f>
        <v>2.1249701880836884</v>
      </c>
      <c r="F175" s="206">
        <f>+'I) Dépenses thématiques'!O175/C175</f>
        <v>-2.3033726635770644</v>
      </c>
      <c r="G175" s="168">
        <f t="shared" si="13"/>
        <v>16.806609206215576</v>
      </c>
      <c r="H175" s="206">
        <f t="shared" si="14"/>
        <v>19.109981869792641</v>
      </c>
      <c r="I175" s="211">
        <f t="shared" si="15"/>
        <v>0</v>
      </c>
      <c r="J175" s="67">
        <f t="shared" si="12"/>
        <v>0</v>
      </c>
    </row>
    <row r="176" spans="1:10" x14ac:dyDescent="0.25">
      <c r="A176" s="53">
        <f>'A) Base RI'!A178</f>
        <v>5683</v>
      </c>
      <c r="B176" s="116" t="str">
        <f>'A) Base RI'!B178</f>
        <v>Prévonloup</v>
      </c>
      <c r="C176" s="127">
        <f>'B) D RI'!U178</f>
        <v>4128.5685135135127</v>
      </c>
      <c r="D176" s="168">
        <f>'E) Fact soc'!G182/C176</f>
        <v>14.664437178454055</v>
      </c>
      <c r="E176" s="159">
        <f>'H) Péréquation directe'!I187/C176</f>
        <v>-2.3211855681996729</v>
      </c>
      <c r="F176" s="206">
        <f>+'I) Dépenses thématiques'!O176/C176</f>
        <v>-4.5320178110998022</v>
      </c>
      <c r="G176" s="168">
        <f t="shared" si="13"/>
        <v>7.8112337991545786</v>
      </c>
      <c r="H176" s="206">
        <f t="shared" si="14"/>
        <v>12.343251610254381</v>
      </c>
      <c r="I176" s="211">
        <f t="shared" si="15"/>
        <v>0</v>
      </c>
      <c r="J176" s="67">
        <f t="shared" si="12"/>
        <v>0</v>
      </c>
    </row>
    <row r="177" spans="1:10" x14ac:dyDescent="0.25">
      <c r="A177" s="53">
        <f>'A) Base RI'!A179</f>
        <v>5684</v>
      </c>
      <c r="B177" s="116" t="str">
        <f>'A) Base RI'!B179</f>
        <v>Rossenges</v>
      </c>
      <c r="C177" s="127">
        <f>'B) D RI'!U179</f>
        <v>2119.9519999999998</v>
      </c>
      <c r="D177" s="168">
        <f>'E) Fact soc'!G183/C177</f>
        <v>14.664437178454055</v>
      </c>
      <c r="E177" s="159">
        <f>'H) Péréquation directe'!I188/C177</f>
        <v>12.200692305781635</v>
      </c>
      <c r="F177" s="206">
        <f>+'I) Dépenses thématiques'!O177/C177</f>
        <v>0</v>
      </c>
      <c r="G177" s="168">
        <f t="shared" si="13"/>
        <v>26.865129484235688</v>
      </c>
      <c r="H177" s="206">
        <f t="shared" si="14"/>
        <v>26.865129484235688</v>
      </c>
      <c r="I177" s="211">
        <f t="shared" si="15"/>
        <v>0</v>
      </c>
      <c r="J177" s="67">
        <f t="shared" si="12"/>
        <v>0</v>
      </c>
    </row>
    <row r="178" spans="1:10" x14ac:dyDescent="0.25">
      <c r="A178" s="53">
        <f>'A) Base RI'!A180</f>
        <v>5686</v>
      </c>
      <c r="B178" s="116" t="str">
        <f>'A) Base RI'!B180</f>
        <v>Sarzens</v>
      </c>
      <c r="C178" s="127">
        <f>'B) D RI'!U180</f>
        <v>1678.3095945945947</v>
      </c>
      <c r="D178" s="168">
        <f>'E) Fact soc'!G184/C178</f>
        <v>18.336852577764702</v>
      </c>
      <c r="E178" s="159">
        <f>'H) Péréquation directe'!I189/C178</f>
        <v>-11.522581370810999</v>
      </c>
      <c r="F178" s="206">
        <f>+'I) Dépenses thématiques'!O178/C178</f>
        <v>-13.743862798352291</v>
      </c>
      <c r="G178" s="168">
        <f t="shared" si="13"/>
        <v>-6.9295915913985873</v>
      </c>
      <c r="H178" s="206">
        <f t="shared" si="14"/>
        <v>6.8142712069537037</v>
      </c>
      <c r="I178" s="211">
        <f t="shared" si="15"/>
        <v>0</v>
      </c>
      <c r="J178" s="67">
        <f t="shared" si="12"/>
        <v>0</v>
      </c>
    </row>
    <row r="179" spans="1:10" x14ac:dyDescent="0.25">
      <c r="A179" s="53">
        <f>'A) Base RI'!A181</f>
        <v>5688</v>
      </c>
      <c r="B179" s="116" t="str">
        <f>'A) Base RI'!B181</f>
        <v>Syens</v>
      </c>
      <c r="C179" s="127">
        <f>'B) D RI'!U181</f>
        <v>4845.4007936507942</v>
      </c>
      <c r="D179" s="168">
        <f>'E) Fact soc'!G185/C179</f>
        <v>19.112593464770399</v>
      </c>
      <c r="E179" s="159">
        <f>'H) Péréquation directe'!I190/C179</f>
        <v>8.3096074727087039</v>
      </c>
      <c r="F179" s="206">
        <f>+'I) Dépenses thématiques'!O179/C179</f>
        <v>-3.671842059815936</v>
      </c>
      <c r="G179" s="168">
        <f t="shared" si="13"/>
        <v>23.750358877663167</v>
      </c>
      <c r="H179" s="206">
        <f t="shared" si="14"/>
        <v>27.422200937479104</v>
      </c>
      <c r="I179" s="211">
        <f t="shared" si="15"/>
        <v>0</v>
      </c>
      <c r="J179" s="67">
        <f t="shared" si="12"/>
        <v>0</v>
      </c>
    </row>
    <row r="180" spans="1:10" x14ac:dyDescent="0.25">
      <c r="A180" s="53">
        <f>'A) Base RI'!A182</f>
        <v>5690</v>
      </c>
      <c r="B180" s="116" t="str">
        <f>'A) Base RI'!B182</f>
        <v>Villars-le-Comte</v>
      </c>
      <c r="C180" s="127">
        <f>'B) D RI'!U182</f>
        <v>3252.2851315789467</v>
      </c>
      <c r="D180" s="168">
        <f>'E) Fact soc'!G186/C180</f>
        <v>15.086640320075086</v>
      </c>
      <c r="E180" s="159">
        <f>'H) Péréquation directe'!I191/C180</f>
        <v>-7.4475319834439651</v>
      </c>
      <c r="F180" s="206">
        <f>+'I) Dépenses thématiques'!O180/C180</f>
        <v>-7.3151760120677096</v>
      </c>
      <c r="G180" s="168">
        <f t="shared" si="13"/>
        <v>0.32393232456341092</v>
      </c>
      <c r="H180" s="206">
        <f t="shared" si="14"/>
        <v>7.6391083366311205</v>
      </c>
      <c r="I180" s="211">
        <f t="shared" si="15"/>
        <v>0</v>
      </c>
      <c r="J180" s="67">
        <f t="shared" si="12"/>
        <v>0</v>
      </c>
    </row>
    <row r="181" spans="1:10" x14ac:dyDescent="0.25">
      <c r="A181" s="53">
        <f>'A) Base RI'!A183</f>
        <v>5692</v>
      </c>
      <c r="B181" s="116" t="str">
        <f>'A) Base RI'!B183</f>
        <v>Vucherens</v>
      </c>
      <c r="C181" s="127">
        <f>'B) D RI'!U183</f>
        <v>16993.232405063292</v>
      </c>
      <c r="D181" s="168">
        <f>'E) Fact soc'!G187/C181</f>
        <v>18.766813544425986</v>
      </c>
      <c r="E181" s="159">
        <f>'H) Péréquation directe'!I192/C181</f>
        <v>4.2198099325608061</v>
      </c>
      <c r="F181" s="206">
        <f>+'I) Dépenses thématiques'!O181/C181</f>
        <v>-2.4732980790946972</v>
      </c>
      <c r="G181" s="168">
        <f t="shared" si="13"/>
        <v>20.513325397892096</v>
      </c>
      <c r="H181" s="206">
        <f t="shared" si="14"/>
        <v>22.986623476986793</v>
      </c>
      <c r="I181" s="211">
        <f t="shared" si="15"/>
        <v>0</v>
      </c>
      <c r="J181" s="67">
        <f t="shared" si="12"/>
        <v>0</v>
      </c>
    </row>
    <row r="182" spans="1:10" x14ac:dyDescent="0.25">
      <c r="A182" s="53">
        <f>'A) Base RI'!A184</f>
        <v>5693</v>
      </c>
      <c r="B182" s="116" t="str">
        <f>'A) Base RI'!B184</f>
        <v>Montanaire</v>
      </c>
      <c r="C182" s="127">
        <f>'B) D RI'!U184</f>
        <v>63585.08152777778</v>
      </c>
      <c r="D182" s="168">
        <f>'E) Fact soc'!G188/C182</f>
        <v>16.9711452375752</v>
      </c>
      <c r="E182" s="159">
        <f>'H) Péréquation directe'!I193/C182</f>
        <v>-6.3326277805905322</v>
      </c>
      <c r="F182" s="206">
        <f>+'I) Dépenses thématiques'!O182/C182</f>
        <v>-6.4589317261817651</v>
      </c>
      <c r="G182" s="168">
        <f>SUM(D182:F182)</f>
        <v>4.1795857308029039</v>
      </c>
      <c r="H182" s="206">
        <f>G182-F182</f>
        <v>10.638517456984669</v>
      </c>
      <c r="I182" s="211">
        <f t="shared" si="15"/>
        <v>0</v>
      </c>
      <c r="J182" s="67">
        <f>-I182*C182</f>
        <v>0</v>
      </c>
    </row>
    <row r="183" spans="1:10" x14ac:dyDescent="0.25">
      <c r="A183" s="53">
        <f>'A) Base RI'!A185</f>
        <v>5701</v>
      </c>
      <c r="B183" s="116" t="str">
        <f>'A) Base RI'!B185</f>
        <v>Arnex-sur-Nyon</v>
      </c>
      <c r="C183" s="127">
        <f>'B) D RI'!U185</f>
        <v>15270.610714285714</v>
      </c>
      <c r="D183" s="168">
        <f>'E) Fact soc'!G189/C183</f>
        <v>22.751084351810107</v>
      </c>
      <c r="E183" s="159">
        <f>'H) Péréquation directe'!I194/C183</f>
        <v>15.715436853586663</v>
      </c>
      <c r="F183" s="206">
        <f>+'I) Dépenses thématiques'!O183/C183</f>
        <v>0</v>
      </c>
      <c r="G183" s="168">
        <f>SUM(D183:F183)</f>
        <v>38.466521205396774</v>
      </c>
      <c r="H183" s="206">
        <f>G183-F183</f>
        <v>38.466521205396774</v>
      </c>
      <c r="I183" s="211">
        <f t="shared" si="15"/>
        <v>0</v>
      </c>
      <c r="J183" s="67">
        <f>-I183*C183</f>
        <v>0</v>
      </c>
    </row>
    <row r="184" spans="1:10" x14ac:dyDescent="0.25">
      <c r="A184" s="53">
        <f>'A) Base RI'!A186</f>
        <v>5702</v>
      </c>
      <c r="B184" s="116" t="str">
        <f>'A) Base RI'!B186</f>
        <v>Arzier-Le Muids</v>
      </c>
      <c r="C184" s="127">
        <f>'B) D RI'!U186</f>
        <v>153872.87421874999</v>
      </c>
      <c r="D184" s="168">
        <f>'E) Fact soc'!G190/C184</f>
        <v>18.881254888788188</v>
      </c>
      <c r="E184" s="159">
        <f>'H) Péréquation directe'!I195/C184</f>
        <v>13.974406080525871</v>
      </c>
      <c r="F184" s="206">
        <f>+'I) Dépenses thématiques'!O184/C184</f>
        <v>-1.445594486494999</v>
      </c>
      <c r="G184" s="168">
        <f t="shared" si="13"/>
        <v>31.410066482819058</v>
      </c>
      <c r="H184" s="206">
        <f t="shared" si="14"/>
        <v>32.855660969314059</v>
      </c>
      <c r="I184" s="211">
        <f t="shared" si="15"/>
        <v>0</v>
      </c>
      <c r="J184" s="67">
        <f t="shared" si="12"/>
        <v>0</v>
      </c>
    </row>
    <row r="185" spans="1:10" x14ac:dyDescent="0.25">
      <c r="A185" s="53">
        <f>'A) Base RI'!A187</f>
        <v>5703</v>
      </c>
      <c r="B185" s="116" t="str">
        <f>'A) Base RI'!B187</f>
        <v>Bassins</v>
      </c>
      <c r="C185" s="127">
        <f>'B) D RI'!U187</f>
        <v>52372.205915492945</v>
      </c>
      <c r="D185" s="168">
        <f>'E) Fact soc'!G191/C185</f>
        <v>16.676742620964038</v>
      </c>
      <c r="E185" s="159">
        <f>'H) Péréquation directe'!I196/C185</f>
        <v>12.536301608009342</v>
      </c>
      <c r="F185" s="206">
        <f>+'I) Dépenses thématiques'!O185/C185</f>
        <v>-3.7135366466610691</v>
      </c>
      <c r="G185" s="168">
        <f t="shared" si="13"/>
        <v>25.499507582312312</v>
      </c>
      <c r="H185" s="206">
        <f t="shared" si="14"/>
        <v>29.213044228973381</v>
      </c>
      <c r="I185" s="211">
        <f t="shared" si="15"/>
        <v>0</v>
      </c>
      <c r="J185" s="67">
        <f t="shared" si="12"/>
        <v>0</v>
      </c>
    </row>
    <row r="186" spans="1:10" x14ac:dyDescent="0.25">
      <c r="A186" s="53">
        <f>'A) Base RI'!A188</f>
        <v>5704</v>
      </c>
      <c r="B186" s="116" t="str">
        <f>'A) Base RI'!B188</f>
        <v>Begnins</v>
      </c>
      <c r="C186" s="127">
        <f>'B) D RI'!U188</f>
        <v>118306.82039800995</v>
      </c>
      <c r="D186" s="168">
        <f>'E) Fact soc'!G192/C186</f>
        <v>20.048126263897828</v>
      </c>
      <c r="E186" s="159">
        <f>'H) Péréquation directe'!I197/C186</f>
        <v>14.42683022923374</v>
      </c>
      <c r="F186" s="206">
        <f>+'I) Dépenses thématiques'!O186/C186</f>
        <v>0</v>
      </c>
      <c r="G186" s="168">
        <f t="shared" si="13"/>
        <v>34.474956493131572</v>
      </c>
      <c r="H186" s="206">
        <f t="shared" si="14"/>
        <v>34.474956493131572</v>
      </c>
      <c r="I186" s="211">
        <f t="shared" si="15"/>
        <v>0</v>
      </c>
      <c r="J186" s="67">
        <f t="shared" si="12"/>
        <v>0</v>
      </c>
    </row>
    <row r="187" spans="1:10" x14ac:dyDescent="0.25">
      <c r="A187" s="53">
        <f>'A) Base RI'!A189</f>
        <v>5705</v>
      </c>
      <c r="B187" s="116" t="str">
        <f>'A) Base RI'!B189</f>
        <v>Bogis-Bossey</v>
      </c>
      <c r="C187" s="127">
        <f>'B) D RI'!U189</f>
        <v>49610.676285714275</v>
      </c>
      <c r="D187" s="168">
        <f>'E) Fact soc'!G193/C187</f>
        <v>17.517134471025113</v>
      </c>
      <c r="E187" s="159">
        <f>'H) Péréquation directe'!I198/C187</f>
        <v>16.481330642177099</v>
      </c>
      <c r="F187" s="206">
        <f>+'I) Dépenses thématiques'!O187/C187</f>
        <v>0</v>
      </c>
      <c r="G187" s="168">
        <f t="shared" si="13"/>
        <v>33.998465113202215</v>
      </c>
      <c r="H187" s="206">
        <f t="shared" si="14"/>
        <v>33.998465113202215</v>
      </c>
      <c r="I187" s="211">
        <f t="shared" si="15"/>
        <v>0</v>
      </c>
      <c r="J187" s="67">
        <f t="shared" si="12"/>
        <v>0</v>
      </c>
    </row>
    <row r="188" spans="1:10" x14ac:dyDescent="0.25">
      <c r="A188" s="53">
        <f>'A) Base RI'!A190</f>
        <v>5706</v>
      </c>
      <c r="B188" s="116" t="str">
        <f>'A) Base RI'!B190</f>
        <v>Borex</v>
      </c>
      <c r="C188" s="127">
        <f>'B) D RI'!U190</f>
        <v>68211.153151515144</v>
      </c>
      <c r="D188" s="168">
        <f>'E) Fact soc'!G194/C188</f>
        <v>19.180905921507762</v>
      </c>
      <c r="E188" s="159">
        <f>'H) Péréquation directe'!I199/C188</f>
        <v>15.969485747638553</v>
      </c>
      <c r="F188" s="206">
        <f>+'I) Dépenses thématiques'!O188/C188</f>
        <v>0</v>
      </c>
      <c r="G188" s="168">
        <f t="shared" si="13"/>
        <v>35.150391669146316</v>
      </c>
      <c r="H188" s="206">
        <f t="shared" si="14"/>
        <v>35.150391669146316</v>
      </c>
      <c r="I188" s="211">
        <f t="shared" si="15"/>
        <v>0</v>
      </c>
      <c r="J188" s="67">
        <f t="shared" si="12"/>
        <v>0</v>
      </c>
    </row>
    <row r="189" spans="1:10" x14ac:dyDescent="0.25">
      <c r="A189" s="53">
        <f>'A) Base RI'!A191</f>
        <v>5707</v>
      </c>
      <c r="B189" s="116" t="str">
        <f>'A) Base RI'!B191</f>
        <v>Chavannes-de-Bogis</v>
      </c>
      <c r="C189" s="127">
        <f>'B) D RI'!U191</f>
        <v>101262.00960451979</v>
      </c>
      <c r="D189" s="168">
        <f>'E) Fact soc'!G195/C189</f>
        <v>25.075625464172749</v>
      </c>
      <c r="E189" s="159">
        <f>'H) Péréquation directe'!I200/C189</f>
        <v>14.275522971868753</v>
      </c>
      <c r="F189" s="206">
        <f>+'I) Dépenses thématiques'!O189/C189</f>
        <v>0</v>
      </c>
      <c r="G189" s="168">
        <f t="shared" si="13"/>
        <v>39.351148436041498</v>
      </c>
      <c r="H189" s="206">
        <f t="shared" si="14"/>
        <v>39.351148436041498</v>
      </c>
      <c r="I189" s="211">
        <f t="shared" si="15"/>
        <v>0</v>
      </c>
      <c r="J189" s="67">
        <f t="shared" si="12"/>
        <v>0</v>
      </c>
    </row>
    <row r="190" spans="1:10" x14ac:dyDescent="0.25">
      <c r="A190" s="53">
        <f>'A) Base RI'!A192</f>
        <v>5708</v>
      </c>
      <c r="B190" s="116" t="str">
        <f>'A) Base RI'!B192</f>
        <v>Chavannes-des-Bois</v>
      </c>
      <c r="C190" s="127">
        <f>'B) D RI'!U192</f>
        <v>66077.93781420766</v>
      </c>
      <c r="D190" s="168">
        <f>'E) Fact soc'!G196/C190</f>
        <v>21.935085817065861</v>
      </c>
      <c r="E190" s="159">
        <f>'H) Péréquation directe'!I201/C190</f>
        <v>15.248121066060364</v>
      </c>
      <c r="F190" s="206">
        <f>+'I) Dépenses thématiques'!O190/C190</f>
        <v>0</v>
      </c>
      <c r="G190" s="168">
        <f t="shared" si="13"/>
        <v>37.183206883126225</v>
      </c>
      <c r="H190" s="206">
        <f t="shared" si="14"/>
        <v>37.183206883126225</v>
      </c>
      <c r="I190" s="211">
        <f t="shared" si="15"/>
        <v>0</v>
      </c>
      <c r="J190" s="67">
        <f t="shared" si="12"/>
        <v>0</v>
      </c>
    </row>
    <row r="191" spans="1:10" x14ac:dyDescent="0.25">
      <c r="A191" s="53">
        <f>'A) Base RI'!A193</f>
        <v>5709</v>
      </c>
      <c r="B191" s="116" t="str">
        <f>'A) Base RI'!B193</f>
        <v>Chéserex</v>
      </c>
      <c r="C191" s="127">
        <f>'B) D RI'!U193</f>
        <v>141681.04461538463</v>
      </c>
      <c r="D191" s="168">
        <f>'E) Fact soc'!G197/C191</f>
        <v>28.72333286298807</v>
      </c>
      <c r="E191" s="159">
        <f>'H) Péréquation directe'!I202/C191</f>
        <v>12.780343262224891</v>
      </c>
      <c r="F191" s="206">
        <f>+'I) Dépenses thématiques'!O191/C191</f>
        <v>0</v>
      </c>
      <c r="G191" s="168">
        <f t="shared" si="13"/>
        <v>41.503676125212962</v>
      </c>
      <c r="H191" s="206">
        <f t="shared" si="14"/>
        <v>41.503676125212962</v>
      </c>
      <c r="I191" s="211">
        <f t="shared" si="15"/>
        <v>0</v>
      </c>
      <c r="J191" s="67">
        <f t="shared" si="12"/>
        <v>0</v>
      </c>
    </row>
    <row r="192" spans="1:10" x14ac:dyDescent="0.25">
      <c r="A192" s="53">
        <f>'A) Base RI'!A194</f>
        <v>5710</v>
      </c>
      <c r="B192" s="116" t="str">
        <f>'A) Base RI'!B194</f>
        <v>Coinsins</v>
      </c>
      <c r="C192" s="127">
        <f>'B) D RI'!U194</f>
        <v>77522.491219512216</v>
      </c>
      <c r="D192" s="168">
        <f>'E) Fact soc'!G198/C192</f>
        <v>24.330534855875484</v>
      </c>
      <c r="E192" s="159">
        <f>'H) Péréquation directe'!I203/C192</f>
        <v>11.619604016852398</v>
      </c>
      <c r="F192" s="206">
        <f>+'I) Dépenses thématiques'!O192/C192</f>
        <v>0</v>
      </c>
      <c r="G192" s="168">
        <f t="shared" si="13"/>
        <v>35.950138872727884</v>
      </c>
      <c r="H192" s="206">
        <f t="shared" si="14"/>
        <v>35.950138872727884</v>
      </c>
      <c r="I192" s="211">
        <f t="shared" si="15"/>
        <v>0</v>
      </c>
      <c r="J192" s="67">
        <f t="shared" si="12"/>
        <v>0</v>
      </c>
    </row>
    <row r="193" spans="1:10" x14ac:dyDescent="0.25">
      <c r="A193" s="53">
        <f>'A) Base RI'!A195</f>
        <v>5711</v>
      </c>
      <c r="B193" s="116" t="str">
        <f>'A) Base RI'!B195</f>
        <v>Commugny</v>
      </c>
      <c r="C193" s="127">
        <f>'B) D RI'!U195</f>
        <v>249621.80260458836</v>
      </c>
      <c r="D193" s="168">
        <f>'E) Fact soc'!G199/C193</f>
        <v>24.937061700113105</v>
      </c>
      <c r="E193" s="159">
        <f>'H) Péréquation directe'!I204/C193</f>
        <v>12.572841516498821</v>
      </c>
      <c r="F193" s="206">
        <f>+'I) Dépenses thématiques'!O193/C193</f>
        <v>0</v>
      </c>
      <c r="G193" s="168">
        <f t="shared" si="13"/>
        <v>37.509903216611924</v>
      </c>
      <c r="H193" s="206">
        <f t="shared" si="14"/>
        <v>37.509903216611924</v>
      </c>
      <c r="I193" s="211">
        <f t="shared" si="15"/>
        <v>0</v>
      </c>
      <c r="J193" s="67">
        <f t="shared" si="12"/>
        <v>0</v>
      </c>
    </row>
    <row r="194" spans="1:10" x14ac:dyDescent="0.25">
      <c r="A194" s="53">
        <f>'A) Base RI'!A196</f>
        <v>5712</v>
      </c>
      <c r="B194" s="116" t="str">
        <f>'A) Base RI'!B196</f>
        <v>Coppet</v>
      </c>
      <c r="C194" s="127">
        <f>'B) D RI'!U196</f>
        <v>316866.86955974839</v>
      </c>
      <c r="D194" s="168">
        <f>'E) Fact soc'!G200/C194</f>
        <v>27.122482628884864</v>
      </c>
      <c r="E194" s="159">
        <f>'H) Péréquation directe'!I205/C194</f>
        <v>12.038384569124139</v>
      </c>
      <c r="F194" s="206">
        <f>+'I) Dépenses thématiques'!O194/C194</f>
        <v>0</v>
      </c>
      <c r="G194" s="168">
        <f t="shared" si="13"/>
        <v>39.160867198009001</v>
      </c>
      <c r="H194" s="206">
        <f t="shared" si="14"/>
        <v>39.160867198009001</v>
      </c>
      <c r="I194" s="211">
        <f t="shared" si="15"/>
        <v>0</v>
      </c>
      <c r="J194" s="67">
        <f t="shared" si="12"/>
        <v>0</v>
      </c>
    </row>
    <row r="195" spans="1:10" x14ac:dyDescent="0.25">
      <c r="A195" s="53">
        <f>'A) Base RI'!A197</f>
        <v>5713</v>
      </c>
      <c r="B195" s="116" t="str">
        <f>'A) Base RI'!B197</f>
        <v>Crans-près-Céligny</v>
      </c>
      <c r="C195" s="127">
        <f>'B) D RI'!U197</f>
        <v>229285.72754716981</v>
      </c>
      <c r="D195" s="168">
        <f>'E) Fact soc'!G201/C195</f>
        <v>26.994001013161352</v>
      </c>
      <c r="E195" s="159">
        <f>'H) Péréquation directe'!I206/C195</f>
        <v>12.233990046046689</v>
      </c>
      <c r="F195" s="206">
        <f>+'I) Dépenses thématiques'!O195/C195</f>
        <v>-0.7748750274533962</v>
      </c>
      <c r="G195" s="168">
        <f t="shared" si="13"/>
        <v>38.453116031754639</v>
      </c>
      <c r="H195" s="206">
        <f t="shared" si="14"/>
        <v>39.227991059208037</v>
      </c>
      <c r="I195" s="211">
        <f t="shared" si="15"/>
        <v>0</v>
      </c>
      <c r="J195" s="67">
        <f t="shared" si="12"/>
        <v>0</v>
      </c>
    </row>
    <row r="196" spans="1:10" x14ac:dyDescent="0.25">
      <c r="A196" s="53">
        <f>'A) Base RI'!A198</f>
        <v>5714</v>
      </c>
      <c r="B196" s="116" t="str">
        <f>'A) Base RI'!B198</f>
        <v>Crassier</v>
      </c>
      <c r="C196" s="127">
        <f>'B) D RI'!U198</f>
        <v>82427.7421875</v>
      </c>
      <c r="D196" s="168">
        <f>'E) Fact soc'!G202/C196</f>
        <v>20.301286987079436</v>
      </c>
      <c r="E196" s="159">
        <f>'H) Péréquation directe'!I207/C196</f>
        <v>15.28426607964011</v>
      </c>
      <c r="F196" s="206">
        <f>+'I) Dépenses thématiques'!O196/C196</f>
        <v>0</v>
      </c>
      <c r="G196" s="168">
        <f t="shared" si="13"/>
        <v>35.585553066719548</v>
      </c>
      <c r="H196" s="206">
        <f t="shared" si="14"/>
        <v>35.585553066719548</v>
      </c>
      <c r="I196" s="211">
        <f t="shared" si="15"/>
        <v>0</v>
      </c>
      <c r="J196" s="67">
        <f t="shared" si="12"/>
        <v>0</v>
      </c>
    </row>
    <row r="197" spans="1:10" x14ac:dyDescent="0.25">
      <c r="A197" s="53">
        <f>'A) Base RI'!A199</f>
        <v>5715</v>
      </c>
      <c r="B197" s="116" t="str">
        <f>'A) Base RI'!B199</f>
        <v>Duillier</v>
      </c>
      <c r="C197" s="127">
        <f>'B) D RI'!U199</f>
        <v>64112.353030303027</v>
      </c>
      <c r="D197" s="168">
        <f>'E) Fact soc'!G203/C197</f>
        <v>19.426257557092747</v>
      </c>
      <c r="E197" s="159">
        <f>'H) Péréquation directe'!I208/C197</f>
        <v>16.203295379355229</v>
      </c>
      <c r="F197" s="206">
        <f>+'I) Dépenses thématiques'!O197/C197</f>
        <v>-4.2040753873958329E-2</v>
      </c>
      <c r="G197" s="168">
        <f t="shared" si="13"/>
        <v>35.587512182574024</v>
      </c>
      <c r="H197" s="206">
        <f t="shared" si="14"/>
        <v>35.629552936447979</v>
      </c>
      <c r="I197" s="211">
        <f t="shared" si="15"/>
        <v>0</v>
      </c>
      <c r="J197" s="67">
        <f t="shared" si="12"/>
        <v>0</v>
      </c>
    </row>
    <row r="198" spans="1:10" x14ac:dyDescent="0.25">
      <c r="A198" s="53">
        <f>'A) Base RI'!A200</f>
        <v>5716</v>
      </c>
      <c r="B198" s="116" t="str">
        <f>'A) Base RI'!B200</f>
        <v>Eysins</v>
      </c>
      <c r="C198" s="127">
        <f>'B) D RI'!U200</f>
        <v>93259.046229508182</v>
      </c>
      <c r="D198" s="168">
        <f>'E) Fact soc'!G204/C198</f>
        <v>24.565848377394055</v>
      </c>
      <c r="E198" s="159">
        <f>'H) Péréquation directe'!I209/C198</f>
        <v>14.992421910725358</v>
      </c>
      <c r="F198" s="206">
        <f>+'I) Dépenses thématiques'!O198/C198</f>
        <v>0</v>
      </c>
      <c r="G198" s="168">
        <f t="shared" si="13"/>
        <v>39.558270288119417</v>
      </c>
      <c r="H198" s="206">
        <f t="shared" si="14"/>
        <v>39.558270288119417</v>
      </c>
      <c r="I198" s="211">
        <f t="shared" si="15"/>
        <v>0</v>
      </c>
      <c r="J198" s="67">
        <f t="shared" si="12"/>
        <v>0</v>
      </c>
    </row>
    <row r="199" spans="1:10" x14ac:dyDescent="0.25">
      <c r="A199" s="53">
        <f>'A) Base RI'!A201</f>
        <v>5717</v>
      </c>
      <c r="B199" s="116" t="str">
        <f>'A) Base RI'!B201</f>
        <v>Founex</v>
      </c>
      <c r="C199" s="127">
        <f>'B) D RI'!U201</f>
        <v>359686.500877193</v>
      </c>
      <c r="D199" s="168">
        <f>'E) Fact soc'!G205/C199</f>
        <v>25.950511114486876</v>
      </c>
      <c r="E199" s="159">
        <f>'H) Péréquation directe'!I210/C199</f>
        <v>11.842473253197012</v>
      </c>
      <c r="F199" s="206">
        <f>+'I) Dépenses thématiques'!O199/C199</f>
        <v>0</v>
      </c>
      <c r="G199" s="168">
        <f t="shared" si="13"/>
        <v>37.792984367683886</v>
      </c>
      <c r="H199" s="206">
        <f t="shared" si="14"/>
        <v>37.792984367683886</v>
      </c>
      <c r="I199" s="211">
        <f t="shared" si="15"/>
        <v>0</v>
      </c>
      <c r="J199" s="67">
        <f t="shared" si="12"/>
        <v>0</v>
      </c>
    </row>
    <row r="200" spans="1:10" x14ac:dyDescent="0.25">
      <c r="A200" s="53">
        <f>'A) Base RI'!A202</f>
        <v>5718</v>
      </c>
      <c r="B200" s="116" t="str">
        <f>'A) Base RI'!B202</f>
        <v>Genolier</v>
      </c>
      <c r="C200" s="127">
        <f>'B) D RI'!U202</f>
        <v>194551.61054545455</v>
      </c>
      <c r="D200" s="168">
        <f>'E) Fact soc'!G206/C200</f>
        <v>26.184165874532841</v>
      </c>
      <c r="E200" s="159">
        <f>'H) Péréquation directe'!I211/C200</f>
        <v>12.679305170135757</v>
      </c>
      <c r="F200" s="206">
        <f>+'I) Dépenses thématiques'!O200/C200</f>
        <v>0</v>
      </c>
      <c r="G200" s="168">
        <f t="shared" si="13"/>
        <v>38.8634710446686</v>
      </c>
      <c r="H200" s="206">
        <f t="shared" si="14"/>
        <v>38.8634710446686</v>
      </c>
      <c r="I200" s="211">
        <f t="shared" si="15"/>
        <v>0</v>
      </c>
      <c r="J200" s="67">
        <f t="shared" si="12"/>
        <v>0</v>
      </c>
    </row>
    <row r="201" spans="1:10" x14ac:dyDescent="0.25">
      <c r="A201" s="53">
        <f>'A) Base RI'!A203</f>
        <v>5719</v>
      </c>
      <c r="B201" s="116" t="str">
        <f>'A) Base RI'!B203</f>
        <v>Gingins</v>
      </c>
      <c r="C201" s="127">
        <f>'B) D RI'!U203</f>
        <v>90011.711578947361</v>
      </c>
      <c r="D201" s="168">
        <f>'E) Fact soc'!G207/C201</f>
        <v>24.623645630425912</v>
      </c>
      <c r="E201" s="159">
        <f>'H) Péréquation directe'!I212/C201</f>
        <v>14.881721553699471</v>
      </c>
      <c r="F201" s="206">
        <f>+'I) Dépenses thématiques'!O201/C201</f>
        <v>0</v>
      </c>
      <c r="G201" s="168">
        <f t="shared" si="13"/>
        <v>39.505367184125383</v>
      </c>
      <c r="H201" s="206">
        <f t="shared" si="14"/>
        <v>39.505367184125383</v>
      </c>
      <c r="I201" s="211">
        <f t="shared" si="15"/>
        <v>0</v>
      </c>
      <c r="J201" s="67">
        <f t="shared" si="12"/>
        <v>0</v>
      </c>
    </row>
    <row r="202" spans="1:10" x14ac:dyDescent="0.25">
      <c r="A202" s="53">
        <f>'A) Base RI'!A204</f>
        <v>5720</v>
      </c>
      <c r="B202" s="116" t="str">
        <f>'A) Base RI'!B204</f>
        <v>Givrins</v>
      </c>
      <c r="C202" s="127">
        <f>'B) D RI'!U204</f>
        <v>73631.281876138426</v>
      </c>
      <c r="D202" s="168">
        <f>'E) Fact soc'!G208/C202</f>
        <v>20.771092535428629</v>
      </c>
      <c r="E202" s="159">
        <f>'H) Péréquation directe'!I213/C202</f>
        <v>15.539657476497094</v>
      </c>
      <c r="F202" s="206">
        <f>+'I) Dépenses thématiques'!O202/C202</f>
        <v>-0.16226692216092461</v>
      </c>
      <c r="G202" s="168">
        <f t="shared" si="13"/>
        <v>36.148483089764795</v>
      </c>
      <c r="H202" s="206">
        <f t="shared" si="14"/>
        <v>36.31075001192572</v>
      </c>
      <c r="I202" s="211">
        <f t="shared" si="15"/>
        <v>0</v>
      </c>
      <c r="J202" s="67">
        <f t="shared" si="12"/>
        <v>0</v>
      </c>
    </row>
    <row r="203" spans="1:10" x14ac:dyDescent="0.25">
      <c r="A203" s="53">
        <f>'A) Base RI'!A205</f>
        <v>5721</v>
      </c>
      <c r="B203" s="116" t="str">
        <f>'A) Base RI'!B205</f>
        <v>Gland</v>
      </c>
      <c r="C203" s="127">
        <f>'B) D RI'!U205</f>
        <v>541149.08192000003</v>
      </c>
      <c r="D203" s="168">
        <f>'E) Fact soc'!G209/C203</f>
        <v>16.03208174208174</v>
      </c>
      <c r="E203" s="159">
        <f>'H) Péréquation directe'!I214/C203</f>
        <v>4.0429659625964351</v>
      </c>
      <c r="F203" s="206">
        <f>+'I) Dépenses thématiques'!O203/C203</f>
        <v>0</v>
      </c>
      <c r="G203" s="168">
        <f t="shared" si="13"/>
        <v>20.075047704678177</v>
      </c>
      <c r="H203" s="206">
        <f t="shared" si="14"/>
        <v>20.075047704678177</v>
      </c>
      <c r="I203" s="211">
        <f t="shared" si="15"/>
        <v>0</v>
      </c>
      <c r="J203" s="67">
        <f t="shared" si="12"/>
        <v>0</v>
      </c>
    </row>
    <row r="204" spans="1:10" x14ac:dyDescent="0.25">
      <c r="A204" s="53">
        <f>'A) Base RI'!A206</f>
        <v>5722</v>
      </c>
      <c r="B204" s="116" t="str">
        <f>'A) Base RI'!B206</f>
        <v>Grens</v>
      </c>
      <c r="C204" s="127">
        <f>'B) D RI'!U206</f>
        <v>20499.342258064513</v>
      </c>
      <c r="D204" s="168">
        <f>'E) Fact soc'!G210/C204</f>
        <v>23.841780901567375</v>
      </c>
      <c r="E204" s="159">
        <f>'H) Péréquation directe'!I215/C204</f>
        <v>16.746045987603949</v>
      </c>
      <c r="F204" s="206">
        <f>+'I) Dépenses thématiques'!O204/C204</f>
        <v>0</v>
      </c>
      <c r="G204" s="168">
        <f t="shared" si="13"/>
        <v>40.587826889171325</v>
      </c>
      <c r="H204" s="206">
        <f t="shared" si="14"/>
        <v>40.587826889171325</v>
      </c>
      <c r="I204" s="211">
        <f t="shared" si="15"/>
        <v>0</v>
      </c>
      <c r="J204" s="67">
        <f t="shared" si="12"/>
        <v>0</v>
      </c>
    </row>
    <row r="205" spans="1:10" x14ac:dyDescent="0.25">
      <c r="A205" s="53">
        <f>'A) Base RI'!A207</f>
        <v>5723</v>
      </c>
      <c r="B205" s="116" t="str">
        <f>'A) Base RI'!B207</f>
        <v>Mies</v>
      </c>
      <c r="C205" s="127">
        <f>'B) D RI'!U207</f>
        <v>621558.82755102031</v>
      </c>
      <c r="D205" s="168">
        <f>'E) Fact soc'!G211/C205</f>
        <v>33.861602600220188</v>
      </c>
      <c r="E205" s="159">
        <f>'H) Péréquation directe'!I216/C205</f>
        <v>8.4169152474947104</v>
      </c>
      <c r="F205" s="206">
        <f>+'I) Dépenses thématiques'!O205/C205</f>
        <v>0</v>
      </c>
      <c r="G205" s="168">
        <f t="shared" si="13"/>
        <v>42.278517847714895</v>
      </c>
      <c r="H205" s="206">
        <f t="shared" si="14"/>
        <v>42.278517847714895</v>
      </c>
      <c r="I205" s="211">
        <f t="shared" si="15"/>
        <v>0</v>
      </c>
      <c r="J205" s="67">
        <f t="shared" si="12"/>
        <v>0</v>
      </c>
    </row>
    <row r="206" spans="1:10" x14ac:dyDescent="0.25">
      <c r="A206" s="53">
        <f>'A) Base RI'!A208</f>
        <v>5724</v>
      </c>
      <c r="B206" s="116" t="str">
        <f>'A) Base RI'!B208</f>
        <v>Nyon</v>
      </c>
      <c r="C206" s="127">
        <f>'B) D RI'!U208</f>
        <v>1418675.3806683479</v>
      </c>
      <c r="D206" s="168">
        <f>'E) Fact soc'!G212/C206</f>
        <v>22.051325004464434</v>
      </c>
      <c r="E206" s="159">
        <f>'H) Péréquation directe'!I217/C206</f>
        <v>6.6975024149944264</v>
      </c>
      <c r="F206" s="206">
        <f>+'I) Dépenses thématiques'!O206/C206</f>
        <v>-6.4502785524777145E-2</v>
      </c>
      <c r="G206" s="168">
        <f t="shared" si="13"/>
        <v>28.684324633934086</v>
      </c>
      <c r="H206" s="206">
        <f t="shared" si="14"/>
        <v>28.748827419458863</v>
      </c>
      <c r="I206" s="211">
        <f t="shared" si="15"/>
        <v>0</v>
      </c>
      <c r="J206" s="67">
        <f t="shared" si="12"/>
        <v>0</v>
      </c>
    </row>
    <row r="207" spans="1:10" x14ac:dyDescent="0.25">
      <c r="A207" s="53">
        <f>'A) Base RI'!A209</f>
        <v>5725</v>
      </c>
      <c r="B207" s="116" t="str">
        <f>'A) Base RI'!B209</f>
        <v>Prangins</v>
      </c>
      <c r="C207" s="127">
        <f>'B) D RI'!U209</f>
        <v>319840.55765306117</v>
      </c>
      <c r="D207" s="168">
        <f>'E) Fact soc'!G213/C207</f>
        <v>22.182721389812489</v>
      </c>
      <c r="E207" s="159">
        <f>'H) Péréquation directe'!I218/C207</f>
        <v>12.329072530102128</v>
      </c>
      <c r="F207" s="206">
        <f>+'I) Dépenses thématiques'!O207/C207</f>
        <v>0</v>
      </c>
      <c r="G207" s="168">
        <f t="shared" si="13"/>
        <v>34.511793919914616</v>
      </c>
      <c r="H207" s="206">
        <f t="shared" si="14"/>
        <v>34.511793919914616</v>
      </c>
      <c r="I207" s="211">
        <f t="shared" si="15"/>
        <v>0</v>
      </c>
      <c r="J207" s="67">
        <f t="shared" si="12"/>
        <v>0</v>
      </c>
    </row>
    <row r="208" spans="1:10" x14ac:dyDescent="0.25">
      <c r="A208" s="53">
        <f>'A) Base RI'!A210</f>
        <v>5726</v>
      </c>
      <c r="B208" s="116" t="str">
        <f>'A) Base RI'!B210</f>
        <v>La Rippe</v>
      </c>
      <c r="C208" s="127">
        <f>'B) D RI'!U210</f>
        <v>62420.845692307696</v>
      </c>
      <c r="D208" s="168">
        <f>'E) Fact soc'!G214/C208</f>
        <v>16.601817930969283</v>
      </c>
      <c r="E208" s="159">
        <f>'H) Péréquation directe'!I219/C208</f>
        <v>16.316386313951892</v>
      </c>
      <c r="F208" s="206">
        <f>+'I) Dépenses thématiques'!O208/C208</f>
        <v>-0.63424314783200797</v>
      </c>
      <c r="G208" s="168">
        <f t="shared" si="13"/>
        <v>32.283961097089161</v>
      </c>
      <c r="H208" s="206">
        <f t="shared" si="14"/>
        <v>32.918204244921171</v>
      </c>
      <c r="I208" s="211">
        <f t="shared" si="15"/>
        <v>0</v>
      </c>
      <c r="J208" s="67">
        <f t="shared" si="12"/>
        <v>0</v>
      </c>
    </row>
    <row r="209" spans="1:10" x14ac:dyDescent="0.25">
      <c r="A209" s="53">
        <f>'A) Base RI'!A211</f>
        <v>5727</v>
      </c>
      <c r="B209" s="116" t="str">
        <f>'A) Base RI'!B211</f>
        <v>Saint-Cergue</v>
      </c>
      <c r="C209" s="127">
        <f>'B) D RI'!U211</f>
        <v>94126.01979797981</v>
      </c>
      <c r="D209" s="168">
        <f>'E) Fact soc'!G215/C209</f>
        <v>18.539405181805538</v>
      </c>
      <c r="E209" s="159">
        <f>'H) Péréquation directe'!I220/C209</f>
        <v>9.2574152353374846</v>
      </c>
      <c r="F209" s="206">
        <f>+'I) Dépenses thématiques'!O209/C209</f>
        <v>-2.4629168345991617</v>
      </c>
      <c r="G209" s="168">
        <f t="shared" si="13"/>
        <v>25.333903582543861</v>
      </c>
      <c r="H209" s="206">
        <f t="shared" si="14"/>
        <v>27.796820417143024</v>
      </c>
      <c r="I209" s="211">
        <f t="shared" si="15"/>
        <v>0</v>
      </c>
      <c r="J209" s="67">
        <f t="shared" si="12"/>
        <v>0</v>
      </c>
    </row>
    <row r="210" spans="1:10" x14ac:dyDescent="0.25">
      <c r="A210" s="53">
        <f>'A) Base RI'!A212</f>
        <v>5728</v>
      </c>
      <c r="B210" s="116" t="str">
        <f>'A) Base RI'!B212</f>
        <v>Signy-Avenex</v>
      </c>
      <c r="C210" s="127">
        <f>'B) D RI'!U212</f>
        <v>33547.613749999997</v>
      </c>
      <c r="D210" s="168">
        <f>'E) Fact soc'!G216/C210</f>
        <v>23.478520239443217</v>
      </c>
      <c r="E210" s="159">
        <f>'H) Péréquation directe'!I221/C210</f>
        <v>16.125458316670532</v>
      </c>
      <c r="F210" s="206">
        <f>+'I) Dépenses thématiques'!O210/C210</f>
        <v>0</v>
      </c>
      <c r="G210" s="168">
        <f t="shared" si="13"/>
        <v>39.603978556113745</v>
      </c>
      <c r="H210" s="206">
        <f t="shared" si="14"/>
        <v>39.603978556113745</v>
      </c>
      <c r="I210" s="211">
        <f t="shared" si="15"/>
        <v>0</v>
      </c>
      <c r="J210" s="67">
        <f t="shared" si="12"/>
        <v>0</v>
      </c>
    </row>
    <row r="211" spans="1:10" x14ac:dyDescent="0.25">
      <c r="A211" s="53">
        <f>'A) Base RI'!A213</f>
        <v>5729</v>
      </c>
      <c r="B211" s="116" t="str">
        <f>'A) Base RI'!B213</f>
        <v>Tannay</v>
      </c>
      <c r="C211" s="127">
        <f>'B) D RI'!U213</f>
        <v>141635.67650273221</v>
      </c>
      <c r="D211" s="168">
        <f>'E) Fact soc'!G217/C211</f>
        <v>25.016010829736427</v>
      </c>
      <c r="E211" s="159">
        <f>'H) Péréquation directe'!I222/C211</f>
        <v>13.271273194364834</v>
      </c>
      <c r="F211" s="206">
        <f>+'I) Dépenses thématiques'!O211/C211</f>
        <v>0</v>
      </c>
      <c r="G211" s="168">
        <f t="shared" si="13"/>
        <v>38.287284024101261</v>
      </c>
      <c r="H211" s="206">
        <f t="shared" si="14"/>
        <v>38.287284024101261</v>
      </c>
      <c r="I211" s="211">
        <f t="shared" si="15"/>
        <v>0</v>
      </c>
      <c r="J211" s="67">
        <f t="shared" si="12"/>
        <v>0</v>
      </c>
    </row>
    <row r="212" spans="1:10" x14ac:dyDescent="0.25">
      <c r="A212" s="53">
        <f>'A) Base RI'!A214</f>
        <v>5730</v>
      </c>
      <c r="B212" s="116" t="str">
        <f>'A) Base RI'!B214</f>
        <v>Trélex</v>
      </c>
      <c r="C212" s="127">
        <f>'B) D RI'!U214</f>
        <v>125167.38524366473</v>
      </c>
      <c r="D212" s="168">
        <f>'E) Fact soc'!G218/C212</f>
        <v>22.48628217615142</v>
      </c>
      <c r="E212" s="159">
        <f>'H) Péréquation directe'!I223/C212</f>
        <v>13.7963558946653</v>
      </c>
      <c r="F212" s="206">
        <f>+'I) Dépenses thématiques'!O212/C212</f>
        <v>0</v>
      </c>
      <c r="G212" s="168">
        <f t="shared" si="13"/>
        <v>36.282638070816716</v>
      </c>
      <c r="H212" s="206">
        <f t="shared" si="14"/>
        <v>36.282638070816716</v>
      </c>
      <c r="I212" s="211">
        <f t="shared" si="15"/>
        <v>0</v>
      </c>
      <c r="J212" s="67">
        <f t="shared" si="12"/>
        <v>0</v>
      </c>
    </row>
    <row r="213" spans="1:10" x14ac:dyDescent="0.25">
      <c r="A213" s="53">
        <f>'A) Base RI'!A215</f>
        <v>5731</v>
      </c>
      <c r="B213" s="116" t="str">
        <f>'A) Base RI'!B215</f>
        <v>Le Vaud</v>
      </c>
      <c r="C213" s="127">
        <f>'B) D RI'!U215</f>
        <v>47266.974133333322</v>
      </c>
      <c r="D213" s="168">
        <f>'E) Fact soc'!G219/C213</f>
        <v>17.623898463312383</v>
      </c>
      <c r="E213" s="159">
        <f>'H) Péréquation directe'!I224/C213</f>
        <v>10.631132791437432</v>
      </c>
      <c r="F213" s="206">
        <f>+'I) Dépenses thématiques'!O213/C213</f>
        <v>-2.1816350330721379</v>
      </c>
      <c r="G213" s="168">
        <f t="shared" si="13"/>
        <v>26.07339622167768</v>
      </c>
      <c r="H213" s="206">
        <f t="shared" si="14"/>
        <v>28.255031254749817</v>
      </c>
      <c r="I213" s="211">
        <f t="shared" si="15"/>
        <v>0</v>
      </c>
      <c r="J213" s="67">
        <f t="shared" si="12"/>
        <v>0</v>
      </c>
    </row>
    <row r="214" spans="1:10" x14ac:dyDescent="0.25">
      <c r="A214" s="53">
        <f>'A) Base RI'!A216</f>
        <v>5732</v>
      </c>
      <c r="B214" s="116" t="str">
        <f>'A) Base RI'!B216</f>
        <v>Vich</v>
      </c>
      <c r="C214" s="127">
        <f>'B) D RI'!U216</f>
        <v>76343.818235294122</v>
      </c>
      <c r="D214" s="168">
        <f>'E) Fact soc'!G220/C214</f>
        <v>23.286693328248596</v>
      </c>
      <c r="E214" s="159">
        <f>'H) Péréquation directe'!I225/C214</f>
        <v>15.120103135201772</v>
      </c>
      <c r="F214" s="206">
        <f>+'I) Dépenses thématiques'!O214/C214</f>
        <v>0</v>
      </c>
      <c r="G214" s="168">
        <f t="shared" si="13"/>
        <v>38.40679646345037</v>
      </c>
      <c r="H214" s="206">
        <f t="shared" si="14"/>
        <v>38.40679646345037</v>
      </c>
      <c r="I214" s="211">
        <f t="shared" si="15"/>
        <v>0</v>
      </c>
      <c r="J214" s="67">
        <f t="shared" si="12"/>
        <v>0</v>
      </c>
    </row>
    <row r="215" spans="1:10" x14ac:dyDescent="0.25">
      <c r="A215" s="53">
        <f>'A) Base RI'!A217</f>
        <v>5741</v>
      </c>
      <c r="B215" s="116" t="str">
        <f>'A) Base RI'!B217</f>
        <v>L'Abergement</v>
      </c>
      <c r="C215" s="127">
        <f>'B) D RI'!U217</f>
        <v>6474.3855761316872</v>
      </c>
      <c r="D215" s="168">
        <f>'E) Fact soc'!G221/C215</f>
        <v>17.668027985849069</v>
      </c>
      <c r="E215" s="159">
        <f>'H) Péréquation directe'!I226/C215</f>
        <v>-1.7346830577049195</v>
      </c>
      <c r="F215" s="206">
        <f>+'I) Dépenses thématiques'!O215/C215</f>
        <v>-9.5586382704906327</v>
      </c>
      <c r="G215" s="168">
        <f t="shared" si="13"/>
        <v>6.3747066576535154</v>
      </c>
      <c r="H215" s="206">
        <f t="shared" si="14"/>
        <v>15.933344928144148</v>
      </c>
      <c r="I215" s="211">
        <f t="shared" si="15"/>
        <v>0</v>
      </c>
      <c r="J215" s="67">
        <f t="shared" si="12"/>
        <v>0</v>
      </c>
    </row>
    <row r="216" spans="1:10" x14ac:dyDescent="0.25">
      <c r="A216" s="53">
        <f>'A) Base RI'!A218</f>
        <v>5742</v>
      </c>
      <c r="B216" s="116" t="str">
        <f>'A) Base RI'!B218</f>
        <v>Agiez</v>
      </c>
      <c r="C216" s="127">
        <f>'B) D RI'!U218</f>
        <v>8406.0221052631568</v>
      </c>
      <c r="D216" s="168">
        <f>'E) Fact soc'!G222/C216</f>
        <v>20.389722503348324</v>
      </c>
      <c r="E216" s="159">
        <f>'H) Péréquation directe'!I227/C216</f>
        <v>2.7271328986293293</v>
      </c>
      <c r="F216" s="206">
        <f>+'I) Dépenses thématiques'!O216/C216</f>
        <v>-2.7232489048953514</v>
      </c>
      <c r="G216" s="168">
        <f t="shared" si="13"/>
        <v>20.393606497082303</v>
      </c>
      <c r="H216" s="206">
        <f t="shared" si="14"/>
        <v>23.116855401977652</v>
      </c>
      <c r="I216" s="211">
        <f t="shared" si="15"/>
        <v>0</v>
      </c>
      <c r="J216" s="67">
        <f t="shared" si="12"/>
        <v>0</v>
      </c>
    </row>
    <row r="217" spans="1:10" x14ac:dyDescent="0.25">
      <c r="A217" s="53">
        <f>'A) Base RI'!A219</f>
        <v>5743</v>
      </c>
      <c r="B217" s="116" t="str">
        <f>'A) Base RI'!B219</f>
        <v>Arnex-sur-Orbe</v>
      </c>
      <c r="C217" s="127">
        <f>'B) D RI'!U219</f>
        <v>16157.310890410963</v>
      </c>
      <c r="D217" s="168">
        <f>'E) Fact soc'!G223/C217</f>
        <v>16.062546068802046</v>
      </c>
      <c r="E217" s="159">
        <f>'H) Péréquation directe'!I228/C217</f>
        <v>-0.73366806325260536</v>
      </c>
      <c r="F217" s="206">
        <f>+'I) Dépenses thématiques'!O217/C217</f>
        <v>-6.2908109451000485</v>
      </c>
      <c r="G217" s="168">
        <f t="shared" si="13"/>
        <v>9.0380670604493929</v>
      </c>
      <c r="H217" s="206">
        <f t="shared" si="14"/>
        <v>15.328878005549441</v>
      </c>
      <c r="I217" s="211">
        <f t="shared" si="15"/>
        <v>0</v>
      </c>
      <c r="J217" s="67">
        <f t="shared" si="12"/>
        <v>0</v>
      </c>
    </row>
    <row r="218" spans="1:10" x14ac:dyDescent="0.25">
      <c r="A218" s="53">
        <f>'A) Base RI'!A220</f>
        <v>5744</v>
      </c>
      <c r="B218" s="116" t="str">
        <f>'A) Base RI'!B220</f>
        <v>Ballaigues</v>
      </c>
      <c r="C218" s="127">
        <f>'B) D RI'!U220</f>
        <v>67876.800151515155</v>
      </c>
      <c r="D218" s="168">
        <f>'E) Fact soc'!G224/C218</f>
        <v>23.399373615730418</v>
      </c>
      <c r="E218" s="159">
        <f>'H) Péréquation directe'!I229/C218</f>
        <v>15.990514755432297</v>
      </c>
      <c r="F218" s="206">
        <f>+'I) Dépenses thématiques'!O218/C218</f>
        <v>-4.2723728518895925</v>
      </c>
      <c r="G218" s="168">
        <f t="shared" si="13"/>
        <v>35.11751551927312</v>
      </c>
      <c r="H218" s="206">
        <f t="shared" si="14"/>
        <v>39.389888371162712</v>
      </c>
      <c r="I218" s="211">
        <f t="shared" si="15"/>
        <v>0</v>
      </c>
      <c r="J218" s="67">
        <f t="shared" si="12"/>
        <v>0</v>
      </c>
    </row>
    <row r="219" spans="1:10" x14ac:dyDescent="0.25">
      <c r="A219" s="53">
        <f>'A) Base RI'!A221</f>
        <v>5745</v>
      </c>
      <c r="B219" s="116" t="str">
        <f>'A) Base RI'!B221</f>
        <v>Baulmes</v>
      </c>
      <c r="C219" s="127">
        <f>'B) D RI'!U221</f>
        <v>26708.244230769233</v>
      </c>
      <c r="D219" s="168">
        <f>'E) Fact soc'!G225/C219</f>
        <v>17.780693128521907</v>
      </c>
      <c r="E219" s="159">
        <f>'H) Péréquation directe'!I230/C219</f>
        <v>-3.8795578847757599</v>
      </c>
      <c r="F219" s="206">
        <f>+'I) Dépenses thématiques'!O219/C219</f>
        <v>-12.507443990302388</v>
      </c>
      <c r="G219" s="168">
        <f t="shared" si="13"/>
        <v>1.3936912534437589</v>
      </c>
      <c r="H219" s="206">
        <f t="shared" si="14"/>
        <v>13.901135243746147</v>
      </c>
      <c r="I219" s="211">
        <f t="shared" si="15"/>
        <v>0</v>
      </c>
      <c r="J219" s="67">
        <f t="shared" si="12"/>
        <v>0</v>
      </c>
    </row>
    <row r="220" spans="1:10" x14ac:dyDescent="0.25">
      <c r="A220" s="53">
        <f>'A) Base RI'!A222</f>
        <v>5746</v>
      </c>
      <c r="B220" s="116" t="str">
        <f>'A) Base RI'!B222</f>
        <v>Bavois</v>
      </c>
      <c r="C220" s="127">
        <f>'B) D RI'!U222</f>
        <v>26575.73502283105</v>
      </c>
      <c r="D220" s="168">
        <f>'E) Fact soc'!G226/C220</f>
        <v>16.810511781884699</v>
      </c>
      <c r="E220" s="159">
        <f>'H) Péréquation directe'!I231/C220</f>
        <v>3.1914089854875201</v>
      </c>
      <c r="F220" s="206">
        <f>+'I) Dépenses thématiques'!O220/C220</f>
        <v>-7.9483730256317751</v>
      </c>
      <c r="G220" s="168">
        <f t="shared" si="13"/>
        <v>12.053547741740445</v>
      </c>
      <c r="H220" s="206">
        <f t="shared" si="14"/>
        <v>20.001920767372219</v>
      </c>
      <c r="I220" s="211">
        <f t="shared" si="15"/>
        <v>0</v>
      </c>
      <c r="J220" s="67">
        <f t="shared" si="12"/>
        <v>0</v>
      </c>
    </row>
    <row r="221" spans="1:10" x14ac:dyDescent="0.25">
      <c r="A221" s="53">
        <f>'A) Base RI'!A223</f>
        <v>5747</v>
      </c>
      <c r="B221" s="116" t="str">
        <f>'A) Base RI'!B223</f>
        <v>Bofflens</v>
      </c>
      <c r="C221" s="127">
        <f>'B) D RI'!U223</f>
        <v>5307.8250724637683</v>
      </c>
      <c r="D221" s="168">
        <f>'E) Fact soc'!G227/C221</f>
        <v>16.064695268826668</v>
      </c>
      <c r="E221" s="159">
        <f>'H) Péréquation directe'!I232/C221</f>
        <v>4.3770852728450445</v>
      </c>
      <c r="F221" s="206">
        <f>+'I) Dépenses thématiques'!O221/C221</f>
        <v>-1.4321524776063375</v>
      </c>
      <c r="G221" s="168">
        <f t="shared" si="13"/>
        <v>19.009628064065375</v>
      </c>
      <c r="H221" s="206">
        <f t="shared" si="14"/>
        <v>20.441780541671712</v>
      </c>
      <c r="I221" s="211">
        <f t="shared" si="15"/>
        <v>0</v>
      </c>
      <c r="J221" s="67">
        <f t="shared" si="12"/>
        <v>0</v>
      </c>
    </row>
    <row r="222" spans="1:10" x14ac:dyDescent="0.25">
      <c r="A222" s="53">
        <f>'A) Base RI'!A224</f>
        <v>5748</v>
      </c>
      <c r="B222" s="116" t="str">
        <f>'A) Base RI'!B224</f>
        <v>Bretonnières</v>
      </c>
      <c r="C222" s="127">
        <f>'B) D RI'!U224</f>
        <v>7260.9913888888877</v>
      </c>
      <c r="D222" s="168">
        <f>'E) Fact soc'!G228/C222</f>
        <v>18.385883542011157</v>
      </c>
      <c r="E222" s="159">
        <f>'H) Péréquation directe'!I233/C222</f>
        <v>3.3129971800980296</v>
      </c>
      <c r="F222" s="206">
        <f>+'I) Dépenses thématiques'!O222/C222</f>
        <v>-8.7330174043866045</v>
      </c>
      <c r="G222" s="168">
        <f t="shared" si="13"/>
        <v>12.965863317722583</v>
      </c>
      <c r="H222" s="206">
        <f t="shared" si="14"/>
        <v>21.698880722109188</v>
      </c>
      <c r="I222" s="211">
        <f t="shared" si="15"/>
        <v>0</v>
      </c>
      <c r="J222" s="67">
        <f t="shared" si="12"/>
        <v>0</v>
      </c>
    </row>
    <row r="223" spans="1:10" x14ac:dyDescent="0.25">
      <c r="A223" s="53">
        <f>'A) Base RI'!A225</f>
        <v>5749</v>
      </c>
      <c r="B223" s="116" t="str">
        <f>'A) Base RI'!B225</f>
        <v>Chavornay</v>
      </c>
      <c r="C223" s="127">
        <f>'B) D RI'!U225</f>
        <v>119889.98763888891</v>
      </c>
      <c r="D223" s="168">
        <f>'E) Fact soc'!G229/C223</f>
        <v>19.33852928602743</v>
      </c>
      <c r="E223" s="159">
        <f>'H) Péréquation directe'!I234/C223</f>
        <v>-5.3307875547345462</v>
      </c>
      <c r="F223" s="206">
        <f>+'I) Dépenses thématiques'!O223/C223</f>
        <v>-3.8919463134011614</v>
      </c>
      <c r="G223" s="168">
        <f t="shared" si="13"/>
        <v>10.115795417891723</v>
      </c>
      <c r="H223" s="206">
        <f t="shared" si="14"/>
        <v>14.007741731292885</v>
      </c>
      <c r="I223" s="211">
        <f t="shared" si="15"/>
        <v>0</v>
      </c>
      <c r="J223" s="67">
        <f t="shared" si="12"/>
        <v>0</v>
      </c>
    </row>
    <row r="224" spans="1:10" x14ac:dyDescent="0.25">
      <c r="A224" s="53">
        <f>'A) Base RI'!A226</f>
        <v>5750</v>
      </c>
      <c r="B224" s="116" t="str">
        <f>'A) Base RI'!B226</f>
        <v>Les Clées</v>
      </c>
      <c r="C224" s="127">
        <f>'B) D RI'!U226</f>
        <v>4790.0727916666665</v>
      </c>
      <c r="D224" s="168">
        <f>'E) Fact soc'!G230/C224</f>
        <v>17.016514169768389</v>
      </c>
      <c r="E224" s="159">
        <f>'H) Péréquation directe'!I235/C224</f>
        <v>-0.92594065468095654</v>
      </c>
      <c r="F224" s="206">
        <f>+'I) Dépenses thématiques'!O224/C224</f>
        <v>-9.2368878669710082</v>
      </c>
      <c r="G224" s="168">
        <f t="shared" si="13"/>
        <v>6.8536856481164232</v>
      </c>
      <c r="H224" s="206">
        <f t="shared" si="14"/>
        <v>16.090573515087431</v>
      </c>
      <c r="I224" s="211">
        <f t="shared" si="15"/>
        <v>0</v>
      </c>
      <c r="J224" s="67">
        <f t="shared" si="12"/>
        <v>0</v>
      </c>
    </row>
    <row r="225" spans="1:10" x14ac:dyDescent="0.25">
      <c r="A225" s="53">
        <f>'A) Base RI'!A227</f>
        <v>5751</v>
      </c>
      <c r="B225" s="116" t="str">
        <f>'A) Base RI'!B227</f>
        <v>Corcelles-sur-Chavornay</v>
      </c>
      <c r="C225" s="127">
        <f>'B) D RI'!U227</f>
        <v>8772.6488157894728</v>
      </c>
      <c r="D225" s="168">
        <f>'E) Fact soc'!G231/C225</f>
        <v>16.688354968032431</v>
      </c>
      <c r="E225" s="159">
        <f>'H) Péréquation directe'!I236/C225</f>
        <v>-3.4098837004845319</v>
      </c>
      <c r="F225" s="206">
        <f>+'I) Dépenses thématiques'!O225/C225</f>
        <v>-10.192688983119874</v>
      </c>
      <c r="G225" s="168">
        <f t="shared" si="13"/>
        <v>3.085782284428026</v>
      </c>
      <c r="H225" s="206">
        <f t="shared" si="14"/>
        <v>13.2784712675479</v>
      </c>
      <c r="I225" s="211">
        <f t="shared" si="15"/>
        <v>0</v>
      </c>
      <c r="J225" s="67">
        <f t="shared" si="12"/>
        <v>0</v>
      </c>
    </row>
    <row r="226" spans="1:10" x14ac:dyDescent="0.25">
      <c r="A226" s="53">
        <f>'A) Base RI'!A228</f>
        <v>5752</v>
      </c>
      <c r="B226" s="116" t="str">
        <f>'A) Base RI'!B228</f>
        <v>Croy</v>
      </c>
      <c r="C226" s="127">
        <f>'B) D RI'!U228</f>
        <v>9213.5061196911174</v>
      </c>
      <c r="D226" s="168">
        <f>'E) Fact soc'!G232/C226</f>
        <v>17.189974655470468</v>
      </c>
      <c r="E226" s="159">
        <f>'H) Péréquation directe'!I237/C226</f>
        <v>0.7326162235382041</v>
      </c>
      <c r="F226" s="206">
        <f>+'I) Dépenses thématiques'!O226/C226</f>
        <v>-42.616217156967963</v>
      </c>
      <c r="G226" s="168">
        <f t="shared" si="13"/>
        <v>-24.693626277959289</v>
      </c>
      <c r="H226" s="206">
        <f t="shared" si="14"/>
        <v>17.922590879008673</v>
      </c>
      <c r="I226" s="211">
        <f t="shared" si="15"/>
        <v>0</v>
      </c>
      <c r="J226" s="67">
        <f t="shared" ref="J226:J272" si="16">-I226*C226</f>
        <v>0</v>
      </c>
    </row>
    <row r="227" spans="1:10" x14ac:dyDescent="0.25">
      <c r="A227" s="53">
        <f>'A) Base RI'!A229</f>
        <v>5754</v>
      </c>
      <c r="B227" s="116" t="str">
        <f>'A) Base RI'!B229</f>
        <v>Juriens</v>
      </c>
      <c r="C227" s="127">
        <f>'B) D RI'!U229</f>
        <v>7202.565316455697</v>
      </c>
      <c r="D227" s="168">
        <f>'E) Fact soc'!G233/C227</f>
        <v>16.87222625100426</v>
      </c>
      <c r="E227" s="159">
        <f>'H) Péréquation directe'!I238/C227</f>
        <v>-6.7479345032450446</v>
      </c>
      <c r="F227" s="206">
        <f>+'I) Dépenses thématiques'!O227/C227</f>
        <v>-5.5404829898447332</v>
      </c>
      <c r="G227" s="168">
        <f t="shared" ref="G227:G273" si="17">SUM(D227:F227)</f>
        <v>4.5838087579144826</v>
      </c>
      <c r="H227" s="206">
        <f t="shared" ref="H227:H273" si="18">G227-F227</f>
        <v>10.124291747759216</v>
      </c>
      <c r="I227" s="211">
        <f t="shared" ref="I227:I273" si="19">IF(H227&lt;I$4,H227-I$4,0)</f>
        <v>0</v>
      </c>
      <c r="J227" s="67">
        <f t="shared" si="16"/>
        <v>0</v>
      </c>
    </row>
    <row r="228" spans="1:10" x14ac:dyDescent="0.25">
      <c r="A228" s="53">
        <f>'A) Base RI'!A230</f>
        <v>5755</v>
      </c>
      <c r="B228" s="116" t="str">
        <f>'A) Base RI'!B230</f>
        <v>Lignerolle</v>
      </c>
      <c r="C228" s="127">
        <f>'B) D RI'!U230</f>
        <v>9116.1979107142852</v>
      </c>
      <c r="D228" s="168">
        <f>'E) Fact soc'!G234/C228</f>
        <v>19.012327097936328</v>
      </c>
      <c r="E228" s="159">
        <f>'H) Péréquation directe'!I239/C228</f>
        <v>-10.349699215284454</v>
      </c>
      <c r="F228" s="206">
        <f>+'I) Dépenses thématiques'!O228/C228</f>
        <v>-19.71340902300286</v>
      </c>
      <c r="G228" s="168">
        <f t="shared" si="17"/>
        <v>-11.050781140350987</v>
      </c>
      <c r="H228" s="206">
        <f t="shared" si="18"/>
        <v>8.6626278826518739</v>
      </c>
      <c r="I228" s="211">
        <f t="shared" si="19"/>
        <v>0</v>
      </c>
      <c r="J228" s="67">
        <f t="shared" si="16"/>
        <v>0</v>
      </c>
    </row>
    <row r="229" spans="1:10" x14ac:dyDescent="0.25">
      <c r="A229" s="53">
        <f>'A) Base RI'!A231</f>
        <v>5756</v>
      </c>
      <c r="B229" s="116" t="str">
        <f>'A) Base RI'!B231</f>
        <v>Montcherand</v>
      </c>
      <c r="C229" s="127">
        <f>'B) D RI'!U231</f>
        <v>14643.939999999999</v>
      </c>
      <c r="D229" s="168">
        <f>'E) Fact soc'!G235/C229</f>
        <v>18.989797361574173</v>
      </c>
      <c r="E229" s="159">
        <f>'H) Péréquation directe'!I240/C229</f>
        <v>6.8610549663023397</v>
      </c>
      <c r="F229" s="206">
        <f>+'I) Dépenses thématiques'!O229/C229</f>
        <v>-3.200538290651556</v>
      </c>
      <c r="G229" s="168">
        <f t="shared" si="17"/>
        <v>22.650314037224959</v>
      </c>
      <c r="H229" s="206">
        <f t="shared" si="18"/>
        <v>25.850852327876517</v>
      </c>
      <c r="I229" s="211">
        <f t="shared" si="19"/>
        <v>0</v>
      </c>
      <c r="J229" s="67">
        <f t="shared" si="16"/>
        <v>0</v>
      </c>
    </row>
    <row r="230" spans="1:10" x14ac:dyDescent="0.25">
      <c r="A230" s="53">
        <f>'A) Base RI'!A232</f>
        <v>5757</v>
      </c>
      <c r="B230" s="116" t="str">
        <f>'A) Base RI'!B232</f>
        <v>Orbe</v>
      </c>
      <c r="C230" s="127">
        <f>'B) D RI'!U232</f>
        <v>219459.11337837842</v>
      </c>
      <c r="D230" s="168">
        <f>'E) Fact soc'!G236/C230</f>
        <v>19.40231672692051</v>
      </c>
      <c r="E230" s="159">
        <f>'H) Péréquation directe'!I241/C230</f>
        <v>-2.4310358335298594</v>
      </c>
      <c r="F230" s="206">
        <f>+'I) Dépenses thématiques'!O230/C230</f>
        <v>-6.2959074049874264</v>
      </c>
      <c r="G230" s="168">
        <f t="shared" si="17"/>
        <v>10.675373488403226</v>
      </c>
      <c r="H230" s="206">
        <f t="shared" si="18"/>
        <v>16.971280893390652</v>
      </c>
      <c r="I230" s="211">
        <f t="shared" si="19"/>
        <v>0</v>
      </c>
      <c r="J230" s="67">
        <f t="shared" si="16"/>
        <v>0</v>
      </c>
    </row>
    <row r="231" spans="1:10" x14ac:dyDescent="0.25">
      <c r="A231" s="53">
        <f>'A) Base RI'!A233</f>
        <v>5758</v>
      </c>
      <c r="B231" s="116" t="str">
        <f>'A) Base RI'!B233</f>
        <v>La Praz</v>
      </c>
      <c r="C231" s="127">
        <f>'B) D RI'!U233</f>
        <v>3792.6817536813919</v>
      </c>
      <c r="D231" s="168">
        <f>'E) Fact soc'!G237/C231</f>
        <v>16.202722059419081</v>
      </c>
      <c r="E231" s="159">
        <f>'H) Péréquation directe'!I242/C231</f>
        <v>-8.9375988806865863</v>
      </c>
      <c r="F231" s="206">
        <f>+'I) Dépenses thématiques'!O231/C231</f>
        <v>-5.2729437978237614</v>
      </c>
      <c r="G231" s="168">
        <f t="shared" si="17"/>
        <v>1.9921793809087331</v>
      </c>
      <c r="H231" s="206">
        <f t="shared" si="18"/>
        <v>7.2651231787324946</v>
      </c>
      <c r="I231" s="211">
        <f t="shared" si="19"/>
        <v>0</v>
      </c>
      <c r="J231" s="67">
        <f t="shared" si="16"/>
        <v>0</v>
      </c>
    </row>
    <row r="232" spans="1:10" x14ac:dyDescent="0.25">
      <c r="A232" s="53">
        <f>'A) Base RI'!A234</f>
        <v>5759</v>
      </c>
      <c r="B232" s="116" t="str">
        <f>'A) Base RI'!B234</f>
        <v>Premier</v>
      </c>
      <c r="C232" s="127">
        <f>'B) D RI'!U234</f>
        <v>4689.5245679012341</v>
      </c>
      <c r="D232" s="168">
        <f>'E) Fact soc'!G238/C232</f>
        <v>15.33556704555027</v>
      </c>
      <c r="E232" s="159">
        <f>'H) Péréquation directe'!I243/C232</f>
        <v>-7.6651420353037656</v>
      </c>
      <c r="F232" s="206">
        <f>+'I) Dépenses thématiques'!O232/C232</f>
        <v>-16.130669980609799</v>
      </c>
      <c r="G232" s="168">
        <f t="shared" si="17"/>
        <v>-8.4602449703632949</v>
      </c>
      <c r="H232" s="206">
        <f t="shared" si="18"/>
        <v>7.6704250102465039</v>
      </c>
      <c r="I232" s="211">
        <f t="shared" si="19"/>
        <v>0</v>
      </c>
      <c r="J232" s="67">
        <f t="shared" si="16"/>
        <v>0</v>
      </c>
    </row>
    <row r="233" spans="1:10" x14ac:dyDescent="0.25">
      <c r="A233" s="53">
        <f>'A) Base RI'!A235</f>
        <v>5760</v>
      </c>
      <c r="B233" s="116" t="str">
        <f>'A) Base RI'!B235</f>
        <v>Rances</v>
      </c>
      <c r="C233" s="127">
        <f>'B) D RI'!U235</f>
        <v>13227.609572649571</v>
      </c>
      <c r="D233" s="168">
        <f>'E) Fact soc'!G239/C233</f>
        <v>22.778590715456353</v>
      </c>
      <c r="E233" s="159">
        <f>'H) Péréquation directe'!I244/C233</f>
        <v>1.0094461720618457</v>
      </c>
      <c r="F233" s="206">
        <f>+'I) Dépenses thématiques'!O233/C233</f>
        <v>-8.2972834739173322</v>
      </c>
      <c r="G233" s="168">
        <f t="shared" si="17"/>
        <v>15.490753413600867</v>
      </c>
      <c r="H233" s="206">
        <f t="shared" si="18"/>
        <v>23.788036887518199</v>
      </c>
      <c r="I233" s="211">
        <f t="shared" si="19"/>
        <v>0</v>
      </c>
      <c r="J233" s="67">
        <f t="shared" si="16"/>
        <v>0</v>
      </c>
    </row>
    <row r="234" spans="1:10" x14ac:dyDescent="0.25">
      <c r="A234" s="53">
        <f>'A) Base RI'!A236</f>
        <v>5761</v>
      </c>
      <c r="B234" s="116" t="str">
        <f>'A) Base RI'!B236</f>
        <v>Romainmôtier-Envy</v>
      </c>
      <c r="C234" s="127">
        <f>'B) D RI'!U236</f>
        <v>12165.915592105261</v>
      </c>
      <c r="D234" s="168">
        <f>'E) Fact soc'!G240/C234</f>
        <v>20.750075323769195</v>
      </c>
      <c r="E234" s="159">
        <f>'H) Péréquation directe'!I245/C234</f>
        <v>-8.463978184456181</v>
      </c>
      <c r="F234" s="206">
        <f>+'I) Dépenses thématiques'!O234/C234</f>
        <v>-3.8895428188584869</v>
      </c>
      <c r="G234" s="168">
        <f t="shared" si="17"/>
        <v>8.396554320454527</v>
      </c>
      <c r="H234" s="206">
        <f t="shared" si="18"/>
        <v>12.286097139313014</v>
      </c>
      <c r="I234" s="211">
        <f t="shared" si="19"/>
        <v>0</v>
      </c>
      <c r="J234" s="67">
        <f t="shared" si="16"/>
        <v>0</v>
      </c>
    </row>
    <row r="235" spans="1:10" x14ac:dyDescent="0.25">
      <c r="A235" s="53">
        <f>'A) Base RI'!A237</f>
        <v>5762</v>
      </c>
      <c r="B235" s="116" t="str">
        <f>'A) Base RI'!B237</f>
        <v>Sergey</v>
      </c>
      <c r="C235" s="127">
        <f>'B) D RI'!U237</f>
        <v>3586.5485897435897</v>
      </c>
      <c r="D235" s="168">
        <f>'E) Fact soc'!G241/C235</f>
        <v>15.814969479006272</v>
      </c>
      <c r="E235" s="159">
        <f>'H) Péréquation directe'!I246/C235</f>
        <v>-2.8262123721327543</v>
      </c>
      <c r="F235" s="206">
        <f>+'I) Dépenses thématiques'!O235/C235</f>
        <v>-7.401619215734387</v>
      </c>
      <c r="G235" s="168">
        <f t="shared" si="17"/>
        <v>5.5871378911391307</v>
      </c>
      <c r="H235" s="206">
        <f t="shared" si="18"/>
        <v>12.988757106873518</v>
      </c>
      <c r="I235" s="211">
        <f t="shared" si="19"/>
        <v>0</v>
      </c>
      <c r="J235" s="67">
        <f t="shared" si="16"/>
        <v>0</v>
      </c>
    </row>
    <row r="236" spans="1:10" x14ac:dyDescent="0.25">
      <c r="A236" s="53">
        <f>'A) Base RI'!A238</f>
        <v>5763</v>
      </c>
      <c r="B236" s="116" t="str">
        <f>'A) Base RI'!B238</f>
        <v>Valeyres-sous-Rances</v>
      </c>
      <c r="C236" s="127">
        <f>'B) D RI'!U238</f>
        <v>16085.850769230768</v>
      </c>
      <c r="D236" s="168">
        <f>'E) Fact soc'!G242/C236</f>
        <v>17.763756307745226</v>
      </c>
      <c r="E236" s="159">
        <f>'H) Péréquation directe'!I247/C236</f>
        <v>2.7895053470178186</v>
      </c>
      <c r="F236" s="206">
        <f>+'I) Dépenses thématiques'!O236/C236</f>
        <v>-8.2377841476316842</v>
      </c>
      <c r="G236" s="168">
        <f t="shared" si="17"/>
        <v>12.31547750713136</v>
      </c>
      <c r="H236" s="206">
        <f t="shared" si="18"/>
        <v>20.553261654763045</v>
      </c>
      <c r="I236" s="211">
        <f t="shared" si="19"/>
        <v>0</v>
      </c>
      <c r="J236" s="67">
        <f t="shared" si="16"/>
        <v>0</v>
      </c>
    </row>
    <row r="237" spans="1:10" x14ac:dyDescent="0.25">
      <c r="A237" s="53">
        <f>'A) Base RI'!A239</f>
        <v>5764</v>
      </c>
      <c r="B237" s="116" t="str">
        <f>'A) Base RI'!B239</f>
        <v>Vallorbe</v>
      </c>
      <c r="C237" s="127">
        <f>'B) D RI'!U239</f>
        <v>84513.608378378369</v>
      </c>
      <c r="D237" s="168">
        <f>'E) Fact soc'!G243/C237</f>
        <v>24.799548983940962</v>
      </c>
      <c r="E237" s="159">
        <f>'H) Péréquation directe'!I248/C237</f>
        <v>-16.030845537185339</v>
      </c>
      <c r="F237" s="206">
        <f>+'I) Dépenses thématiques'!O237/C237</f>
        <v>-19.727976768724417</v>
      </c>
      <c r="G237" s="168">
        <f t="shared" si="17"/>
        <v>-10.959273321968794</v>
      </c>
      <c r="H237" s="206">
        <f t="shared" si="18"/>
        <v>8.7687034467556231</v>
      </c>
      <c r="I237" s="211">
        <f t="shared" si="19"/>
        <v>0</v>
      </c>
      <c r="J237" s="67">
        <f t="shared" si="16"/>
        <v>0</v>
      </c>
    </row>
    <row r="238" spans="1:10" x14ac:dyDescent="0.25">
      <c r="A238" s="53">
        <f>'A) Base RI'!A240</f>
        <v>5765</v>
      </c>
      <c r="B238" s="116" t="str">
        <f>'A) Base RI'!B240</f>
        <v>Vaulion</v>
      </c>
      <c r="C238" s="127">
        <f>'B) D RI'!U240</f>
        <v>10199.027160493826</v>
      </c>
      <c r="D238" s="168">
        <f>'E) Fact soc'!G244/C238</f>
        <v>16.586728853089689</v>
      </c>
      <c r="E238" s="159">
        <f>'H) Péréquation directe'!I249/C238</f>
        <v>-15.998066992525811</v>
      </c>
      <c r="F238" s="206">
        <f>+'I) Dépenses thématiques'!O238/C238</f>
        <v>-13.666589000929822</v>
      </c>
      <c r="G238" s="168">
        <f t="shared" si="17"/>
        <v>-13.077927140365944</v>
      </c>
      <c r="H238" s="206">
        <f t="shared" si="18"/>
        <v>0.58866186056387804</v>
      </c>
      <c r="I238" s="211">
        <f t="shared" si="19"/>
        <v>0</v>
      </c>
      <c r="J238" s="67">
        <f t="shared" si="16"/>
        <v>0</v>
      </c>
    </row>
    <row r="239" spans="1:10" x14ac:dyDescent="0.25">
      <c r="A239" s="53">
        <f>'A) Base RI'!A241</f>
        <v>5766</v>
      </c>
      <c r="B239" s="116" t="str">
        <f>'A) Base RI'!B241</f>
        <v>Vuiteboeuf</v>
      </c>
      <c r="C239" s="127">
        <f>'B) D RI'!U241</f>
        <v>13023.960575139146</v>
      </c>
      <c r="D239" s="168">
        <f>'E) Fact soc'!G245/C239</f>
        <v>16.840764789127675</v>
      </c>
      <c r="E239" s="159">
        <f>'H) Péréquation directe'!I250/C239</f>
        <v>-6.5596525150471026</v>
      </c>
      <c r="F239" s="206">
        <f>+'I) Dépenses thématiques'!O239/C239</f>
        <v>-7.9175588819552969</v>
      </c>
      <c r="G239" s="168">
        <f t="shared" si="17"/>
        <v>2.3635533921252767</v>
      </c>
      <c r="H239" s="206">
        <f t="shared" si="18"/>
        <v>10.281112274080574</v>
      </c>
      <c r="I239" s="211">
        <f t="shared" si="19"/>
        <v>0</v>
      </c>
      <c r="J239" s="67">
        <f t="shared" si="16"/>
        <v>0</v>
      </c>
    </row>
    <row r="240" spans="1:10" x14ac:dyDescent="0.25">
      <c r="A240" s="53">
        <f>'A) Base RI'!A242</f>
        <v>5782</v>
      </c>
      <c r="B240" s="116" t="str">
        <f>'A) Base RI'!B242</f>
        <v>Carrouge</v>
      </c>
      <c r="C240" s="127">
        <f>'B) D RI'!U242</f>
        <v>32585.638421052627</v>
      </c>
      <c r="D240" s="168">
        <f>'E) Fact soc'!G246/C240</f>
        <v>20.008522592704924</v>
      </c>
      <c r="E240" s="159">
        <f>'H) Péréquation directe'!I251/C240</f>
        <v>-2.9511099166482584</v>
      </c>
      <c r="F240" s="206">
        <f>+'I) Dépenses thématiques'!O240/C240</f>
        <v>-0.79028935644336951</v>
      </c>
      <c r="G240" s="168">
        <f t="shared" si="17"/>
        <v>16.267123319613294</v>
      </c>
      <c r="H240" s="206">
        <f t="shared" si="18"/>
        <v>17.057412676056664</v>
      </c>
      <c r="I240" s="211">
        <f t="shared" si="19"/>
        <v>0</v>
      </c>
      <c r="J240" s="67">
        <f t="shared" si="16"/>
        <v>0</v>
      </c>
    </row>
    <row r="241" spans="1:10" x14ac:dyDescent="0.25">
      <c r="A241" s="53">
        <f>'A) Base RI'!A243</f>
        <v>5785</v>
      </c>
      <c r="B241" s="116" t="str">
        <f>'A) Base RI'!B243</f>
        <v>Corcelles-le-Jorat</v>
      </c>
      <c r="C241" s="127">
        <f>'B) D RI'!U243</f>
        <v>12275.22831168831</v>
      </c>
      <c r="D241" s="168">
        <f>'E) Fact soc'!G247/C241</f>
        <v>16.273592584646515</v>
      </c>
      <c r="E241" s="159">
        <f>'H) Péréquation directe'!I252/C241</f>
        <v>2.6656559812703664</v>
      </c>
      <c r="F241" s="206">
        <f>+'I) Dépenses thématiques'!O241/C241</f>
        <v>-4.2160447183110614</v>
      </c>
      <c r="G241" s="168">
        <f t="shared" si="17"/>
        <v>14.72320384760582</v>
      </c>
      <c r="H241" s="206">
        <f t="shared" si="18"/>
        <v>18.939248565916881</v>
      </c>
      <c r="I241" s="211">
        <f t="shared" si="19"/>
        <v>0</v>
      </c>
      <c r="J241" s="67">
        <f t="shared" si="16"/>
        <v>0</v>
      </c>
    </row>
    <row r="242" spans="1:10" x14ac:dyDescent="0.25">
      <c r="A242" s="53">
        <f>'A) Base RI'!A244</f>
        <v>5788</v>
      </c>
      <c r="B242" s="116" t="str">
        <f>'A) Base RI'!B244</f>
        <v>Essertes</v>
      </c>
      <c r="C242" s="127">
        <f>'B) D RI'!U244</f>
        <v>9663.2152777777756</v>
      </c>
      <c r="D242" s="168">
        <f>'E) Fact soc'!G248/C242</f>
        <v>16.083700809218776</v>
      </c>
      <c r="E242" s="159">
        <f>'H) Péréquation directe'!I253/C242</f>
        <v>4.1882992531721719</v>
      </c>
      <c r="F242" s="206">
        <f>+'I) Dépenses thématiques'!O242/C242</f>
        <v>-0.28905814888905113</v>
      </c>
      <c r="G242" s="168">
        <f t="shared" si="17"/>
        <v>19.982941913501897</v>
      </c>
      <c r="H242" s="206">
        <f t="shared" si="18"/>
        <v>20.272000062390948</v>
      </c>
      <c r="I242" s="211">
        <f t="shared" si="19"/>
        <v>0</v>
      </c>
      <c r="J242" s="67">
        <f t="shared" si="16"/>
        <v>0</v>
      </c>
    </row>
    <row r="243" spans="1:10" x14ac:dyDescent="0.25">
      <c r="A243" s="53">
        <f>'A) Base RI'!A245</f>
        <v>5789</v>
      </c>
      <c r="B243" s="116" t="str">
        <f>'A) Base RI'!B245</f>
        <v>Ferlens</v>
      </c>
      <c r="C243" s="127">
        <f>'B) D RI'!U245</f>
        <v>9239.8459210526344</v>
      </c>
      <c r="D243" s="168">
        <f>'E) Fact soc'!G249/C243</f>
        <v>16.856156626270661</v>
      </c>
      <c r="E243" s="159">
        <f>'H) Péréquation directe'!I254/C243</f>
        <v>-0.64851100569918319</v>
      </c>
      <c r="F243" s="206">
        <f>+'I) Dépenses thématiques'!O243/C243</f>
        <v>-1.5874099278721119</v>
      </c>
      <c r="G243" s="168">
        <f t="shared" si="17"/>
        <v>14.620235692699364</v>
      </c>
      <c r="H243" s="206">
        <f t="shared" si="18"/>
        <v>16.207645620571476</v>
      </c>
      <c r="I243" s="211">
        <f t="shared" si="19"/>
        <v>0</v>
      </c>
      <c r="J243" s="67">
        <f t="shared" si="16"/>
        <v>0</v>
      </c>
    </row>
    <row r="244" spans="1:10" x14ac:dyDescent="0.25">
      <c r="A244" s="53">
        <f>'A) Base RI'!A246</f>
        <v>5790</v>
      </c>
      <c r="B244" s="116" t="str">
        <f>'A) Base RI'!B246</f>
        <v>Maracon</v>
      </c>
      <c r="C244" s="127">
        <f>'B) D RI'!U246</f>
        <v>12077.747368421051</v>
      </c>
      <c r="D244" s="168">
        <f>'E) Fact soc'!G250/C244</f>
        <v>17.160515220194149</v>
      </c>
      <c r="E244" s="159">
        <f>'H) Péréquation directe'!I255/C244</f>
        <v>0.13706245297658115</v>
      </c>
      <c r="F244" s="206">
        <f>+'I) Dépenses thématiques'!O244/C244</f>
        <v>-6.5940851800616942</v>
      </c>
      <c r="G244" s="168">
        <f t="shared" si="17"/>
        <v>10.703492493109039</v>
      </c>
      <c r="H244" s="206">
        <f t="shared" si="18"/>
        <v>17.297577673170732</v>
      </c>
      <c r="I244" s="211">
        <f t="shared" si="19"/>
        <v>0</v>
      </c>
      <c r="J244" s="67">
        <f t="shared" si="16"/>
        <v>0</v>
      </c>
    </row>
    <row r="245" spans="1:10" x14ac:dyDescent="0.25">
      <c r="A245" s="53">
        <f>'A) Base RI'!A247</f>
        <v>5791</v>
      </c>
      <c r="B245" s="116" t="str">
        <f>'A) Base RI'!B247</f>
        <v>Mézières</v>
      </c>
      <c r="C245" s="127">
        <f>'B) D RI'!U247</f>
        <v>47801.173157894729</v>
      </c>
      <c r="D245" s="168">
        <f>'E) Fact soc'!G251/C245</f>
        <v>17.259595556476246</v>
      </c>
      <c r="E245" s="159">
        <f>'H) Péréquation directe'!I256/C245</f>
        <v>12.099079864102496</v>
      </c>
      <c r="F245" s="206">
        <f>+'I) Dépenses thématiques'!O245/C245</f>
        <v>-4.8840249698351119</v>
      </c>
      <c r="G245" s="168">
        <f t="shared" si="17"/>
        <v>24.474650450743631</v>
      </c>
      <c r="H245" s="206">
        <f t="shared" si="18"/>
        <v>29.358675420578741</v>
      </c>
      <c r="I245" s="211">
        <f t="shared" si="19"/>
        <v>0</v>
      </c>
      <c r="J245" s="67">
        <f t="shared" si="16"/>
        <v>0</v>
      </c>
    </row>
    <row r="246" spans="1:10" x14ac:dyDescent="0.25">
      <c r="A246" s="53">
        <f>'A) Base RI'!A248</f>
        <v>5792</v>
      </c>
      <c r="B246" s="116" t="str">
        <f>'A) Base RI'!B248</f>
        <v>Montpreveyres</v>
      </c>
      <c r="C246" s="127">
        <f>'B) D RI'!U248</f>
        <v>15670.869999999999</v>
      </c>
      <c r="D246" s="168">
        <f>'E) Fact soc'!G252/C246</f>
        <v>18.964787127116765</v>
      </c>
      <c r="E246" s="159">
        <f>'H) Péréquation directe'!I257/C246</f>
        <v>-3.057406929072751</v>
      </c>
      <c r="F246" s="206">
        <f>+'I) Dépenses thématiques'!O246/C246</f>
        <v>-9.1179931045051461</v>
      </c>
      <c r="G246" s="168">
        <f t="shared" si="17"/>
        <v>6.7893870935388669</v>
      </c>
      <c r="H246" s="206">
        <f t="shared" si="18"/>
        <v>15.907380198044013</v>
      </c>
      <c r="I246" s="211">
        <f t="shared" si="19"/>
        <v>0</v>
      </c>
      <c r="J246" s="67">
        <f t="shared" si="16"/>
        <v>0</v>
      </c>
    </row>
    <row r="247" spans="1:10" x14ac:dyDescent="0.25">
      <c r="A247" s="53">
        <f>'A) Base RI'!A249</f>
        <v>5798</v>
      </c>
      <c r="B247" s="116" t="str">
        <f>'A) Base RI'!B249</f>
        <v>Ropraz</v>
      </c>
      <c r="C247" s="127">
        <f>'B) D RI'!U249</f>
        <v>10971.989935483871</v>
      </c>
      <c r="D247" s="168">
        <f>'E) Fact soc'!G253/C247</f>
        <v>16.589372866892468</v>
      </c>
      <c r="E247" s="159">
        <f>'H) Péréquation directe'!I258/C247</f>
        <v>-3.6262043268257971</v>
      </c>
      <c r="F247" s="206">
        <f>+'I) Dépenses thématiques'!O247/C247</f>
        <v>-6.627486035313864</v>
      </c>
      <c r="G247" s="168">
        <f t="shared" si="17"/>
        <v>6.3356825047528078</v>
      </c>
      <c r="H247" s="206">
        <f t="shared" si="18"/>
        <v>12.963168540066672</v>
      </c>
      <c r="I247" s="211">
        <f t="shared" si="19"/>
        <v>0</v>
      </c>
      <c r="J247" s="67">
        <f t="shared" si="16"/>
        <v>0</v>
      </c>
    </row>
    <row r="248" spans="1:10" x14ac:dyDescent="0.25">
      <c r="A248" s="53">
        <f>'A) Base RI'!A250</f>
        <v>5799</v>
      </c>
      <c r="B248" s="116" t="str">
        <f>'A) Base RI'!B250</f>
        <v>Servion</v>
      </c>
      <c r="C248" s="127">
        <f>'B) D RI'!U250</f>
        <v>60598.657971014502</v>
      </c>
      <c r="D248" s="168">
        <f>'E) Fact soc'!G254/C248</f>
        <v>16.738411655910554</v>
      </c>
      <c r="E248" s="159">
        <f>'H) Péréquation directe'!I259/C248</f>
        <v>4.1766463776023874</v>
      </c>
      <c r="F248" s="206">
        <f>+'I) Dépenses thématiques'!O248/C248</f>
        <v>-4.0634048823758269</v>
      </c>
      <c r="G248" s="168">
        <f t="shared" si="17"/>
        <v>16.851653151137114</v>
      </c>
      <c r="H248" s="206">
        <f t="shared" si="18"/>
        <v>20.915058033512942</v>
      </c>
      <c r="I248" s="211">
        <f t="shared" si="19"/>
        <v>0</v>
      </c>
      <c r="J248" s="67">
        <f t="shared" si="16"/>
        <v>0</v>
      </c>
    </row>
    <row r="249" spans="1:10" x14ac:dyDescent="0.25">
      <c r="A249" s="53">
        <f>'A) Base RI'!A251</f>
        <v>5803</v>
      </c>
      <c r="B249" s="116" t="str">
        <f>'A) Base RI'!B251</f>
        <v>Vulliens</v>
      </c>
      <c r="C249" s="127">
        <f>'B) D RI'!U251</f>
        <v>14215.08564102564</v>
      </c>
      <c r="D249" s="168">
        <f>'E) Fact soc'!G255/C249</f>
        <v>20.20031835337198</v>
      </c>
      <c r="E249" s="159">
        <f>'H) Péréquation directe'!I260/C249</f>
        <v>4.4941824497870844</v>
      </c>
      <c r="F249" s="206">
        <f>+'I) Dépenses thématiques'!O249/C249</f>
        <v>-5.0743070321780142</v>
      </c>
      <c r="G249" s="168">
        <f t="shared" si="17"/>
        <v>19.620193770981054</v>
      </c>
      <c r="H249" s="206">
        <f t="shared" si="18"/>
        <v>24.694500803159066</v>
      </c>
      <c r="I249" s="211">
        <f t="shared" si="19"/>
        <v>0</v>
      </c>
      <c r="J249" s="67">
        <f t="shared" si="16"/>
        <v>0</v>
      </c>
    </row>
    <row r="250" spans="1:10" x14ac:dyDescent="0.25">
      <c r="A250" s="53">
        <f>'A) Base RI'!A252</f>
        <v>5804</v>
      </c>
      <c r="B250" s="116" t="str">
        <f>'A) Base RI'!B252</f>
        <v>Jorat-Menthue</v>
      </c>
      <c r="C250" s="127">
        <f>'B) D RI'!U252</f>
        <v>48554.511111111118</v>
      </c>
      <c r="D250" s="168">
        <f>'E) Fact soc'!G256/C250</f>
        <v>16.042677705824666</v>
      </c>
      <c r="E250" s="159">
        <f>'H) Péréquation directe'!I261/C250</f>
        <v>4.3039635124047377</v>
      </c>
      <c r="F250" s="206">
        <f>+'I) Dépenses thématiques'!O250/C250</f>
        <v>-19.68285110350358</v>
      </c>
      <c r="G250" s="168">
        <f>SUM(D250:F250)</f>
        <v>0.66379011472582405</v>
      </c>
      <c r="H250" s="206">
        <f>G250-F250</f>
        <v>20.346641218229404</v>
      </c>
      <c r="I250" s="211">
        <f t="shared" si="19"/>
        <v>0</v>
      </c>
      <c r="J250" s="67">
        <f>-I250*C250</f>
        <v>0</v>
      </c>
    </row>
    <row r="251" spans="1:10" x14ac:dyDescent="0.25">
      <c r="A251" s="53">
        <f>'A) Base RI'!A253</f>
        <v>5805</v>
      </c>
      <c r="B251" s="116" t="str">
        <f>'A) Base RI'!B253</f>
        <v>Oron</v>
      </c>
      <c r="C251" s="127">
        <f>'B) D RI'!U253</f>
        <v>147104.2625559947</v>
      </c>
      <c r="D251" s="168">
        <f>'E) Fact soc'!G257/C251</f>
        <v>17.539814055035002</v>
      </c>
      <c r="E251" s="159">
        <f>'H) Péréquation directe'!I262/C251</f>
        <v>-6.8557936736687175</v>
      </c>
      <c r="F251" s="206">
        <f>+'I) Dépenses thématiques'!O251/C251</f>
        <v>-5.9259751065834809</v>
      </c>
      <c r="G251" s="168">
        <f>SUM(D251:F251)</f>
        <v>4.7580452747828037</v>
      </c>
      <c r="H251" s="206">
        <f>G251-F251</f>
        <v>10.684020381366285</v>
      </c>
      <c r="I251" s="211">
        <f t="shared" si="19"/>
        <v>0</v>
      </c>
      <c r="J251" s="67">
        <f>-I251*C251</f>
        <v>0</v>
      </c>
    </row>
    <row r="252" spans="1:10" x14ac:dyDescent="0.25">
      <c r="A252" s="53">
        <f>'A) Base RI'!A254</f>
        <v>5812</v>
      </c>
      <c r="B252" s="116" t="str">
        <f>'A) Base RI'!B254</f>
        <v>Champtauroz</v>
      </c>
      <c r="C252" s="127">
        <f>'B) D RI'!U254</f>
        <v>2326.5760389610391</v>
      </c>
      <c r="D252" s="168">
        <f>'E) Fact soc'!G258/C252</f>
        <v>18.837350437001792</v>
      </c>
      <c r="E252" s="159">
        <f>'H) Péréquation directe'!I263/C252</f>
        <v>-21.636650612474593</v>
      </c>
      <c r="F252" s="206">
        <f>+'I) Dépenses thématiques'!O252/C252</f>
        <v>-17.872437371041322</v>
      </c>
      <c r="G252" s="168">
        <f>SUM(D252:F252)</f>
        <v>-20.671737546514123</v>
      </c>
      <c r="H252" s="206">
        <f>G252-F252</f>
        <v>-2.7993001754728013</v>
      </c>
      <c r="I252" s="211">
        <f t="shared" si="19"/>
        <v>0</v>
      </c>
      <c r="J252" s="67">
        <f>-I252*C252</f>
        <v>0</v>
      </c>
    </row>
    <row r="253" spans="1:10" x14ac:dyDescent="0.25">
      <c r="A253" s="53">
        <f>'A) Base RI'!A255</f>
        <v>5813</v>
      </c>
      <c r="B253" s="116" t="str">
        <f>'A) Base RI'!B255</f>
        <v>Chevroux</v>
      </c>
      <c r="C253" s="127">
        <f>'B) D RI'!U255</f>
        <v>11503.329976190478</v>
      </c>
      <c r="D253" s="168">
        <f>'E) Fact soc'!G259/C253</f>
        <v>17.467514640957514</v>
      </c>
      <c r="E253" s="159">
        <f>'H) Péréquation directe'!I264/C253</f>
        <v>0.84001281678268513</v>
      </c>
      <c r="F253" s="206">
        <f>+'I) Dépenses thématiques'!O253/C253</f>
        <v>-3.1277560084765996</v>
      </c>
      <c r="G253" s="168">
        <f t="shared" si="17"/>
        <v>15.179771449263601</v>
      </c>
      <c r="H253" s="206">
        <f t="shared" si="18"/>
        <v>18.3075274577402</v>
      </c>
      <c r="I253" s="211">
        <f t="shared" si="19"/>
        <v>0</v>
      </c>
      <c r="J253" s="67">
        <f t="shared" si="16"/>
        <v>0</v>
      </c>
    </row>
    <row r="254" spans="1:10" x14ac:dyDescent="0.25">
      <c r="A254" s="53">
        <f>'A) Base RI'!A256</f>
        <v>5816</v>
      </c>
      <c r="B254" s="116" t="str">
        <f>'A) Base RI'!B256</f>
        <v>Corcelles-près-Payerne</v>
      </c>
      <c r="C254" s="127">
        <f>'B) D RI'!U256</f>
        <v>56641.066845238092</v>
      </c>
      <c r="D254" s="168">
        <f>'E) Fact soc'!G260/C254</f>
        <v>16.893693123526628</v>
      </c>
      <c r="E254" s="159">
        <f>'H) Péréquation directe'!I265/C254</f>
        <v>-9.5465881561478767</v>
      </c>
      <c r="F254" s="206">
        <f>+'I) Dépenses thématiques'!O254/C254</f>
        <v>-5.5265153388455106</v>
      </c>
      <c r="G254" s="168">
        <f t="shared" si="17"/>
        <v>1.8205896285332406</v>
      </c>
      <c r="H254" s="206">
        <f t="shared" si="18"/>
        <v>7.3471049673787512</v>
      </c>
      <c r="I254" s="211">
        <f t="shared" si="19"/>
        <v>0</v>
      </c>
      <c r="J254" s="67">
        <f t="shared" si="16"/>
        <v>0</v>
      </c>
    </row>
    <row r="255" spans="1:10" x14ac:dyDescent="0.25">
      <c r="A255" s="53">
        <f>'A) Base RI'!A257</f>
        <v>5817</v>
      </c>
      <c r="B255" s="116" t="str">
        <f>'A) Base RI'!B257</f>
        <v>Grandcour</v>
      </c>
      <c r="C255" s="127">
        <f>'B) D RI'!U257</f>
        <v>20990.550314465407</v>
      </c>
      <c r="D255" s="168">
        <f>'E) Fact soc'!G261/C255</f>
        <v>16.487093298795717</v>
      </c>
      <c r="E255" s="159">
        <f>'H) Péréquation directe'!I266/C255</f>
        <v>-7.2984678376853775</v>
      </c>
      <c r="F255" s="206">
        <f>+'I) Dépenses thématiques'!O255/C255</f>
        <v>-4.8346935859065248</v>
      </c>
      <c r="G255" s="168">
        <f t="shared" si="17"/>
        <v>4.3539318752038145</v>
      </c>
      <c r="H255" s="206">
        <f t="shared" si="18"/>
        <v>9.1886254611103393</v>
      </c>
      <c r="I255" s="211">
        <f t="shared" si="19"/>
        <v>0</v>
      </c>
      <c r="J255" s="67">
        <f t="shared" si="16"/>
        <v>0</v>
      </c>
    </row>
    <row r="256" spans="1:10" x14ac:dyDescent="0.25">
      <c r="A256" s="53">
        <f>'A) Base RI'!A258</f>
        <v>5819</v>
      </c>
      <c r="B256" s="116" t="str">
        <f>'A) Base RI'!B258</f>
        <v>Henniez</v>
      </c>
      <c r="C256" s="127">
        <f>'B) D RI'!U258</f>
        <v>14949.743880597016</v>
      </c>
      <c r="D256" s="168">
        <f>'E) Fact soc'!G262/C256</f>
        <v>16.268086390874046</v>
      </c>
      <c r="E256" s="159">
        <f>'H) Péréquation directe'!I267/C256</f>
        <v>16.330162282087215</v>
      </c>
      <c r="F256" s="206">
        <f>+'I) Dépenses thématiques'!O256/C256</f>
        <v>-1.9773113062528191</v>
      </c>
      <c r="G256" s="168">
        <f t="shared" si="17"/>
        <v>30.620937366708443</v>
      </c>
      <c r="H256" s="206">
        <f t="shared" si="18"/>
        <v>32.598248672961262</v>
      </c>
      <c r="I256" s="211">
        <f t="shared" si="19"/>
        <v>0</v>
      </c>
      <c r="J256" s="67">
        <f t="shared" si="16"/>
        <v>0</v>
      </c>
    </row>
    <row r="257" spans="1:10" x14ac:dyDescent="0.25">
      <c r="A257" s="53">
        <f>'A) Base RI'!A259</f>
        <v>5821</v>
      </c>
      <c r="B257" s="116" t="str">
        <f>'A) Base RI'!B259</f>
        <v>Missy</v>
      </c>
      <c r="C257" s="127">
        <f>'B) D RI'!U259</f>
        <v>7776.2584722222218</v>
      </c>
      <c r="D257" s="168">
        <f>'E) Fact soc'!G263/C257</f>
        <v>17.146099801801139</v>
      </c>
      <c r="E257" s="159">
        <f>'H) Péréquation directe'!I268/C257</f>
        <v>-7.7104336103210551</v>
      </c>
      <c r="F257" s="206">
        <f>+'I) Dépenses thématiques'!O257/C257</f>
        <v>-6.8779638218034442</v>
      </c>
      <c r="G257" s="168">
        <f t="shared" si="17"/>
        <v>2.5577023696766403</v>
      </c>
      <c r="H257" s="206">
        <f t="shared" si="18"/>
        <v>9.4356661914800846</v>
      </c>
      <c r="I257" s="211">
        <f t="shared" si="19"/>
        <v>0</v>
      </c>
      <c r="J257" s="67">
        <f t="shared" si="16"/>
        <v>0</v>
      </c>
    </row>
    <row r="258" spans="1:10" x14ac:dyDescent="0.25">
      <c r="A258" s="53">
        <f>'A) Base RI'!A260</f>
        <v>5822</v>
      </c>
      <c r="B258" s="116" t="str">
        <f>'A) Base RI'!B260</f>
        <v>Payerne</v>
      </c>
      <c r="C258" s="127">
        <f>'B) D RI'!U260</f>
        <v>231493.6713333333</v>
      </c>
      <c r="D258" s="168">
        <f>'E) Fact soc'!G264/C258</f>
        <v>20.04515781684432</v>
      </c>
      <c r="E258" s="159">
        <f>'H) Péréquation directe'!I269/C258</f>
        <v>-17.765313962952053</v>
      </c>
      <c r="F258" s="206">
        <f>+'I) Dépenses thématiques'!O258/C258</f>
        <v>-5.4228694074261732</v>
      </c>
      <c r="G258" s="168">
        <f t="shared" si="17"/>
        <v>-3.1430255535339064</v>
      </c>
      <c r="H258" s="206">
        <f t="shared" si="18"/>
        <v>2.2798438538922667</v>
      </c>
      <c r="I258" s="211">
        <f t="shared" si="19"/>
        <v>0</v>
      </c>
      <c r="J258" s="67">
        <f t="shared" si="16"/>
        <v>0</v>
      </c>
    </row>
    <row r="259" spans="1:10" x14ac:dyDescent="0.25">
      <c r="A259" s="53">
        <f>'A) Base RI'!A261</f>
        <v>5827</v>
      </c>
      <c r="B259" s="116" t="str">
        <f>'A) Base RI'!B261</f>
        <v>Trey</v>
      </c>
      <c r="C259" s="127">
        <f>'B) D RI'!U261</f>
        <v>6204.9173749999991</v>
      </c>
      <c r="D259" s="168">
        <f>'E) Fact soc'!G265/C259</f>
        <v>20.564181330969866</v>
      </c>
      <c r="E259" s="159">
        <f>'H) Péréquation directe'!I270/C259</f>
        <v>-7.2539321536479893</v>
      </c>
      <c r="F259" s="206">
        <f>+'I) Dépenses thématiques'!O259/C259</f>
        <v>-7.5619210850292724</v>
      </c>
      <c r="G259" s="168">
        <f t="shared" si="17"/>
        <v>5.7483280922926046</v>
      </c>
      <c r="H259" s="206">
        <f t="shared" si="18"/>
        <v>13.310249177321877</v>
      </c>
      <c r="I259" s="211">
        <f t="shared" si="19"/>
        <v>0</v>
      </c>
      <c r="J259" s="67">
        <f t="shared" si="16"/>
        <v>0</v>
      </c>
    </row>
    <row r="260" spans="1:10" x14ac:dyDescent="0.25">
      <c r="A260" s="53">
        <f>'A) Base RI'!A262</f>
        <v>5828</v>
      </c>
      <c r="B260" s="116" t="str">
        <f>'A) Base RI'!B262</f>
        <v>Treytorrens (Payerne)</v>
      </c>
      <c r="C260" s="127">
        <f>'B) D RI'!U262</f>
        <v>2352.5354761904764</v>
      </c>
      <c r="D260" s="168">
        <f>'E) Fact soc'!G266/C260</f>
        <v>16.853479618884844</v>
      </c>
      <c r="E260" s="159">
        <f>'H) Péréquation directe'!I271/C260</f>
        <v>-27.973035954722128</v>
      </c>
      <c r="F260" s="206">
        <f>+'I) Dépenses thématiques'!O260/C260</f>
        <v>-19.172107897745128</v>
      </c>
      <c r="G260" s="168">
        <f t="shared" si="17"/>
        <v>-30.291664233582413</v>
      </c>
      <c r="H260" s="206">
        <f t="shared" si="18"/>
        <v>-11.119556335837284</v>
      </c>
      <c r="I260" s="211">
        <f t="shared" si="19"/>
        <v>-5.6195563358372844</v>
      </c>
      <c r="J260" s="67">
        <f t="shared" si="16"/>
        <v>13220.205640508175</v>
      </c>
    </row>
    <row r="261" spans="1:10" x14ac:dyDescent="0.25">
      <c r="A261" s="53">
        <f>'A) Base RI'!A263</f>
        <v>5830</v>
      </c>
      <c r="B261" s="116" t="str">
        <f>'A) Base RI'!B263</f>
        <v>Villarzel</v>
      </c>
      <c r="C261" s="127">
        <f>'B) D RI'!U263</f>
        <v>9737.3892405063307</v>
      </c>
      <c r="D261" s="168">
        <f>'E) Fact soc'!G267/C261</f>
        <v>17.602316551807775</v>
      </c>
      <c r="E261" s="159">
        <f>'H) Péréquation directe'!I272/C261</f>
        <v>-8.6821953264039244</v>
      </c>
      <c r="F261" s="206">
        <f>+'I) Dépenses thématiques'!O261/C261</f>
        <v>-9.9582878843452427</v>
      </c>
      <c r="G261" s="168">
        <f t="shared" si="17"/>
        <v>-1.0381666589413925</v>
      </c>
      <c r="H261" s="206">
        <f t="shared" si="18"/>
        <v>8.9201212254038502</v>
      </c>
      <c r="I261" s="211">
        <f t="shared" si="19"/>
        <v>0</v>
      </c>
      <c r="J261" s="67">
        <f t="shared" si="16"/>
        <v>0</v>
      </c>
    </row>
    <row r="262" spans="1:10" x14ac:dyDescent="0.25">
      <c r="A262" s="53">
        <f>'A) Base RI'!A264</f>
        <v>5831</v>
      </c>
      <c r="B262" s="116" t="str">
        <f>'A) Base RI'!B264</f>
        <v>Valbroye</v>
      </c>
      <c r="C262" s="127">
        <f>'B) D RI'!U264</f>
        <v>75142.69210045661</v>
      </c>
      <c r="D262" s="168">
        <f>'E) Fact soc'!G268/C262</f>
        <v>16.932335496126441</v>
      </c>
      <c r="E262" s="159">
        <f>'H) Péréquation directe'!I273/C262</f>
        <v>-7.688732445393633</v>
      </c>
      <c r="F262" s="206">
        <f>+'I) Dépenses thématiques'!O262/C262</f>
        <v>-10.053059870613279</v>
      </c>
      <c r="G262" s="168">
        <f>SUM(D262:F262)</f>
        <v>-0.80945681988047014</v>
      </c>
      <c r="H262" s="206">
        <f>G262-F262</f>
        <v>9.2436030507328084</v>
      </c>
      <c r="I262" s="211">
        <f t="shared" si="19"/>
        <v>0</v>
      </c>
      <c r="J262" s="67">
        <f>-I262*C262</f>
        <v>0</v>
      </c>
    </row>
    <row r="263" spans="1:10" x14ac:dyDescent="0.25">
      <c r="A263" s="53">
        <f>'A) Base RI'!A265</f>
        <v>5841</v>
      </c>
      <c r="B263" s="116" t="str">
        <f>'A) Base RI'!B265</f>
        <v>Château-d'Oex</v>
      </c>
      <c r="C263" s="127">
        <f>'B) D RI'!U265</f>
        <v>106457.35927710844</v>
      </c>
      <c r="D263" s="168">
        <f>'E) Fact soc'!G269/C263</f>
        <v>20.149324780072007</v>
      </c>
      <c r="E263" s="159">
        <f>'H) Péréquation directe'!I274/C263</f>
        <v>-3.1777951046874127</v>
      </c>
      <c r="F263" s="206">
        <f>+'I) Dépenses thématiques'!O263/C263</f>
        <v>-17.623906362859255</v>
      </c>
      <c r="G263" s="168">
        <f>SUM(D263:F263)</f>
        <v>-0.6523766874746606</v>
      </c>
      <c r="H263" s="206">
        <f>G263-F263</f>
        <v>16.971529675384595</v>
      </c>
      <c r="I263" s="211">
        <f t="shared" si="19"/>
        <v>0</v>
      </c>
      <c r="J263" s="67">
        <f>-I263*C263</f>
        <v>0</v>
      </c>
    </row>
    <row r="264" spans="1:10" x14ac:dyDescent="0.25">
      <c r="A264" s="53">
        <f>'A) Base RI'!A266</f>
        <v>5842</v>
      </c>
      <c r="B264" s="116" t="str">
        <f>'A) Base RI'!B266</f>
        <v>Rossinière</v>
      </c>
      <c r="C264" s="127">
        <f>'B) D RI'!U266</f>
        <v>13519.399629629628</v>
      </c>
      <c r="D264" s="168">
        <f>'E) Fact soc'!G270/C264</f>
        <v>22.536486079705121</v>
      </c>
      <c r="E264" s="159">
        <f>'H) Péréquation directe'!I275/C264</f>
        <v>-5.8972541727426426</v>
      </c>
      <c r="F264" s="206">
        <f>+'I) Dépenses thématiques'!O264/C264</f>
        <v>-14.39868183386699</v>
      </c>
      <c r="G264" s="168">
        <f t="shared" si="17"/>
        <v>2.2405500730954895</v>
      </c>
      <c r="H264" s="206">
        <f t="shared" si="18"/>
        <v>16.639231906962479</v>
      </c>
      <c r="I264" s="211">
        <f t="shared" si="19"/>
        <v>0</v>
      </c>
      <c r="J264" s="67">
        <f t="shared" si="16"/>
        <v>0</v>
      </c>
    </row>
    <row r="265" spans="1:10" x14ac:dyDescent="0.25">
      <c r="A265" s="53">
        <f>'A) Base RI'!A267</f>
        <v>5843</v>
      </c>
      <c r="B265" s="116" t="str">
        <f>'A) Base RI'!B267</f>
        <v>Rougemont</v>
      </c>
      <c r="C265" s="127">
        <f>'B) D RI'!U267</f>
        <v>88213.430628019312</v>
      </c>
      <c r="D265" s="168">
        <f>'E) Fact soc'!G271/C265</f>
        <v>34.536345491677615</v>
      </c>
      <c r="E265" s="159">
        <f>'H) Péréquation directe'!I276/C265</f>
        <v>14.028566477455849</v>
      </c>
      <c r="F265" s="206">
        <f>+'I) Dépenses thématiques'!O265/C265</f>
        <v>-11.304307856762975</v>
      </c>
      <c r="G265" s="168">
        <f t="shared" si="17"/>
        <v>37.260604112370487</v>
      </c>
      <c r="H265" s="206">
        <f t="shared" si="18"/>
        <v>48.564911969133462</v>
      </c>
      <c r="I265" s="211">
        <f t="shared" si="19"/>
        <v>0</v>
      </c>
      <c r="J265" s="67">
        <f t="shared" si="16"/>
        <v>0</v>
      </c>
    </row>
    <row r="266" spans="1:10" x14ac:dyDescent="0.25">
      <c r="A266" s="53">
        <f>'A) Base RI'!A268</f>
        <v>5851</v>
      </c>
      <c r="B266" s="116" t="str">
        <f>'A) Base RI'!B268</f>
        <v>Allaman</v>
      </c>
      <c r="C266" s="127">
        <f>'B) D RI'!U268</f>
        <v>26900.629237536661</v>
      </c>
      <c r="D266" s="168">
        <f>'E) Fact soc'!G272/C266</f>
        <v>33.031219845568721</v>
      </c>
      <c r="E266" s="159">
        <f>'H) Péréquation directe'!I277/C266</f>
        <v>16.312684985483784</v>
      </c>
      <c r="F266" s="206">
        <f>+'I) Dépenses thématiques'!O266/C266</f>
        <v>0</v>
      </c>
      <c r="G266" s="168">
        <f t="shared" si="17"/>
        <v>49.343904831052505</v>
      </c>
      <c r="H266" s="206">
        <f t="shared" si="18"/>
        <v>49.343904831052505</v>
      </c>
      <c r="I266" s="211">
        <f t="shared" si="19"/>
        <v>0</v>
      </c>
      <c r="J266" s="67">
        <f t="shared" si="16"/>
        <v>0</v>
      </c>
    </row>
    <row r="267" spans="1:10" x14ac:dyDescent="0.25">
      <c r="A267" s="53">
        <f>'A) Base RI'!A269</f>
        <v>5852</v>
      </c>
      <c r="B267" s="116" t="str">
        <f>'A) Base RI'!B269</f>
        <v>Bursinel</v>
      </c>
      <c r="C267" s="127">
        <f>'B) D RI'!U269</f>
        <v>29922.291297709922</v>
      </c>
      <c r="D267" s="168">
        <f>'E) Fact soc'!G273/C267</f>
        <v>16.865699577435759</v>
      </c>
      <c r="E267" s="159">
        <f>'H) Péréquation directe'!I278/C267</f>
        <v>16.353983173377284</v>
      </c>
      <c r="F267" s="206">
        <f>+'I) Dépenses thématiques'!O267/C267</f>
        <v>-1.2013488215616073</v>
      </c>
      <c r="G267" s="168">
        <f t="shared" si="17"/>
        <v>32.018333929251433</v>
      </c>
      <c r="H267" s="206">
        <f t="shared" si="18"/>
        <v>33.219682750813043</v>
      </c>
      <c r="I267" s="211">
        <f t="shared" si="19"/>
        <v>0</v>
      </c>
      <c r="J267" s="67">
        <f t="shared" si="16"/>
        <v>0</v>
      </c>
    </row>
    <row r="268" spans="1:10" x14ac:dyDescent="0.25">
      <c r="A268" s="53">
        <f>'A) Base RI'!A270</f>
        <v>5853</v>
      </c>
      <c r="B268" s="116" t="str">
        <f>'A) Base RI'!B270</f>
        <v>Bursins</v>
      </c>
      <c r="C268" s="127">
        <f>'B) D RI'!U270</f>
        <v>40543.223380281692</v>
      </c>
      <c r="D268" s="168">
        <f>'E) Fact soc'!G274/C268</f>
        <v>19.362409838729409</v>
      </c>
      <c r="E268" s="159">
        <f>'H) Péréquation directe'!I279/C268</f>
        <v>16.696495611063728</v>
      </c>
      <c r="F268" s="206">
        <f>+'I) Dépenses thématiques'!O268/C268</f>
        <v>-0.79608689001820154</v>
      </c>
      <c r="G268" s="168">
        <f t="shared" si="17"/>
        <v>35.262818559774935</v>
      </c>
      <c r="H268" s="206">
        <f t="shared" si="18"/>
        <v>36.058905449793137</v>
      </c>
      <c r="I268" s="211">
        <f t="shared" si="19"/>
        <v>0</v>
      </c>
      <c r="J268" s="67">
        <f t="shared" si="16"/>
        <v>0</v>
      </c>
    </row>
    <row r="269" spans="1:10" x14ac:dyDescent="0.25">
      <c r="A269" s="53">
        <f>'A) Base RI'!A271</f>
        <v>5854</v>
      </c>
      <c r="B269" s="116" t="str">
        <f>'A) Base RI'!B271</f>
        <v>Burtigny</v>
      </c>
      <c r="C269" s="127">
        <f>'B) D RI'!U271</f>
        <v>10577.787833333332</v>
      </c>
      <c r="D269" s="168">
        <f>'E) Fact soc'!G275/C269</f>
        <v>17.228968669104265</v>
      </c>
      <c r="E269" s="159">
        <f>'H) Péréquation directe'!I280/C269</f>
        <v>2.5125552664983597</v>
      </c>
      <c r="F269" s="206">
        <f>+'I) Dépenses thématiques'!O269/C269</f>
        <v>-2.6442821497975992</v>
      </c>
      <c r="G269" s="168">
        <f t="shared" si="17"/>
        <v>17.097241785805025</v>
      </c>
      <c r="H269" s="206">
        <f t="shared" si="18"/>
        <v>19.741523935602626</v>
      </c>
      <c r="I269" s="211">
        <f t="shared" si="19"/>
        <v>0</v>
      </c>
      <c r="J269" s="67">
        <f t="shared" si="16"/>
        <v>0</v>
      </c>
    </row>
    <row r="270" spans="1:10" x14ac:dyDescent="0.25">
      <c r="A270" s="53">
        <f>'A) Base RI'!A272</f>
        <v>5855</v>
      </c>
      <c r="B270" s="116" t="str">
        <f>'A) Base RI'!B272</f>
        <v>Dully</v>
      </c>
      <c r="C270" s="127">
        <f>'B) D RI'!U272</f>
        <v>79387.772653061227</v>
      </c>
      <c r="D270" s="168">
        <f>'E) Fact soc'!G276/C270</f>
        <v>29.685886229580714</v>
      </c>
      <c r="E270" s="159">
        <f>'H) Péréquation directe'!I281/C270</f>
        <v>12.788840598916329</v>
      </c>
      <c r="F270" s="206">
        <f>+'I) Dépenses thématiques'!O270/C270</f>
        <v>0</v>
      </c>
      <c r="G270" s="168">
        <f t="shared" si="17"/>
        <v>42.47472682849704</v>
      </c>
      <c r="H270" s="206">
        <f t="shared" si="18"/>
        <v>42.47472682849704</v>
      </c>
      <c r="I270" s="211">
        <f t="shared" si="19"/>
        <v>0</v>
      </c>
      <c r="J270" s="67">
        <f t="shared" si="16"/>
        <v>0</v>
      </c>
    </row>
    <row r="271" spans="1:10" x14ac:dyDescent="0.25">
      <c r="A271" s="53">
        <f>'A) Base RI'!A273</f>
        <v>5856</v>
      </c>
      <c r="B271" s="116" t="str">
        <f>'A) Base RI'!B273</f>
        <v>Essertines-sur-Rolle</v>
      </c>
      <c r="C271" s="127">
        <f>'B) D RI'!U273</f>
        <v>31862.802285067875</v>
      </c>
      <c r="D271" s="168">
        <f>'E) Fact soc'!G277/C271</f>
        <v>16.466461039579038</v>
      </c>
      <c r="E271" s="159">
        <f>'H) Péréquation directe'!I282/C271</f>
        <v>16.40872145234005</v>
      </c>
      <c r="F271" s="206">
        <f>+'I) Dépenses thématiques'!O271/C271</f>
        <v>0</v>
      </c>
      <c r="G271" s="168">
        <f t="shared" si="17"/>
        <v>32.875182491919091</v>
      </c>
      <c r="H271" s="206">
        <f t="shared" si="18"/>
        <v>32.875182491919091</v>
      </c>
      <c r="I271" s="211">
        <f t="shared" si="19"/>
        <v>0</v>
      </c>
      <c r="J271" s="67">
        <f t="shared" si="16"/>
        <v>0</v>
      </c>
    </row>
    <row r="272" spans="1:10" x14ac:dyDescent="0.25">
      <c r="A272" s="53">
        <f>'A) Base RI'!A274</f>
        <v>5857</v>
      </c>
      <c r="B272" s="116" t="str">
        <f>'A) Base RI'!B274</f>
        <v>Gilly</v>
      </c>
      <c r="C272" s="127">
        <f>'B) D RI'!U274</f>
        <v>62540.44560606061</v>
      </c>
      <c r="D272" s="168">
        <f>'E) Fact soc'!G278/C272</f>
        <v>22.89367267578038</v>
      </c>
      <c r="E272" s="159">
        <f>'H) Péréquation directe'!I283/C272</f>
        <v>15.713744254325741</v>
      </c>
      <c r="F272" s="206">
        <f>+'I) Dépenses thématiques'!O272/C272</f>
        <v>0</v>
      </c>
      <c r="G272" s="168">
        <f t="shared" si="17"/>
        <v>38.607416930106119</v>
      </c>
      <c r="H272" s="206">
        <f t="shared" si="18"/>
        <v>38.607416930106119</v>
      </c>
      <c r="I272" s="211">
        <f t="shared" si="19"/>
        <v>0</v>
      </c>
      <c r="J272" s="67">
        <f t="shared" si="16"/>
        <v>0</v>
      </c>
    </row>
    <row r="273" spans="1:10" x14ac:dyDescent="0.25">
      <c r="A273" s="53">
        <f>'A) Base RI'!A275</f>
        <v>5858</v>
      </c>
      <c r="B273" s="116" t="str">
        <f>'A) Base RI'!B275</f>
        <v>Luins</v>
      </c>
      <c r="C273" s="127">
        <f>'B) D RI'!U275</f>
        <v>35045.301944444444</v>
      </c>
      <c r="D273" s="168">
        <f>'E) Fact soc'!G279/C273</f>
        <v>14.689777807603372</v>
      </c>
      <c r="E273" s="159">
        <f>'H) Péréquation directe'!I284/C273</f>
        <v>16.80093924559554</v>
      </c>
      <c r="F273" s="206">
        <f>+'I) Dépenses thématiques'!O273/C273</f>
        <v>0</v>
      </c>
      <c r="G273" s="168">
        <f t="shared" si="17"/>
        <v>31.490717053198914</v>
      </c>
      <c r="H273" s="206">
        <f t="shared" si="18"/>
        <v>31.490717053198914</v>
      </c>
      <c r="I273" s="211">
        <f t="shared" si="19"/>
        <v>0</v>
      </c>
      <c r="J273" s="67">
        <f t="shared" ref="J273:J322" si="20">-I273*C273</f>
        <v>0</v>
      </c>
    </row>
    <row r="274" spans="1:10" x14ac:dyDescent="0.25">
      <c r="A274" s="53">
        <f>'A) Base RI'!A276</f>
        <v>5859</v>
      </c>
      <c r="B274" s="116" t="str">
        <f>'A) Base RI'!B276</f>
        <v>Mont-sur-Rolle</v>
      </c>
      <c r="C274" s="127">
        <f>'B) D RI'!U276</f>
        <v>130430.38093750003</v>
      </c>
      <c r="D274" s="168">
        <f>'E) Fact soc'!G280/C274</f>
        <v>17.354396162535551</v>
      </c>
      <c r="E274" s="159">
        <f>'H) Péréquation directe'!I285/C274</f>
        <v>13.41158830003711</v>
      </c>
      <c r="F274" s="206">
        <f>+'I) Dépenses thématiques'!O274/C274</f>
        <v>0</v>
      </c>
      <c r="G274" s="168">
        <f t="shared" ref="G274:G322" si="21">SUM(D274:F274)</f>
        <v>30.765984462572661</v>
      </c>
      <c r="H274" s="206">
        <f t="shared" ref="H274:H323" si="22">G274-F274</f>
        <v>30.765984462572661</v>
      </c>
      <c r="I274" s="211">
        <f t="shared" ref="I274:I322" si="23">IF(H274&lt;I$4,H274-I$4,0)</f>
        <v>0</v>
      </c>
      <c r="J274" s="67">
        <f t="shared" si="20"/>
        <v>0</v>
      </c>
    </row>
    <row r="275" spans="1:10" x14ac:dyDescent="0.25">
      <c r="A275" s="53">
        <f>'A) Base RI'!A277</f>
        <v>5860</v>
      </c>
      <c r="B275" s="116" t="str">
        <f>'A) Base RI'!B277</f>
        <v>Perroy</v>
      </c>
      <c r="C275" s="127">
        <f>'B) D RI'!U277</f>
        <v>92749.778038461533</v>
      </c>
      <c r="D275" s="168">
        <f>'E) Fact soc'!G281/C275</f>
        <v>19.338105184029459</v>
      </c>
      <c r="E275" s="159">
        <f>'H) Péréquation directe'!I286/C275</f>
        <v>15.000244639725508</v>
      </c>
      <c r="F275" s="206">
        <f>+'I) Dépenses thématiques'!O275/C275</f>
        <v>0</v>
      </c>
      <c r="G275" s="168">
        <f t="shared" si="21"/>
        <v>34.338349823754967</v>
      </c>
      <c r="H275" s="206">
        <f t="shared" si="22"/>
        <v>34.338349823754967</v>
      </c>
      <c r="I275" s="211">
        <f t="shared" si="23"/>
        <v>0</v>
      </c>
      <c r="J275" s="67">
        <f t="shared" si="20"/>
        <v>0</v>
      </c>
    </row>
    <row r="276" spans="1:10" x14ac:dyDescent="0.25">
      <c r="A276" s="53">
        <f>'A) Base RI'!A278</f>
        <v>5861</v>
      </c>
      <c r="B276" s="116" t="str">
        <f>'A) Base RI'!B278</f>
        <v>Rolle</v>
      </c>
      <c r="C276" s="127">
        <f>'B) D RI'!U278</f>
        <v>834788.40991596645</v>
      </c>
      <c r="D276" s="168">
        <f>'E) Fact soc'!G282/C276</f>
        <v>28.893316216280436</v>
      </c>
      <c r="E276" s="159">
        <f>'H) Péréquation directe'!I287/C276</f>
        <v>10.22200436986787</v>
      </c>
      <c r="F276" s="206">
        <f>+'I) Dépenses thématiques'!O276/C276</f>
        <v>0</v>
      </c>
      <c r="G276" s="168">
        <f t="shared" si="21"/>
        <v>39.115320586148307</v>
      </c>
      <c r="H276" s="206">
        <f t="shared" si="22"/>
        <v>39.115320586148307</v>
      </c>
      <c r="I276" s="211">
        <f t="shared" si="23"/>
        <v>0</v>
      </c>
      <c r="J276" s="67">
        <f t="shared" si="20"/>
        <v>0</v>
      </c>
    </row>
    <row r="277" spans="1:10" x14ac:dyDescent="0.25">
      <c r="A277" s="53">
        <f>'A) Base RI'!A279</f>
        <v>5862</v>
      </c>
      <c r="B277" s="116" t="str">
        <f>'A) Base RI'!B279</f>
        <v>Tartegnin</v>
      </c>
      <c r="C277" s="127">
        <f>'B) D RI'!U279</f>
        <v>8301.4215873015874</v>
      </c>
      <c r="D277" s="168">
        <f>'E) Fact soc'!G283/C277</f>
        <v>17.975246021368626</v>
      </c>
      <c r="E277" s="159">
        <f>'H) Péréquation directe'!I288/C277</f>
        <v>8.6057205873810556</v>
      </c>
      <c r="F277" s="206">
        <f>+'I) Dépenses thématiques'!O277/C277</f>
        <v>0</v>
      </c>
      <c r="G277" s="168">
        <f t="shared" si="21"/>
        <v>26.580966608749684</v>
      </c>
      <c r="H277" s="206">
        <f t="shared" si="22"/>
        <v>26.580966608749684</v>
      </c>
      <c r="I277" s="211">
        <f t="shared" si="23"/>
        <v>0</v>
      </c>
      <c r="J277" s="67">
        <f t="shared" si="20"/>
        <v>0</v>
      </c>
    </row>
    <row r="278" spans="1:10" x14ac:dyDescent="0.25">
      <c r="A278" s="53">
        <f>'A) Base RI'!A280</f>
        <v>5863</v>
      </c>
      <c r="B278" s="116" t="str">
        <f>'A) Base RI'!B280</f>
        <v>Vinzel</v>
      </c>
      <c r="C278" s="127">
        <f>'B) D RI'!U280</f>
        <v>24528.370999999999</v>
      </c>
      <c r="D278" s="168">
        <f>'E) Fact soc'!G284/C278</f>
        <v>19.102546824596008</v>
      </c>
      <c r="E278" s="159">
        <f>'H) Péréquation directe'!I289/C278</f>
        <v>15.840910998323388</v>
      </c>
      <c r="F278" s="206">
        <f>+'I) Dépenses thématiques'!O278/C278</f>
        <v>0</v>
      </c>
      <c r="G278" s="168">
        <f t="shared" si="21"/>
        <v>34.943457822919399</v>
      </c>
      <c r="H278" s="206">
        <f t="shared" si="22"/>
        <v>34.943457822919399</v>
      </c>
      <c r="I278" s="211">
        <f t="shared" si="23"/>
        <v>0</v>
      </c>
      <c r="J278" s="67">
        <f t="shared" si="20"/>
        <v>0</v>
      </c>
    </row>
    <row r="279" spans="1:10" x14ac:dyDescent="0.25">
      <c r="A279" s="53">
        <f>'A) Base RI'!A281</f>
        <v>5871</v>
      </c>
      <c r="B279" s="116" t="str">
        <f>'A) Base RI'!B281</f>
        <v>L'Abbaye</v>
      </c>
      <c r="C279" s="127">
        <f>'B) D RI'!U281</f>
        <v>41169.431926700228</v>
      </c>
      <c r="D279" s="168">
        <f>'E) Fact soc'!G285/C279</f>
        <v>21.792820089408689</v>
      </c>
      <c r="E279" s="159">
        <f>'H) Péréquation directe'!I290/C279</f>
        <v>-0.50432218311035371</v>
      </c>
      <c r="F279" s="206">
        <f>+'I) Dépenses thématiques'!O279/C279</f>
        <v>-6.8616539160526626</v>
      </c>
      <c r="G279" s="168">
        <f t="shared" si="21"/>
        <v>14.426843990245672</v>
      </c>
      <c r="H279" s="206">
        <f t="shared" si="22"/>
        <v>21.288497906298335</v>
      </c>
      <c r="I279" s="211">
        <f t="shared" si="23"/>
        <v>0</v>
      </c>
      <c r="J279" s="67">
        <f t="shared" si="20"/>
        <v>0</v>
      </c>
    </row>
    <row r="280" spans="1:10" x14ac:dyDescent="0.25">
      <c r="A280" s="53">
        <f>'A) Base RI'!A282</f>
        <v>5872</v>
      </c>
      <c r="B280" s="116" t="str">
        <f>'A) Base RI'!B282</f>
        <v>Le Chenit</v>
      </c>
      <c r="C280" s="127">
        <f>'B) D RI'!U282</f>
        <v>315523.99059233442</v>
      </c>
      <c r="D280" s="168">
        <f>'E) Fact soc'!G286/C280</f>
        <v>23.747621495628756</v>
      </c>
      <c r="E280" s="159">
        <f>'H) Péréquation directe'!I291/C280</f>
        <v>12.338780834013793</v>
      </c>
      <c r="F280" s="206">
        <f>+'I) Dépenses thématiques'!O280/C280</f>
        <v>-4.1777240561603604</v>
      </c>
      <c r="G280" s="168">
        <f t="shared" si="21"/>
        <v>31.908678273482192</v>
      </c>
      <c r="H280" s="206">
        <f t="shared" si="22"/>
        <v>36.086402329642553</v>
      </c>
      <c r="I280" s="211">
        <f t="shared" si="23"/>
        <v>0</v>
      </c>
      <c r="J280" s="67">
        <f t="shared" si="20"/>
        <v>0</v>
      </c>
    </row>
    <row r="281" spans="1:10" x14ac:dyDescent="0.25">
      <c r="A281" s="53">
        <f>'A) Base RI'!A283</f>
        <v>5873</v>
      </c>
      <c r="B281" s="116" t="str">
        <f>'A) Base RI'!B283</f>
        <v>Le Lieu</v>
      </c>
      <c r="C281" s="127">
        <f>'B) D RI'!U283</f>
        <v>30587.067025641027</v>
      </c>
      <c r="D281" s="168">
        <f>'E) Fact soc'!G287/C281</f>
        <v>24.48618405428757</v>
      </c>
      <c r="E281" s="159">
        <f>'H) Péréquation directe'!I292/C281</f>
        <v>11.379753242699765</v>
      </c>
      <c r="F281" s="206">
        <f>+'I) Dépenses thématiques'!O281/C281</f>
        <v>-29.694432138908386</v>
      </c>
      <c r="G281" s="168">
        <f t="shared" si="21"/>
        <v>6.1715051580789471</v>
      </c>
      <c r="H281" s="206">
        <f t="shared" si="22"/>
        <v>35.865937296987333</v>
      </c>
      <c r="I281" s="211">
        <f t="shared" si="23"/>
        <v>0</v>
      </c>
      <c r="J281" s="67">
        <f t="shared" si="20"/>
        <v>0</v>
      </c>
    </row>
    <row r="282" spans="1:10" x14ac:dyDescent="0.25">
      <c r="A282" s="53">
        <f>'A) Base RI'!A284</f>
        <v>5881</v>
      </c>
      <c r="B282" s="116" t="str">
        <f>'A) Base RI'!B284</f>
        <v>Blonay</v>
      </c>
      <c r="C282" s="127">
        <f>'B) D RI'!U284</f>
        <v>332407.86157142854</v>
      </c>
      <c r="D282" s="168">
        <f>'E) Fact soc'!G288/C282</f>
        <v>18.951418564102742</v>
      </c>
      <c r="E282" s="159">
        <f>'H) Péréquation directe'!I293/C282</f>
        <v>11.234439445924464</v>
      </c>
      <c r="F282" s="206">
        <f>+'I) Dépenses thématiques'!O282/C282</f>
        <v>-2.633239086858302</v>
      </c>
      <c r="G282" s="168">
        <f t="shared" si="21"/>
        <v>27.5526189231689</v>
      </c>
      <c r="H282" s="206">
        <f t="shared" si="22"/>
        <v>30.185858010027204</v>
      </c>
      <c r="I282" s="211">
        <f t="shared" si="23"/>
        <v>0</v>
      </c>
      <c r="J282" s="67">
        <f t="shared" si="20"/>
        <v>0</v>
      </c>
    </row>
    <row r="283" spans="1:10" x14ac:dyDescent="0.25">
      <c r="A283" s="53">
        <f>'A) Base RI'!A285</f>
        <v>5882</v>
      </c>
      <c r="B283" s="116" t="str">
        <f>'A) Base RI'!B285</f>
        <v>Chardonne</v>
      </c>
      <c r="C283" s="127">
        <f>'B) D RI'!U285</f>
        <v>151089.46617647054</v>
      </c>
      <c r="D283" s="168">
        <f>'E) Fact soc'!G289/C283</f>
        <v>18.654354776653104</v>
      </c>
      <c r="E283" s="159">
        <f>'H) Péréquation directe'!I294/C283</f>
        <v>13.53077248191657</v>
      </c>
      <c r="F283" s="206">
        <f>+'I) Dépenses thématiques'!O283/C283</f>
        <v>-2.1016298105498166</v>
      </c>
      <c r="G283" s="168">
        <f t="shared" si="21"/>
        <v>30.083497448019855</v>
      </c>
      <c r="H283" s="206">
        <f t="shared" si="22"/>
        <v>32.185127258569672</v>
      </c>
      <c r="I283" s="211">
        <f t="shared" si="23"/>
        <v>0</v>
      </c>
      <c r="J283" s="67">
        <f t="shared" si="20"/>
        <v>0</v>
      </c>
    </row>
    <row r="284" spans="1:10" x14ac:dyDescent="0.25">
      <c r="A284" s="53">
        <f>'A) Base RI'!A286</f>
        <v>5883</v>
      </c>
      <c r="B284" s="116" t="str">
        <f>'A) Base RI'!B286</f>
        <v>Corseaux</v>
      </c>
      <c r="C284" s="127">
        <f>'B) D RI'!U286</f>
        <v>151117.63015625</v>
      </c>
      <c r="D284" s="168">
        <f>'E) Fact soc'!G290/C284</f>
        <v>20.980398852713652</v>
      </c>
      <c r="E284" s="159">
        <f>'H) Péréquation directe'!I295/C284</f>
        <v>13.943312307511787</v>
      </c>
      <c r="F284" s="206">
        <f>+'I) Dépenses thématiques'!O284/C284</f>
        <v>0</v>
      </c>
      <c r="G284" s="168">
        <f t="shared" si="21"/>
        <v>34.923711160225437</v>
      </c>
      <c r="H284" s="206">
        <f t="shared" si="22"/>
        <v>34.923711160225437</v>
      </c>
      <c r="I284" s="211">
        <f t="shared" si="23"/>
        <v>0</v>
      </c>
      <c r="J284" s="67">
        <f t="shared" si="20"/>
        <v>0</v>
      </c>
    </row>
    <row r="285" spans="1:10" x14ac:dyDescent="0.25">
      <c r="A285" s="53">
        <f>'A) Base RI'!A287</f>
        <v>5884</v>
      </c>
      <c r="B285" s="116" t="str">
        <f>'A) Base RI'!B287</f>
        <v>Corsier-sur-Vevey</v>
      </c>
      <c r="C285" s="127">
        <f>'B) D RI'!U287</f>
        <v>116440.6211111111</v>
      </c>
      <c r="D285" s="168">
        <f>'E) Fact soc'!G291/C285</f>
        <v>17.560350836267954</v>
      </c>
      <c r="E285" s="159">
        <f>'H) Péréquation directe'!I296/C285</f>
        <v>5.0536755124102202</v>
      </c>
      <c r="F285" s="206">
        <f>+'I) Dépenses thématiques'!O285/C285</f>
        <v>-7.7724983102887233</v>
      </c>
      <c r="G285" s="168">
        <f t="shared" si="21"/>
        <v>14.84152803838945</v>
      </c>
      <c r="H285" s="206">
        <f t="shared" si="22"/>
        <v>22.614026348678173</v>
      </c>
      <c r="I285" s="211">
        <f t="shared" si="23"/>
        <v>0</v>
      </c>
      <c r="J285" s="67">
        <f t="shared" si="20"/>
        <v>0</v>
      </c>
    </row>
    <row r="286" spans="1:10" x14ac:dyDescent="0.25">
      <c r="A286" s="53">
        <f>'A) Base RI'!A288</f>
        <v>5885</v>
      </c>
      <c r="B286" s="116" t="str">
        <f>'A) Base RI'!B288</f>
        <v>Jongny</v>
      </c>
      <c r="C286" s="127">
        <f>'B) D RI'!U288</f>
        <v>81843.123028169022</v>
      </c>
      <c r="D286" s="168">
        <f>'E) Fact soc'!G292/C286</f>
        <v>17.307309810838241</v>
      </c>
      <c r="E286" s="159">
        <f>'H) Péréquation directe'!I297/C286</f>
        <v>15.29706004153512</v>
      </c>
      <c r="F286" s="206">
        <f>+'I) Dépenses thématiques'!O286/C286</f>
        <v>-0.81483420815080621</v>
      </c>
      <c r="G286" s="168">
        <f t="shared" si="21"/>
        <v>31.789535644222553</v>
      </c>
      <c r="H286" s="206">
        <f t="shared" si="22"/>
        <v>32.60436985237336</v>
      </c>
      <c r="I286" s="211">
        <f t="shared" si="23"/>
        <v>0</v>
      </c>
      <c r="J286" s="67">
        <f t="shared" si="20"/>
        <v>0</v>
      </c>
    </row>
    <row r="287" spans="1:10" x14ac:dyDescent="0.25">
      <c r="A287" s="53">
        <f>'A) Base RI'!A289</f>
        <v>5886</v>
      </c>
      <c r="B287" s="116" t="str">
        <f>'A) Base RI'!B289</f>
        <v>Montreux</v>
      </c>
      <c r="C287" s="127">
        <f>'B) D RI'!U289</f>
        <v>1175239.0178974359</v>
      </c>
      <c r="D287" s="168">
        <f>'E) Fact soc'!G293/C287</f>
        <v>20.690185496161821</v>
      </c>
      <c r="E287" s="159">
        <f>'H) Péréquation directe'!I298/C287</f>
        <v>0.33641884229620989</v>
      </c>
      <c r="F287" s="206">
        <f>+'I) Dépenses thématiques'!O287/C287</f>
        <v>-4.3265194698358895</v>
      </c>
      <c r="G287" s="168">
        <f t="shared" si="21"/>
        <v>16.700084868622142</v>
      </c>
      <c r="H287" s="206">
        <f t="shared" si="22"/>
        <v>21.026604338458032</v>
      </c>
      <c r="I287" s="211">
        <f t="shared" si="23"/>
        <v>0</v>
      </c>
      <c r="J287" s="67">
        <f t="shared" si="20"/>
        <v>0</v>
      </c>
    </row>
    <row r="288" spans="1:10" x14ac:dyDescent="0.25">
      <c r="A288" s="53">
        <f>'A) Base RI'!A290</f>
        <v>5888</v>
      </c>
      <c r="B288" s="116" t="str">
        <f>'A) Base RI'!B290</f>
        <v>Saint-Légier-La Chiésaz</v>
      </c>
      <c r="C288" s="127">
        <f>'B) D RI'!U290</f>
        <v>307135.62007462693</v>
      </c>
      <c r="D288" s="168">
        <f>'E) Fact soc'!G294/C288</f>
        <v>18.215006027960015</v>
      </c>
      <c r="E288" s="159">
        <f>'H) Péréquation directe'!I299/C288</f>
        <v>12.108726548369853</v>
      </c>
      <c r="F288" s="206">
        <f>+'I) Dépenses thématiques'!O288/C288</f>
        <v>-0.84933182501559434</v>
      </c>
      <c r="G288" s="168">
        <f t="shared" si="21"/>
        <v>29.474400751314274</v>
      </c>
      <c r="H288" s="206">
        <f t="shared" si="22"/>
        <v>30.323732576329867</v>
      </c>
      <c r="I288" s="211">
        <f t="shared" si="23"/>
        <v>0</v>
      </c>
      <c r="J288" s="67">
        <f t="shared" si="20"/>
        <v>0</v>
      </c>
    </row>
    <row r="289" spans="1:10" x14ac:dyDescent="0.25">
      <c r="A289" s="53">
        <f>'A) Base RI'!A291</f>
        <v>5889</v>
      </c>
      <c r="B289" s="116" t="str">
        <f>'A) Base RI'!B291</f>
        <v>La Tour-de-Peilz</v>
      </c>
      <c r="C289" s="127">
        <f>'B) D RI'!U291</f>
        <v>618611.02559895837</v>
      </c>
      <c r="D289" s="168">
        <f>'E) Fact soc'!G295/C289</f>
        <v>18.158476826239536</v>
      </c>
      <c r="E289" s="159">
        <f>'H) Péréquation directe'!I300/C289</f>
        <v>8.2931224335379277</v>
      </c>
      <c r="F289" s="206">
        <f>+'I) Dépenses thématiques'!O289/C289</f>
        <v>0</v>
      </c>
      <c r="G289" s="168">
        <f t="shared" si="21"/>
        <v>26.451599259777463</v>
      </c>
      <c r="H289" s="206">
        <f t="shared" si="22"/>
        <v>26.451599259777463</v>
      </c>
      <c r="I289" s="211">
        <f t="shared" si="23"/>
        <v>0</v>
      </c>
      <c r="J289" s="67">
        <f t="shared" si="20"/>
        <v>0</v>
      </c>
    </row>
    <row r="290" spans="1:10" x14ac:dyDescent="0.25">
      <c r="A290" s="53">
        <f>'A) Base RI'!A292</f>
        <v>5890</v>
      </c>
      <c r="B290" s="116" t="str">
        <f>'A) Base RI'!B292</f>
        <v>Vevey</v>
      </c>
      <c r="C290" s="127">
        <f>'B) D RI'!U292</f>
        <v>909212.90865296812</v>
      </c>
      <c r="D290" s="168">
        <f>'E) Fact soc'!G296/C290</f>
        <v>17.231567520298857</v>
      </c>
      <c r="E290" s="159">
        <f>'H) Péréquation directe'!I301/C290</f>
        <v>2.7435429208587552</v>
      </c>
      <c r="F290" s="206">
        <f>+'I) Dépenses thématiques'!O290/C290</f>
        <v>-1.9709356866409877</v>
      </c>
      <c r="G290" s="168">
        <f t="shared" si="21"/>
        <v>18.004174754516622</v>
      </c>
      <c r="H290" s="206">
        <f t="shared" si="22"/>
        <v>19.975110441157611</v>
      </c>
      <c r="I290" s="211">
        <f t="shared" si="23"/>
        <v>0</v>
      </c>
      <c r="J290" s="67">
        <f t="shared" si="20"/>
        <v>0</v>
      </c>
    </row>
    <row r="291" spans="1:10" x14ac:dyDescent="0.25">
      <c r="A291" s="53">
        <f>'A) Base RI'!A293</f>
        <v>5891</v>
      </c>
      <c r="B291" s="116" t="str">
        <f>'A) Base RI'!B293</f>
        <v>Veytaux</v>
      </c>
      <c r="C291" s="127">
        <f>'B) D RI'!U293</f>
        <v>39510.481835748789</v>
      </c>
      <c r="D291" s="168">
        <f>'E) Fact soc'!G297/C291</f>
        <v>18.738819279619566</v>
      </c>
      <c r="E291" s="159">
        <f>'H) Péréquation directe'!I302/C291</f>
        <v>16.438199342489533</v>
      </c>
      <c r="F291" s="206">
        <f>+'I) Dépenses thématiques'!O291/C291</f>
        <v>-7.2337797729554776</v>
      </c>
      <c r="G291" s="168">
        <f t="shared" si="21"/>
        <v>27.943238849153623</v>
      </c>
      <c r="H291" s="206">
        <f t="shared" si="22"/>
        <v>35.177018622109102</v>
      </c>
      <c r="I291" s="211">
        <f t="shared" si="23"/>
        <v>0</v>
      </c>
      <c r="J291" s="67">
        <f t="shared" si="20"/>
        <v>0</v>
      </c>
    </row>
    <row r="292" spans="1:10" x14ac:dyDescent="0.25">
      <c r="A292" s="53">
        <f>'A) Base RI'!A294</f>
        <v>5902</v>
      </c>
      <c r="B292" s="116" t="str">
        <f>'A) Base RI'!B294</f>
        <v>Belmont-sur-Yverdon</v>
      </c>
      <c r="C292" s="127">
        <f>'B) D RI'!U294</f>
        <v>9227.1448684210518</v>
      </c>
      <c r="D292" s="168">
        <f>'E) Fact soc'!G298/C292</f>
        <v>15.55607810501597</v>
      </c>
      <c r="E292" s="159">
        <f>'H) Péréquation directe'!I303/C292</f>
        <v>-2.8847265050697333</v>
      </c>
      <c r="F292" s="206">
        <f>+'I) Dépenses thématiques'!O292/C292</f>
        <v>-0.81418171271063955</v>
      </c>
      <c r="G292" s="168">
        <f t="shared" si="21"/>
        <v>11.857169887235598</v>
      </c>
      <c r="H292" s="206">
        <f t="shared" si="22"/>
        <v>12.671351599946238</v>
      </c>
      <c r="I292" s="211">
        <f t="shared" si="23"/>
        <v>0</v>
      </c>
      <c r="J292" s="67">
        <f t="shared" si="20"/>
        <v>0</v>
      </c>
    </row>
    <row r="293" spans="1:10" x14ac:dyDescent="0.25">
      <c r="A293" s="53">
        <f>'A) Base RI'!A295</f>
        <v>5903</v>
      </c>
      <c r="B293" s="116" t="str">
        <f>'A) Base RI'!B295</f>
        <v>Bioley-Magnoux</v>
      </c>
      <c r="C293" s="127">
        <f>'B) D RI'!U295</f>
        <v>5953.911158301159</v>
      </c>
      <c r="D293" s="168">
        <f>'E) Fact soc'!G299/C293</f>
        <v>16.839412527547935</v>
      </c>
      <c r="E293" s="159">
        <f>'H) Péréquation directe'!I304/C293</f>
        <v>-0.64325389128891541</v>
      </c>
      <c r="F293" s="206">
        <f>+'I) Dépenses thématiques'!O293/C293</f>
        <v>-36.89387213096655</v>
      </c>
      <c r="G293" s="168">
        <f t="shared" si="21"/>
        <v>-20.697713494707529</v>
      </c>
      <c r="H293" s="206">
        <f t="shared" si="22"/>
        <v>16.196158636259021</v>
      </c>
      <c r="I293" s="211">
        <f t="shared" si="23"/>
        <v>0</v>
      </c>
      <c r="J293" s="67">
        <f t="shared" si="20"/>
        <v>0</v>
      </c>
    </row>
    <row r="294" spans="1:10" x14ac:dyDescent="0.25">
      <c r="A294" s="53">
        <f>'A) Base RI'!A296</f>
        <v>5904</v>
      </c>
      <c r="B294" s="116" t="str">
        <f>'A) Base RI'!B296</f>
        <v>Chamblon</v>
      </c>
      <c r="C294" s="127">
        <f>'B) D RI'!U296</f>
        <v>22914.009848484849</v>
      </c>
      <c r="D294" s="168">
        <f>'E) Fact soc'!G300/C294</f>
        <v>16.143000739525416</v>
      </c>
      <c r="E294" s="159">
        <f>'H) Péréquation directe'!I305/C294</f>
        <v>15.251606441302773</v>
      </c>
      <c r="F294" s="206">
        <f>+'I) Dépenses thématiques'!O294/C294</f>
        <v>0</v>
      </c>
      <c r="G294" s="168">
        <f t="shared" si="21"/>
        <v>31.394607180828189</v>
      </c>
      <c r="H294" s="206">
        <f t="shared" si="22"/>
        <v>31.394607180828189</v>
      </c>
      <c r="I294" s="211">
        <f t="shared" si="23"/>
        <v>0</v>
      </c>
      <c r="J294" s="67">
        <f t="shared" si="20"/>
        <v>0</v>
      </c>
    </row>
    <row r="295" spans="1:10" x14ac:dyDescent="0.25">
      <c r="A295" s="53">
        <f>'A) Base RI'!A297</f>
        <v>5905</v>
      </c>
      <c r="B295" s="116" t="str">
        <f>'A) Base RI'!B297</f>
        <v>Champvent</v>
      </c>
      <c r="C295" s="127">
        <f>'B) D RI'!U297</f>
        <v>21038.740140845071</v>
      </c>
      <c r="D295" s="168">
        <f>'E) Fact soc'!G301/C295</f>
        <v>20.983096190830651</v>
      </c>
      <c r="E295" s="159">
        <f>'H) Péréquation directe'!I306/C295</f>
        <v>8.1195792442268306</v>
      </c>
      <c r="F295" s="206">
        <f>+'I) Dépenses thématiques'!O295/C295</f>
        <v>-2.1241527624633738</v>
      </c>
      <c r="G295" s="168">
        <f t="shared" si="21"/>
        <v>26.978522672594107</v>
      </c>
      <c r="H295" s="206">
        <f t="shared" si="22"/>
        <v>29.102675435057481</v>
      </c>
      <c r="I295" s="211">
        <f t="shared" si="23"/>
        <v>0</v>
      </c>
      <c r="J295" s="67">
        <f t="shared" si="20"/>
        <v>0</v>
      </c>
    </row>
    <row r="296" spans="1:10" x14ac:dyDescent="0.25">
      <c r="A296" s="53">
        <f>'A) Base RI'!A298</f>
        <v>5907</v>
      </c>
      <c r="B296" s="116" t="str">
        <f>'A) Base RI'!B298</f>
        <v>Chavannes-le-Chêne</v>
      </c>
      <c r="C296" s="127">
        <f>'B) D RI'!U298</f>
        <v>8819.3566666666684</v>
      </c>
      <c r="D296" s="168">
        <f>'E) Fact soc'!G302/C296</f>
        <v>17.751848883087082</v>
      </c>
      <c r="E296" s="159">
        <f>'H) Péréquation directe'!I307/C296</f>
        <v>3.0494464580995646</v>
      </c>
      <c r="F296" s="206">
        <f>+'I) Dépenses thématiques'!O296/C296</f>
        <v>-8.1806355478937185</v>
      </c>
      <c r="G296" s="168">
        <f t="shared" si="21"/>
        <v>12.620659793292926</v>
      </c>
      <c r="H296" s="206">
        <f t="shared" si="22"/>
        <v>20.801295341186645</v>
      </c>
      <c r="I296" s="211">
        <f t="shared" si="23"/>
        <v>0</v>
      </c>
      <c r="J296" s="67">
        <f t="shared" si="20"/>
        <v>0</v>
      </c>
    </row>
    <row r="297" spans="1:10" x14ac:dyDescent="0.25">
      <c r="A297" s="53">
        <f>'A) Base RI'!A299</f>
        <v>5908</v>
      </c>
      <c r="B297" s="116" t="str">
        <f>'A) Base RI'!B299</f>
        <v>Chêne-Pâquier</v>
      </c>
      <c r="C297" s="127">
        <f>'B) D RI'!U299</f>
        <v>2915.1287341772154</v>
      </c>
      <c r="D297" s="168">
        <f>'E) Fact soc'!G303/C297</f>
        <v>16.716833674654993</v>
      </c>
      <c r="E297" s="159">
        <f>'H) Péréquation directe'!I308/C297</f>
        <v>-14.053353683557578</v>
      </c>
      <c r="F297" s="206">
        <f>+'I) Dépenses thématiques'!O297/C297</f>
        <v>-4.2754036012778514</v>
      </c>
      <c r="G297" s="168">
        <f t="shared" si="21"/>
        <v>-1.6119236101804368</v>
      </c>
      <c r="H297" s="206">
        <f t="shared" si="22"/>
        <v>2.6634799910974145</v>
      </c>
      <c r="I297" s="211">
        <f t="shared" si="23"/>
        <v>0</v>
      </c>
      <c r="J297" s="67">
        <f t="shared" si="20"/>
        <v>0</v>
      </c>
    </row>
    <row r="298" spans="1:10" x14ac:dyDescent="0.25">
      <c r="A298" s="53">
        <f>'A) Base RI'!A300</f>
        <v>5909</v>
      </c>
      <c r="B298" s="116" t="str">
        <f>'A) Base RI'!B300</f>
        <v>Cheseaux-Noréaz</v>
      </c>
      <c r="C298" s="127">
        <f>'B) D RI'!U300</f>
        <v>24771.110857142852</v>
      </c>
      <c r="D298" s="168">
        <f>'E) Fact soc'!G304/C298</f>
        <v>16.749532606667621</v>
      </c>
      <c r="E298" s="159">
        <f>'H) Péréquation directe'!I309/C298</f>
        <v>12.119538277424065</v>
      </c>
      <c r="F298" s="206">
        <f>+'I) Dépenses thématiques'!O298/C298</f>
        <v>-4.8501280099330728</v>
      </c>
      <c r="G298" s="168">
        <f t="shared" si="21"/>
        <v>24.018942874158611</v>
      </c>
      <c r="H298" s="206">
        <f t="shared" si="22"/>
        <v>28.869070884091684</v>
      </c>
      <c r="I298" s="211">
        <f t="shared" si="23"/>
        <v>0</v>
      </c>
      <c r="J298" s="67">
        <f t="shared" si="20"/>
        <v>0</v>
      </c>
    </row>
    <row r="299" spans="1:10" x14ac:dyDescent="0.25">
      <c r="A299" s="53">
        <f>'A) Base RI'!A301</f>
        <v>5910</v>
      </c>
      <c r="B299" s="116" t="str">
        <f>'A) Base RI'!B301</f>
        <v>Cronay</v>
      </c>
      <c r="C299" s="127">
        <f>'B) D RI'!U301</f>
        <v>10097.267848101266</v>
      </c>
      <c r="D299" s="168">
        <f>'E) Fact soc'!G305/C299</f>
        <v>16.524118458824471</v>
      </c>
      <c r="E299" s="159">
        <f>'H) Péréquation directe'!I310/C299</f>
        <v>-1.599998009913955</v>
      </c>
      <c r="F299" s="206">
        <f>+'I) Dépenses thématiques'!O299/C299</f>
        <v>-11.553611261152419</v>
      </c>
      <c r="G299" s="168">
        <f t="shared" si="21"/>
        <v>3.3705091877580973</v>
      </c>
      <c r="H299" s="206">
        <f t="shared" si="22"/>
        <v>14.924120448910516</v>
      </c>
      <c r="I299" s="211">
        <f t="shared" si="23"/>
        <v>0</v>
      </c>
      <c r="J299" s="67">
        <f t="shared" si="20"/>
        <v>0</v>
      </c>
    </row>
    <row r="300" spans="1:10" x14ac:dyDescent="0.25">
      <c r="A300" s="53">
        <f>'A) Base RI'!A302</f>
        <v>5911</v>
      </c>
      <c r="B300" s="116" t="str">
        <f>'A) Base RI'!B302</f>
        <v>Cuarny</v>
      </c>
      <c r="C300" s="127">
        <f>'B) D RI'!U302</f>
        <v>7741.5774683544305</v>
      </c>
      <c r="D300" s="168">
        <f>'E) Fact soc'!G306/C300</f>
        <v>14.7988897502012</v>
      </c>
      <c r="E300" s="159">
        <f>'H) Péréquation directe'!I311/C300</f>
        <v>6.8130220676850284</v>
      </c>
      <c r="F300" s="206">
        <f>+'I) Dépenses thématiques'!O300/C300</f>
        <v>-13.302677066616214</v>
      </c>
      <c r="G300" s="168">
        <f t="shared" si="21"/>
        <v>8.3092347512700133</v>
      </c>
      <c r="H300" s="206">
        <f t="shared" si="22"/>
        <v>21.611911817886227</v>
      </c>
      <c r="I300" s="211">
        <f t="shared" si="23"/>
        <v>0</v>
      </c>
      <c r="J300" s="67">
        <f t="shared" si="20"/>
        <v>0</v>
      </c>
    </row>
    <row r="301" spans="1:10" x14ac:dyDescent="0.25">
      <c r="A301" s="53">
        <f>'A) Base RI'!A303</f>
        <v>5912</v>
      </c>
      <c r="B301" s="116" t="str">
        <f>'A) Base RI'!B303</f>
        <v>Démoret</v>
      </c>
      <c r="C301" s="127">
        <f>'B) D RI'!U303</f>
        <v>2761.8208641975311</v>
      </c>
      <c r="D301" s="168">
        <f>'E) Fact soc'!G307/C301</f>
        <v>16.478403487762698</v>
      </c>
      <c r="E301" s="159">
        <f>'H) Péréquation directe'!I312/C301</f>
        <v>-12.467095963954439</v>
      </c>
      <c r="F301" s="206">
        <f>+'I) Dépenses thématiques'!O301/C301</f>
        <v>-6.0737556712168876</v>
      </c>
      <c r="G301" s="168">
        <f t="shared" si="21"/>
        <v>-2.0624481474086283</v>
      </c>
      <c r="H301" s="206">
        <f t="shared" si="22"/>
        <v>4.0113075238082594</v>
      </c>
      <c r="I301" s="211">
        <f t="shared" si="23"/>
        <v>0</v>
      </c>
      <c r="J301" s="67">
        <f t="shared" si="20"/>
        <v>0</v>
      </c>
    </row>
    <row r="302" spans="1:10" x14ac:dyDescent="0.25">
      <c r="A302" s="53">
        <f>'A) Base RI'!A304</f>
        <v>5913</v>
      </c>
      <c r="B302" s="116" t="str">
        <f>'A) Base RI'!B304</f>
        <v>Donneloye</v>
      </c>
      <c r="C302" s="127">
        <f>'B) D RI'!U304</f>
        <v>21023.999589041094</v>
      </c>
      <c r="D302" s="168">
        <f>'E) Fact soc'!G308/C302</f>
        <v>17.798238847397343</v>
      </c>
      <c r="E302" s="159">
        <f>'H) Péréquation directe'!I313/C302</f>
        <v>1.4066396445826774</v>
      </c>
      <c r="F302" s="206">
        <f>+'I) Dépenses thématiques'!O302/C302</f>
        <v>-3.5180436919634173</v>
      </c>
      <c r="G302" s="168">
        <f t="shared" si="21"/>
        <v>15.686834800016605</v>
      </c>
      <c r="H302" s="206">
        <f t="shared" si="22"/>
        <v>19.204878491980022</v>
      </c>
      <c r="I302" s="211">
        <f t="shared" si="23"/>
        <v>0</v>
      </c>
      <c r="J302" s="67">
        <f t="shared" si="20"/>
        <v>0</v>
      </c>
    </row>
    <row r="303" spans="1:10" x14ac:dyDescent="0.25">
      <c r="A303" s="53">
        <f>'A) Base RI'!A305</f>
        <v>5914</v>
      </c>
      <c r="B303" s="116" t="str">
        <f>'A) Base RI'!B305</f>
        <v>Ependes</v>
      </c>
      <c r="C303" s="127">
        <f>'B) D RI'!U305</f>
        <v>8838.0616000000009</v>
      </c>
      <c r="D303" s="168">
        <f>'E) Fact soc'!G309/C303</f>
        <v>15.464824788334482</v>
      </c>
      <c r="E303" s="159">
        <f>'H) Péréquation directe'!I314/C303</f>
        <v>-2.1207926251250333</v>
      </c>
      <c r="F303" s="206">
        <f>+'I) Dépenses thématiques'!O303/C303</f>
        <v>-4.0934325104069913</v>
      </c>
      <c r="G303" s="168">
        <f t="shared" si="21"/>
        <v>9.2505996528024568</v>
      </c>
      <c r="H303" s="206">
        <f t="shared" si="22"/>
        <v>13.344032163209448</v>
      </c>
      <c r="I303" s="211">
        <f t="shared" si="23"/>
        <v>0</v>
      </c>
      <c r="J303" s="67">
        <f t="shared" si="20"/>
        <v>0</v>
      </c>
    </row>
    <row r="304" spans="1:10" x14ac:dyDescent="0.25">
      <c r="A304" s="53">
        <f>'A) Base RI'!A306</f>
        <v>5915</v>
      </c>
      <c r="B304" s="116" t="str">
        <f>'A) Base RI'!B306</f>
        <v>Essert-Pittet</v>
      </c>
      <c r="C304" s="127">
        <f>'B) D RI'!U306</f>
        <v>3860.3839529411766</v>
      </c>
      <c r="D304" s="168">
        <f>'E) Fact soc'!G310/C304</f>
        <v>14.68079565490868</v>
      </c>
      <c r="E304" s="159">
        <f>'H) Péréquation directe'!I315/C304</f>
        <v>-6.9550701247209155</v>
      </c>
      <c r="F304" s="206">
        <f>+'I) Dépenses thématiques'!O304/C304</f>
        <v>-10.009447982544421</v>
      </c>
      <c r="G304" s="168">
        <f t="shared" si="21"/>
        <v>-2.2837224523566562</v>
      </c>
      <c r="H304" s="206">
        <f t="shared" si="22"/>
        <v>7.7257255301877645</v>
      </c>
      <c r="I304" s="211">
        <f t="shared" si="23"/>
        <v>0</v>
      </c>
      <c r="J304" s="67">
        <f t="shared" si="20"/>
        <v>0</v>
      </c>
    </row>
    <row r="305" spans="1:10" x14ac:dyDescent="0.25">
      <c r="A305" s="53">
        <f>'A) Base RI'!A307</f>
        <v>5919</v>
      </c>
      <c r="B305" s="116" t="str">
        <f>'A) Base RI'!B307</f>
        <v>Mathod</v>
      </c>
      <c r="C305" s="127">
        <f>'B) D RI'!U307</f>
        <v>16883.878828828827</v>
      </c>
      <c r="D305" s="168">
        <f>'E) Fact soc'!G311/C305</f>
        <v>19.735799385448729</v>
      </c>
      <c r="E305" s="159">
        <f>'H) Péréquation directe'!I316/C305</f>
        <v>1.764793745389825</v>
      </c>
      <c r="F305" s="206">
        <f>+'I) Dépenses thématiques'!O305/C305</f>
        <v>-5.8527601374213294</v>
      </c>
      <c r="G305" s="168">
        <f t="shared" si="21"/>
        <v>15.647832993417223</v>
      </c>
      <c r="H305" s="206">
        <f t="shared" si="22"/>
        <v>21.500593130838553</v>
      </c>
      <c r="I305" s="211">
        <f t="shared" si="23"/>
        <v>0</v>
      </c>
      <c r="J305" s="67">
        <f t="shared" si="20"/>
        <v>0</v>
      </c>
    </row>
    <row r="306" spans="1:10" x14ac:dyDescent="0.25">
      <c r="A306" s="53">
        <f>'A) Base RI'!A308</f>
        <v>5921</v>
      </c>
      <c r="B306" s="116" t="str">
        <f>'A) Base RI'!B308</f>
        <v>Molondin</v>
      </c>
      <c r="C306" s="127">
        <f>'B) D RI'!U308</f>
        <v>5518.0840740740732</v>
      </c>
      <c r="D306" s="168">
        <f>'E) Fact soc'!G312/C306</f>
        <v>17.850728790538682</v>
      </c>
      <c r="E306" s="159">
        <f>'H) Péréquation directe'!I317/C306</f>
        <v>-4.7930803914369458</v>
      </c>
      <c r="F306" s="206">
        <f>+'I) Dépenses thématiques'!O306/C306</f>
        <v>-11.482665507165585</v>
      </c>
      <c r="G306" s="168">
        <f t="shared" si="21"/>
        <v>1.5749828919361519</v>
      </c>
      <c r="H306" s="206">
        <f t="shared" si="22"/>
        <v>13.057648399101737</v>
      </c>
      <c r="I306" s="211">
        <f t="shared" si="23"/>
        <v>0</v>
      </c>
      <c r="J306" s="67">
        <f t="shared" si="20"/>
        <v>0</v>
      </c>
    </row>
    <row r="307" spans="1:10" x14ac:dyDescent="0.25">
      <c r="A307" s="53">
        <f>'A) Base RI'!A309</f>
        <v>5922</v>
      </c>
      <c r="B307" s="116" t="str">
        <f>'A) Base RI'!B309</f>
        <v>Montagny-près-Yverdon</v>
      </c>
      <c r="C307" s="127">
        <f>'B) D RI'!U309</f>
        <v>45028.443278688515</v>
      </c>
      <c r="D307" s="168">
        <f>'E) Fact soc'!G313/C307</f>
        <v>17.55280230190608</v>
      </c>
      <c r="E307" s="159">
        <f>'H) Péréquation directe'!I318/C307</f>
        <v>16.373299526417231</v>
      </c>
      <c r="F307" s="206">
        <f>+'I) Dépenses thématiques'!O307/C307</f>
        <v>-2.4979510516268504</v>
      </c>
      <c r="G307" s="168">
        <f t="shared" si="21"/>
        <v>31.428150776696462</v>
      </c>
      <c r="H307" s="206">
        <f t="shared" si="22"/>
        <v>33.926101828323311</v>
      </c>
      <c r="I307" s="211">
        <f t="shared" si="23"/>
        <v>0</v>
      </c>
      <c r="J307" s="67">
        <f t="shared" si="20"/>
        <v>0</v>
      </c>
    </row>
    <row r="308" spans="1:10" x14ac:dyDescent="0.25">
      <c r="A308" s="53">
        <f>'A) Base RI'!A310</f>
        <v>5923</v>
      </c>
      <c r="B308" s="116" t="str">
        <f>'A) Base RI'!B310</f>
        <v>Oppens</v>
      </c>
      <c r="C308" s="127">
        <f>'B) D RI'!U310</f>
        <v>4881.0219753086412</v>
      </c>
      <c r="D308" s="168">
        <f>'E) Fact soc'!G314/C308</f>
        <v>21.021115176823049</v>
      </c>
      <c r="E308" s="159">
        <f>'H) Péréquation directe'!I319/C308</f>
        <v>-2.0083835776885492</v>
      </c>
      <c r="F308" s="206">
        <f>+'I) Dépenses thématiques'!O308/C308</f>
        <v>-7.5298664511173516</v>
      </c>
      <c r="G308" s="168">
        <f t="shared" si="21"/>
        <v>11.482865148017149</v>
      </c>
      <c r="H308" s="206">
        <f t="shared" si="22"/>
        <v>19.012731599134501</v>
      </c>
      <c r="I308" s="211">
        <f t="shared" si="23"/>
        <v>0</v>
      </c>
      <c r="J308" s="67">
        <f t="shared" si="20"/>
        <v>0</v>
      </c>
    </row>
    <row r="309" spans="1:10" x14ac:dyDescent="0.25">
      <c r="A309" s="53">
        <f>'A) Base RI'!A311</f>
        <v>5924</v>
      </c>
      <c r="B309" s="116" t="str">
        <f>'A) Base RI'!B311</f>
        <v>Orges</v>
      </c>
      <c r="C309" s="127">
        <f>'B) D RI'!U311</f>
        <v>9476.448378378378</v>
      </c>
      <c r="D309" s="168">
        <f>'E) Fact soc'!G315/C309</f>
        <v>16.679036344483272</v>
      </c>
      <c r="E309" s="159">
        <f>'H) Péréquation directe'!I320/C309</f>
        <v>7.6708655453280974</v>
      </c>
      <c r="F309" s="206">
        <f>+'I) Dépenses thématiques'!O309/C309</f>
        <v>0</v>
      </c>
      <c r="G309" s="168">
        <f t="shared" si="21"/>
        <v>24.34990188981137</v>
      </c>
      <c r="H309" s="206">
        <f t="shared" si="22"/>
        <v>24.34990188981137</v>
      </c>
      <c r="I309" s="211">
        <f t="shared" si="23"/>
        <v>0</v>
      </c>
      <c r="J309" s="67">
        <f t="shared" si="20"/>
        <v>0</v>
      </c>
    </row>
    <row r="310" spans="1:10" x14ac:dyDescent="0.25">
      <c r="A310" s="53">
        <f>'A) Base RI'!A312</f>
        <v>5925</v>
      </c>
      <c r="B310" s="116" t="str">
        <f>'A) Base RI'!B312</f>
        <v>Orzens</v>
      </c>
      <c r="C310" s="127">
        <f>'B) D RI'!U312</f>
        <v>4875.4426582278484</v>
      </c>
      <c r="D310" s="168">
        <f>'E) Fact soc'!G316/C310</f>
        <v>17.139926246022526</v>
      </c>
      <c r="E310" s="159">
        <f>'H) Péréquation directe'!I321/C310</f>
        <v>-5.660251386111967</v>
      </c>
      <c r="F310" s="206">
        <f>+'I) Dépenses thématiques'!O310/C310</f>
        <v>-2.3217350604206466</v>
      </c>
      <c r="G310" s="168">
        <f t="shared" si="21"/>
        <v>9.1579397994899132</v>
      </c>
      <c r="H310" s="206">
        <f t="shared" si="22"/>
        <v>11.47967485991056</v>
      </c>
      <c r="I310" s="211">
        <f t="shared" si="23"/>
        <v>0</v>
      </c>
      <c r="J310" s="67">
        <f t="shared" si="20"/>
        <v>0</v>
      </c>
    </row>
    <row r="311" spans="1:10" x14ac:dyDescent="0.25">
      <c r="A311" s="53">
        <f>'A) Base RI'!A313</f>
        <v>5926</v>
      </c>
      <c r="B311" s="116" t="str">
        <f>'A) Base RI'!B313</f>
        <v>Pomy</v>
      </c>
      <c r="C311" s="127">
        <f>'B) D RI'!U313</f>
        <v>22774.42661971831</v>
      </c>
      <c r="D311" s="168">
        <f>'E) Fact soc'!G317/C311</f>
        <v>17.818863904517052</v>
      </c>
      <c r="E311" s="159">
        <f>'H) Péréquation directe'!I322/C311</f>
        <v>5.7703099420771151</v>
      </c>
      <c r="F311" s="206">
        <f>+'I) Dépenses thématiques'!O311/C311</f>
        <v>-0.89633076602753836</v>
      </c>
      <c r="G311" s="168">
        <f t="shared" si="21"/>
        <v>22.692843080566629</v>
      </c>
      <c r="H311" s="206">
        <f t="shared" si="22"/>
        <v>23.589173846594168</v>
      </c>
      <c r="I311" s="211">
        <f t="shared" si="23"/>
        <v>0</v>
      </c>
      <c r="J311" s="67">
        <f t="shared" si="20"/>
        <v>0</v>
      </c>
    </row>
    <row r="312" spans="1:10" x14ac:dyDescent="0.25">
      <c r="A312" s="53">
        <f>'A) Base RI'!A314</f>
        <v>5928</v>
      </c>
      <c r="B312" s="116" t="str">
        <f>'A) Base RI'!B314</f>
        <v>Rovray</v>
      </c>
      <c r="C312" s="127">
        <f>'B) D RI'!U314</f>
        <v>4451.7282191780823</v>
      </c>
      <c r="D312" s="168">
        <f>'E) Fact soc'!G318/C312</f>
        <v>16.765183122402682</v>
      </c>
      <c r="E312" s="159">
        <f>'H) Péréquation directe'!I323/C312</f>
        <v>-0.2368745978416065</v>
      </c>
      <c r="F312" s="206">
        <f>+'I) Dépenses thématiques'!O312/C312</f>
        <v>-2.2463477778068044</v>
      </c>
      <c r="G312" s="168">
        <f t="shared" si="21"/>
        <v>14.281960746754272</v>
      </c>
      <c r="H312" s="206">
        <f t="shared" si="22"/>
        <v>16.528308524561076</v>
      </c>
      <c r="I312" s="211">
        <f t="shared" si="23"/>
        <v>0</v>
      </c>
      <c r="J312" s="67">
        <f t="shared" si="20"/>
        <v>0</v>
      </c>
    </row>
    <row r="313" spans="1:10" x14ac:dyDescent="0.25">
      <c r="A313" s="53">
        <f>'A) Base RI'!A315</f>
        <v>5929</v>
      </c>
      <c r="B313" s="116" t="str">
        <f>'A) Base RI'!B315</f>
        <v>Suchy</v>
      </c>
      <c r="C313" s="127">
        <f>'B) D RI'!U315</f>
        <v>16583.788428571432</v>
      </c>
      <c r="D313" s="168">
        <f>'E) Fact soc'!G319/C313</f>
        <v>16.371962278763075</v>
      </c>
      <c r="E313" s="159">
        <f>'H) Péréquation directe'!I324/C313</f>
        <v>2.9852003557402362</v>
      </c>
      <c r="F313" s="206">
        <f>+'I) Dépenses thématiques'!O313/C313</f>
        <v>-0.90621988965771461</v>
      </c>
      <c r="G313" s="168">
        <f t="shared" si="21"/>
        <v>18.450942744845598</v>
      </c>
      <c r="H313" s="206">
        <f t="shared" si="22"/>
        <v>19.357162634503311</v>
      </c>
      <c r="I313" s="211">
        <f t="shared" si="23"/>
        <v>0</v>
      </c>
      <c r="J313" s="67">
        <f t="shared" si="20"/>
        <v>0</v>
      </c>
    </row>
    <row r="314" spans="1:10" x14ac:dyDescent="0.25">
      <c r="A314" s="53">
        <f>'A) Base RI'!A316</f>
        <v>5930</v>
      </c>
      <c r="B314" s="116" t="str">
        <f>'A) Base RI'!B316</f>
        <v>Suscévaz</v>
      </c>
      <c r="C314" s="127">
        <f>'B) D RI'!U316</f>
        <v>4886.5228787878787</v>
      </c>
      <c r="D314" s="168">
        <f>'E) Fact soc'!G320/C314</f>
        <v>17.318600541998393</v>
      </c>
      <c r="E314" s="159">
        <f>'H) Péréquation directe'!I325/C314</f>
        <v>0.15935517598869575</v>
      </c>
      <c r="F314" s="206">
        <f>+'I) Dépenses thématiques'!O314/C314</f>
        <v>-7.4773066196375762E-2</v>
      </c>
      <c r="G314" s="168">
        <f t="shared" si="21"/>
        <v>17.403182651790715</v>
      </c>
      <c r="H314" s="206">
        <f t="shared" si="22"/>
        <v>17.47795571798709</v>
      </c>
      <c r="I314" s="211">
        <f t="shared" si="23"/>
        <v>0</v>
      </c>
      <c r="J314" s="67">
        <f t="shared" si="20"/>
        <v>0</v>
      </c>
    </row>
    <row r="315" spans="1:10" x14ac:dyDescent="0.25">
      <c r="A315" s="53">
        <f>'A) Base RI'!A317</f>
        <v>5931</v>
      </c>
      <c r="B315" s="116" t="str">
        <f>'A) Base RI'!B317</f>
        <v>Treycovagnes</v>
      </c>
      <c r="C315" s="127">
        <f>'B) D RI'!U317</f>
        <v>16368.774155844154</v>
      </c>
      <c r="D315" s="168">
        <f>'E) Fact soc'!G321/C315</f>
        <v>15.517430497750048</v>
      </c>
      <c r="E315" s="159">
        <f>'H) Péréquation directe'!I326/C315</f>
        <v>11.099241389465297</v>
      </c>
      <c r="F315" s="206">
        <f>+'I) Dépenses thématiques'!O315/C315</f>
        <v>0</v>
      </c>
      <c r="G315" s="168">
        <f t="shared" si="21"/>
        <v>26.616671887215347</v>
      </c>
      <c r="H315" s="206">
        <f t="shared" si="22"/>
        <v>26.616671887215347</v>
      </c>
      <c r="I315" s="211">
        <f t="shared" si="23"/>
        <v>0</v>
      </c>
      <c r="J315" s="67">
        <f t="shared" si="20"/>
        <v>0</v>
      </c>
    </row>
    <row r="316" spans="1:10" x14ac:dyDescent="0.25">
      <c r="A316" s="53">
        <f>'A) Base RI'!A318</f>
        <v>5932</v>
      </c>
      <c r="B316" s="116" t="str">
        <f>'A) Base RI'!B318</f>
        <v>Ursins</v>
      </c>
      <c r="C316" s="127">
        <f>'B) D RI'!U318</f>
        <v>6366.2738461538456</v>
      </c>
      <c r="D316" s="168">
        <f>'E) Fact soc'!G322/C316</f>
        <v>16.022013086883039</v>
      </c>
      <c r="E316" s="159">
        <f>'H) Péréquation directe'!I327/C316</f>
        <v>4.2550496896538883</v>
      </c>
      <c r="F316" s="206">
        <f>+'I) Dépenses thématiques'!O316/C316</f>
        <v>-22.303194519619254</v>
      </c>
      <c r="G316" s="168">
        <f t="shared" si="21"/>
        <v>-2.0261317430823276</v>
      </c>
      <c r="H316" s="206">
        <f t="shared" si="22"/>
        <v>20.277062776536926</v>
      </c>
      <c r="I316" s="211">
        <f t="shared" si="23"/>
        <v>0</v>
      </c>
      <c r="J316" s="67">
        <f t="shared" si="20"/>
        <v>0</v>
      </c>
    </row>
    <row r="317" spans="1:10" x14ac:dyDescent="0.25">
      <c r="A317" s="53">
        <f>'A) Base RI'!A319</f>
        <v>5933</v>
      </c>
      <c r="B317" s="116" t="str">
        <f>'A) Base RI'!B319</f>
        <v>Valeyres-sous-Montagny</v>
      </c>
      <c r="C317" s="127">
        <f>'B) D RI'!U319</f>
        <v>19578.46263888889</v>
      </c>
      <c r="D317" s="168">
        <f>'E) Fact soc'!G323/C317</f>
        <v>17.06413146837642</v>
      </c>
      <c r="E317" s="159">
        <f>'H) Péréquation directe'!I328/C317</f>
        <v>3.6577448140971751</v>
      </c>
      <c r="F317" s="206">
        <f>+'I) Dépenses thématiques'!O317/C317</f>
        <v>-13.859269016167044</v>
      </c>
      <c r="G317" s="168">
        <f t="shared" si="21"/>
        <v>6.8626072663065507</v>
      </c>
      <c r="H317" s="206">
        <f t="shared" si="22"/>
        <v>20.721876282473595</v>
      </c>
      <c r="I317" s="211">
        <f t="shared" si="23"/>
        <v>0</v>
      </c>
      <c r="J317" s="67">
        <f t="shared" si="20"/>
        <v>0</v>
      </c>
    </row>
    <row r="318" spans="1:10" x14ac:dyDescent="0.25">
      <c r="A318" s="53">
        <f>'A) Base RI'!A320</f>
        <v>5934</v>
      </c>
      <c r="B318" s="116" t="str">
        <f>'A) Base RI'!B320</f>
        <v>Valeyres-sous-Ursins</v>
      </c>
      <c r="C318" s="127">
        <f>'B) D RI'!U320</f>
        <v>6856.0722784810141</v>
      </c>
      <c r="D318" s="168">
        <f>'E) Fact soc'!G324/C318</f>
        <v>17.298958704239631</v>
      </c>
      <c r="E318" s="159">
        <f>'H) Péréquation directe'!I329/C318</f>
        <v>0.32646199949431826</v>
      </c>
      <c r="F318" s="206">
        <f>+'I) Dépenses thématiques'!O318/C318</f>
        <v>-1.3446704898144128</v>
      </c>
      <c r="G318" s="168">
        <f t="shared" si="21"/>
        <v>16.280750213919536</v>
      </c>
      <c r="H318" s="206">
        <f t="shared" si="22"/>
        <v>17.625420703733948</v>
      </c>
      <c r="I318" s="211">
        <f t="shared" si="23"/>
        <v>0</v>
      </c>
      <c r="J318" s="67">
        <f t="shared" si="20"/>
        <v>0</v>
      </c>
    </row>
    <row r="319" spans="1:10" x14ac:dyDescent="0.25">
      <c r="A319" s="53">
        <f>'A) Base RI'!A321</f>
        <v>5935</v>
      </c>
      <c r="B319" s="116" t="str">
        <f>'A) Base RI'!B321</f>
        <v>Villars-Epeney</v>
      </c>
      <c r="C319" s="127">
        <f>'B) D RI'!U321</f>
        <v>4252.6353333333336</v>
      </c>
      <c r="D319" s="168">
        <f>'E) Fact soc'!G325/C319</f>
        <v>17.030505324747025</v>
      </c>
      <c r="E319" s="159">
        <f>'H) Péréquation directe'!I330/C319</f>
        <v>14.848301834397944</v>
      </c>
      <c r="F319" s="206">
        <f>+'I) Dépenses thématiques'!O319/C319</f>
        <v>-2.9228142302599118</v>
      </c>
      <c r="G319" s="168">
        <f t="shared" si="21"/>
        <v>28.955992928885056</v>
      </c>
      <c r="H319" s="206">
        <f t="shared" si="22"/>
        <v>31.878807159144969</v>
      </c>
      <c r="I319" s="211">
        <f t="shared" si="23"/>
        <v>0</v>
      </c>
      <c r="J319" s="67">
        <f t="shared" si="20"/>
        <v>0</v>
      </c>
    </row>
    <row r="320" spans="1:10" x14ac:dyDescent="0.25">
      <c r="A320" s="53">
        <f>'A) Base RI'!A322</f>
        <v>5937</v>
      </c>
      <c r="B320" s="116" t="str">
        <f>'A) Base RI'!B322</f>
        <v>Vugelles-La Mothe</v>
      </c>
      <c r="C320" s="127">
        <f>'B) D RI'!U322</f>
        <v>2272.9823469387752</v>
      </c>
      <c r="D320" s="168">
        <f>'E) Fact soc'!G326/C320</f>
        <v>17.888472336434717</v>
      </c>
      <c r="E320" s="159">
        <f>'H) Péréquation directe'!I331/C320</f>
        <v>-18.577280078887394</v>
      </c>
      <c r="F320" s="206">
        <f>+'I) Dépenses thématiques'!O320/C320</f>
        <v>-12.769811774208065</v>
      </c>
      <c r="G320" s="168">
        <f t="shared" si="21"/>
        <v>-13.458619516660743</v>
      </c>
      <c r="H320" s="206">
        <f t="shared" si="22"/>
        <v>-0.68880774245267773</v>
      </c>
      <c r="I320" s="211">
        <f t="shared" si="23"/>
        <v>0</v>
      </c>
      <c r="J320" s="67">
        <f t="shared" si="20"/>
        <v>0</v>
      </c>
    </row>
    <row r="321" spans="1:13" x14ac:dyDescent="0.25">
      <c r="A321" s="53">
        <f>'A) Base RI'!A323</f>
        <v>5938</v>
      </c>
      <c r="B321" s="116" t="str">
        <f>'A) Base RI'!B323</f>
        <v>Yverdon-les-Bains</v>
      </c>
      <c r="C321" s="127">
        <f>'B) D RI'!U323</f>
        <v>809245.0162091502</v>
      </c>
      <c r="D321" s="168">
        <f>'E) Fact soc'!G327/C321</f>
        <v>18.413564178595962</v>
      </c>
      <c r="E321" s="159">
        <f>'H) Péréquation directe'!I332/C321</f>
        <v>-26.25400555805971</v>
      </c>
      <c r="F321" s="206">
        <f>+'I) Dépenses thématiques'!O321/C321</f>
        <v>-9.1692929549266751</v>
      </c>
      <c r="G321" s="168">
        <f t="shared" si="21"/>
        <v>-17.009734334390423</v>
      </c>
      <c r="H321" s="206">
        <f t="shared" si="22"/>
        <v>-7.8404413794637478</v>
      </c>
      <c r="I321" s="211">
        <f t="shared" si="23"/>
        <v>-2.3404413794637478</v>
      </c>
      <c r="J321" s="67">
        <f t="shared" si="20"/>
        <v>1893990.5220607065</v>
      </c>
    </row>
    <row r="322" spans="1:13" x14ac:dyDescent="0.25">
      <c r="A322" s="55">
        <f>'A) Base RI'!A324</f>
        <v>5939</v>
      </c>
      <c r="B322" s="117" t="str">
        <f>'A) Base RI'!B324</f>
        <v>Yvonand</v>
      </c>
      <c r="C322" s="128">
        <f>'B) D RI'!U324</f>
        <v>88261.067808219188</v>
      </c>
      <c r="D322" s="169">
        <f>'E) Fact soc'!G328/C322</f>
        <v>19.727957778171771</v>
      </c>
      <c r="E322" s="162">
        <f>'H) Péréquation directe'!I333/C322</f>
        <v>-4.8294706218629431</v>
      </c>
      <c r="F322" s="207">
        <f>+'I) Dépenses thématiques'!O322/C322</f>
        <v>-2.9930582192782693</v>
      </c>
      <c r="G322" s="169">
        <f t="shared" si="21"/>
        <v>11.905428937030559</v>
      </c>
      <c r="H322" s="207">
        <f t="shared" si="22"/>
        <v>14.898487156308828</v>
      </c>
      <c r="I322" s="212">
        <f t="shared" si="23"/>
        <v>0</v>
      </c>
      <c r="J322" s="141">
        <f t="shared" si="20"/>
        <v>0</v>
      </c>
    </row>
    <row r="323" spans="1:13" x14ac:dyDescent="0.25">
      <c r="A323" s="33"/>
      <c r="B323" s="182">
        <f>COUNTA(B5:B322)</f>
        <v>318</v>
      </c>
      <c r="C323" s="128">
        <f>SUM(C5:C322)</f>
        <v>36375763.361832626</v>
      </c>
      <c r="D323" s="207">
        <f>'E) Fact soc'!G329/C323</f>
        <v>20.359752608713055</v>
      </c>
      <c r="E323" s="207">
        <f>'H) Péréquation directe'!I334/'H) Péréquation directe'!C334</f>
        <v>3.9364747978364596</v>
      </c>
      <c r="F323" s="207">
        <f>+'I) Dépenses thématiques'!O323/C323</f>
        <v>-3.7736143633340187</v>
      </c>
      <c r="G323" s="165">
        <f>SUM(D323:F323)</f>
        <v>20.522613043215497</v>
      </c>
      <c r="H323" s="165">
        <f t="shared" si="22"/>
        <v>24.296227406549516</v>
      </c>
      <c r="I323" s="165"/>
      <c r="J323" s="40">
        <f>SUM(J5:J322)</f>
        <v>4713108.6170783248</v>
      </c>
      <c r="L323" s="13"/>
      <c r="M323" s="13"/>
    </row>
    <row r="324" spans="1:13" x14ac:dyDescent="0.25">
      <c r="I324" s="31"/>
    </row>
    <row r="325" spans="1:13" x14ac:dyDescent="0.25">
      <c r="I325" s="31"/>
    </row>
  </sheetData>
  <mergeCells count="9">
    <mergeCell ref="C3:C4"/>
    <mergeCell ref="B3:B4"/>
    <mergeCell ref="A3:A4"/>
    <mergeCell ref="J3:J4"/>
    <mergeCell ref="H3:H4"/>
    <mergeCell ref="G3:G4"/>
    <mergeCell ref="F3:F4"/>
    <mergeCell ref="E3:E4"/>
    <mergeCell ref="D3:D4"/>
  </mergeCells>
  <phoneticPr fontId="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325"/>
  <sheetViews>
    <sheetView workbookViewId="0"/>
  </sheetViews>
  <sheetFormatPr baseColWidth="10" defaultColWidth="10.75" defaultRowHeight="15" x14ac:dyDescent="0.25"/>
  <cols>
    <col min="1" max="1" width="7.25" style="14" customWidth="1"/>
    <col min="2" max="2" width="18" style="14" customWidth="1"/>
    <col min="3" max="3" width="11.125" style="14" customWidth="1"/>
    <col min="4" max="4" width="11.25" style="14" customWidth="1"/>
    <col min="5" max="6" width="10.125" style="14" customWidth="1"/>
    <col min="7" max="8" width="11" style="14" customWidth="1"/>
    <col min="9" max="9" width="9.25" style="14" customWidth="1"/>
    <col min="10" max="10" width="11.125" style="14" bestFit="1" customWidth="1"/>
    <col min="11" max="11" width="10" style="14" customWidth="1"/>
    <col min="12" max="12" width="8.75" style="16" bestFit="1" customWidth="1"/>
    <col min="13" max="13" width="10.375" style="16" customWidth="1"/>
    <col min="14" max="14" width="10.375" style="496" customWidth="1"/>
    <col min="15" max="15" width="6.75" style="14" customWidth="1"/>
    <col min="16" max="16" width="12.25" style="14" customWidth="1"/>
    <col min="17" max="17" width="10.375" style="14" customWidth="1"/>
    <col min="18" max="18" width="8.25" style="14" customWidth="1"/>
    <col min="19" max="19" width="8.125" style="14" customWidth="1"/>
    <col min="20" max="21" width="9.625" style="14" customWidth="1"/>
    <col min="22" max="16384" width="10.75" style="14"/>
  </cols>
  <sheetData>
    <row r="1" spans="1:21" s="46" customFormat="1" ht="21" x14ac:dyDescent="0.25">
      <c r="A1" s="57" t="s">
        <v>159</v>
      </c>
      <c r="B1" s="45"/>
      <c r="C1" s="92"/>
      <c r="D1" s="92"/>
      <c r="E1" s="92"/>
      <c r="F1" s="92"/>
      <c r="G1" s="92"/>
      <c r="H1" s="92"/>
      <c r="I1" s="92"/>
      <c r="J1" s="92"/>
      <c r="K1" s="92"/>
      <c r="L1" s="204"/>
      <c r="M1" s="204"/>
      <c r="N1" s="501"/>
      <c r="O1" s="92"/>
      <c r="P1" s="92"/>
      <c r="Q1" s="92"/>
      <c r="R1" s="92"/>
      <c r="S1" s="92"/>
      <c r="T1" s="92"/>
      <c r="U1" s="14"/>
    </row>
    <row r="2" spans="1:21" x14ac:dyDescent="0.25">
      <c r="C2" s="218"/>
      <c r="D2" s="218"/>
      <c r="E2" s="218"/>
      <c r="F2" s="218"/>
      <c r="G2" s="218"/>
      <c r="H2" s="218"/>
      <c r="I2" s="218"/>
    </row>
    <row r="3" spans="1:21" x14ac:dyDescent="0.25">
      <c r="C3" s="592">
        <f>Paramètres!B6</f>
        <v>2015</v>
      </c>
      <c r="D3" s="593"/>
      <c r="E3" s="593"/>
      <c r="F3" s="593"/>
      <c r="G3" s="593"/>
      <c r="H3" s="593"/>
      <c r="I3" s="594"/>
    </row>
    <row r="4" spans="1:21" ht="45" x14ac:dyDescent="0.25">
      <c r="A4" s="551" t="s">
        <v>50</v>
      </c>
      <c r="B4" s="551" t="s">
        <v>120</v>
      </c>
      <c r="C4" s="551" t="s">
        <v>117</v>
      </c>
      <c r="D4" s="595" t="s">
        <v>178</v>
      </c>
      <c r="E4" s="551" t="s">
        <v>500</v>
      </c>
      <c r="F4" s="551" t="s">
        <v>289</v>
      </c>
      <c r="G4" s="551" t="s">
        <v>290</v>
      </c>
      <c r="H4" s="551" t="s">
        <v>404</v>
      </c>
      <c r="I4" s="78" t="s">
        <v>514</v>
      </c>
      <c r="J4" s="78" t="s">
        <v>650</v>
      </c>
      <c r="K4" s="579" t="s">
        <v>520</v>
      </c>
      <c r="L4" s="586" t="s">
        <v>403</v>
      </c>
      <c r="M4" s="586" t="s">
        <v>302</v>
      </c>
      <c r="N4" s="586" t="s">
        <v>303</v>
      </c>
      <c r="O4" s="581" t="s">
        <v>158</v>
      </c>
      <c r="P4" s="172" t="s">
        <v>159</v>
      </c>
      <c r="Q4" s="579" t="s">
        <v>416</v>
      </c>
      <c r="R4" s="551" t="s">
        <v>160</v>
      </c>
      <c r="S4" s="551" t="s">
        <v>293</v>
      </c>
      <c r="T4" s="219"/>
    </row>
    <row r="5" spans="1:21" ht="30" x14ac:dyDescent="0.25">
      <c r="A5" s="552"/>
      <c r="B5" s="552"/>
      <c r="C5" s="552"/>
      <c r="D5" s="596"/>
      <c r="E5" s="552"/>
      <c r="F5" s="552"/>
      <c r="G5" s="552"/>
      <c r="H5" s="552"/>
      <c r="I5" s="79">
        <f>Paramètres!B6</f>
        <v>2015</v>
      </c>
      <c r="J5" s="144" t="str">
        <f>Paramètres!B5</f>
        <v>décompte 2016</v>
      </c>
      <c r="K5" s="580"/>
      <c r="L5" s="591"/>
      <c r="M5" s="591"/>
      <c r="N5" s="591"/>
      <c r="O5" s="582"/>
      <c r="P5" s="180">
        <f>Paramètres!B45</f>
        <v>91.131296849291829</v>
      </c>
      <c r="Q5" s="580"/>
      <c r="R5" s="552"/>
      <c r="S5" s="552"/>
      <c r="T5" s="210"/>
    </row>
    <row r="6" spans="1:21" x14ac:dyDescent="0.25">
      <c r="A6" s="49">
        <f>'A) Base RI'!A7</f>
        <v>5401</v>
      </c>
      <c r="B6" s="64" t="str">
        <f>'A) Base RI'!B7</f>
        <v>Aigle</v>
      </c>
      <c r="C6" s="494">
        <v>4601337.2338172002</v>
      </c>
      <c r="D6" s="494">
        <v>-2958263.8375629252</v>
      </c>
      <c r="E6" s="227"/>
      <c r="F6" s="226"/>
      <c r="G6" s="226"/>
      <c r="H6" s="228">
        <f>SUM(C6:G6)</f>
        <v>1643073.396254275</v>
      </c>
      <c r="I6" s="508">
        <v>260845.44622222218</v>
      </c>
      <c r="J6" s="126">
        <f>'B) D RI'!U7</f>
        <v>274204.16723456793</v>
      </c>
      <c r="K6" s="91">
        <f>H6/I6</f>
        <v>6.299030403062857</v>
      </c>
      <c r="L6" s="119">
        <f>'B) D RI'!S7</f>
        <v>67.5</v>
      </c>
      <c r="M6" s="119">
        <f>L6-K6</f>
        <v>61.200969596937142</v>
      </c>
      <c r="N6" s="499">
        <f>'J) Plafonnement effort'!G5+'J) Plafonnement effort'!H5-'K) Plafonnement aide'!I5</f>
        <v>3.0634253530192534</v>
      </c>
      <c r="O6" s="188">
        <f>M6+N6</f>
        <v>64.264394949956397</v>
      </c>
      <c r="P6" s="51">
        <f>IF(O6&gt;$P$5,$P$5-O6,0)</f>
        <v>0</v>
      </c>
      <c r="Q6" s="140">
        <f>P6*J6</f>
        <v>0</v>
      </c>
      <c r="R6" s="220">
        <f>O6+P6</f>
        <v>64.264394949956397</v>
      </c>
      <c r="S6" s="188">
        <f>R6-L6</f>
        <v>-3.2356050500436027</v>
      </c>
      <c r="T6" s="221"/>
      <c r="U6" s="31"/>
    </row>
    <row r="7" spans="1:21" x14ac:dyDescent="0.25">
      <c r="A7" s="53">
        <f>'A) Base RI'!A8</f>
        <v>5402</v>
      </c>
      <c r="B7" s="65" t="str">
        <f>'A) Base RI'!B8</f>
        <v>Bex</v>
      </c>
      <c r="C7" s="495">
        <v>3446632.9032334271</v>
      </c>
      <c r="D7" s="495">
        <v>-2660463.4498178465</v>
      </c>
      <c r="E7" s="230"/>
      <c r="F7" s="229"/>
      <c r="G7" s="229"/>
      <c r="H7" s="231">
        <f t="shared" ref="H7:H70" si="0">SUM(C7:G7)</f>
        <v>786169.45341558056</v>
      </c>
      <c r="I7" s="507">
        <v>175890.90239436619</v>
      </c>
      <c r="J7" s="127">
        <f>'B) D RI'!U8</f>
        <v>168618.65154929578</v>
      </c>
      <c r="K7" s="84">
        <f t="shared" ref="K7:K61" si="1">H7/I7</f>
        <v>4.4696425040386947</v>
      </c>
      <c r="L7" s="36">
        <f>'B) D RI'!S8</f>
        <v>71</v>
      </c>
      <c r="M7" s="36">
        <f t="shared" ref="M7:M60" si="2">L7-K7</f>
        <v>66.530357495961312</v>
      </c>
      <c r="N7" s="498">
        <f>'J) Plafonnement effort'!G6+'J) Plafonnement effort'!H6-'K) Plafonnement aide'!I6</f>
        <v>-11.534976242694004</v>
      </c>
      <c r="O7" s="191">
        <f t="shared" ref="O7:O60" si="3">M7+N7</f>
        <v>54.995381253267311</v>
      </c>
      <c r="P7" s="51">
        <f t="shared" ref="P7:P60" si="4">IF(O7&gt;$P$5,$P$5-O7,0)</f>
        <v>0</v>
      </c>
      <c r="Q7" s="67">
        <f t="shared" ref="Q7:Q62" si="5">P7*J7</f>
        <v>0</v>
      </c>
      <c r="R7" s="222">
        <f t="shared" ref="R7:R60" si="6">O7+P7</f>
        <v>54.995381253267311</v>
      </c>
      <c r="S7" s="191">
        <f t="shared" ref="S7:S60" si="7">R7-L7</f>
        <v>-16.004618746732689</v>
      </c>
      <c r="T7" s="221"/>
      <c r="U7" s="31"/>
    </row>
    <row r="8" spans="1:21" x14ac:dyDescent="0.25">
      <c r="A8" s="53">
        <f>'A) Base RI'!A9</f>
        <v>5403</v>
      </c>
      <c r="B8" s="65" t="str">
        <f>'A) Base RI'!B9</f>
        <v>Chessel</v>
      </c>
      <c r="C8" s="495">
        <v>134280.05393738271</v>
      </c>
      <c r="D8" s="495">
        <v>-92587.47249808436</v>
      </c>
      <c r="E8" s="230"/>
      <c r="F8" s="229"/>
      <c r="G8" s="229"/>
      <c r="H8" s="231">
        <f>SUM(C8:G8)</f>
        <v>41692.581439298345</v>
      </c>
      <c r="I8" s="507">
        <v>8284.5784210526326</v>
      </c>
      <c r="J8" s="127">
        <f>'B) D RI'!U9</f>
        <v>8336.8572368421064</v>
      </c>
      <c r="K8" s="84">
        <f t="shared" si="1"/>
        <v>5.0325531753492552</v>
      </c>
      <c r="L8" s="36">
        <f>'B) D RI'!S9</f>
        <v>76</v>
      </c>
      <c r="M8" s="36">
        <f t="shared" si="2"/>
        <v>70.96744682465075</v>
      </c>
      <c r="N8" s="498">
        <f>'J) Plafonnement effort'!G7+'J) Plafonnement effort'!H7-'K) Plafonnement aide'!I7</f>
        <v>3.1256412748114411</v>
      </c>
      <c r="O8" s="191">
        <f t="shared" si="3"/>
        <v>74.093088099462193</v>
      </c>
      <c r="P8" s="51">
        <f t="shared" si="4"/>
        <v>0</v>
      </c>
      <c r="Q8" s="67">
        <f t="shared" si="5"/>
        <v>0</v>
      </c>
      <c r="R8" s="222">
        <f t="shared" si="6"/>
        <v>74.093088099462193</v>
      </c>
      <c r="S8" s="191">
        <f t="shared" si="7"/>
        <v>-1.906911900537807</v>
      </c>
      <c r="T8" s="221"/>
      <c r="U8" s="31"/>
    </row>
    <row r="9" spans="1:21" x14ac:dyDescent="0.25">
      <c r="A9" s="53">
        <f>'A) Base RI'!A10</f>
        <v>5404</v>
      </c>
      <c r="B9" s="65" t="str">
        <f>'A) Base RI'!B10</f>
        <v>Corbeyrier</v>
      </c>
      <c r="C9" s="495">
        <v>190797.22630826378</v>
      </c>
      <c r="D9" s="495">
        <v>-32509.352227689116</v>
      </c>
      <c r="E9" s="230"/>
      <c r="F9" s="229"/>
      <c r="G9" s="229"/>
      <c r="H9" s="231">
        <f t="shared" si="0"/>
        <v>158287.87408057466</v>
      </c>
      <c r="I9" s="507">
        <v>9966.1885714285709</v>
      </c>
      <c r="J9" s="127">
        <f>'B) D RI'!U10</f>
        <v>39921.252857142863</v>
      </c>
      <c r="K9" s="84">
        <f t="shared" si="1"/>
        <v>15.882488370163902</v>
      </c>
      <c r="L9" s="36">
        <f>'B) D RI'!S10</f>
        <v>70</v>
      </c>
      <c r="M9" s="36">
        <f t="shared" si="2"/>
        <v>54.117511629836102</v>
      </c>
      <c r="N9" s="498">
        <f>'J) Plafonnement effort'!G8+'J) Plafonnement effort'!H8-'K) Plafonnement aide'!I8</f>
        <v>38.738939819540562</v>
      </c>
      <c r="O9" s="191">
        <f t="shared" si="3"/>
        <v>92.856451449376664</v>
      </c>
      <c r="P9" s="51">
        <f t="shared" si="4"/>
        <v>-1.725154600084835</v>
      </c>
      <c r="Q9" s="510">
        <f t="shared" si="5"/>
        <v>-68870.333007649868</v>
      </c>
      <c r="R9" s="222">
        <f t="shared" si="6"/>
        <v>91.131296849291829</v>
      </c>
      <c r="S9" s="191">
        <f t="shared" si="7"/>
        <v>21.131296849291829</v>
      </c>
      <c r="T9" s="221"/>
      <c r="U9" s="31"/>
    </row>
    <row r="10" spans="1:21" x14ac:dyDescent="0.25">
      <c r="A10" s="53">
        <f>'A) Base RI'!A11</f>
        <v>5405</v>
      </c>
      <c r="B10" s="65" t="str">
        <f>'A) Base RI'!B11</f>
        <v>Gryon</v>
      </c>
      <c r="C10" s="495">
        <v>1436741.9030778927</v>
      </c>
      <c r="D10" s="495">
        <v>1126612.9137867158</v>
      </c>
      <c r="E10" s="230"/>
      <c r="F10" s="229"/>
      <c r="G10" s="229"/>
      <c r="H10" s="231">
        <f t="shared" si="0"/>
        <v>2563354.8168646088</v>
      </c>
      <c r="I10" s="507">
        <v>72189.140533333324</v>
      </c>
      <c r="J10" s="127">
        <f>'B) D RI'!U11</f>
        <v>64864.951911111115</v>
      </c>
      <c r="K10" s="84">
        <f t="shared" si="1"/>
        <v>35.508870142053844</v>
      </c>
      <c r="L10" s="36">
        <f>'B) D RI'!S11</f>
        <v>75</v>
      </c>
      <c r="M10" s="36">
        <f t="shared" si="2"/>
        <v>39.491129857946156</v>
      </c>
      <c r="N10" s="498">
        <f>'J) Plafonnement effort'!G9+'J) Plafonnement effort'!H9-'K) Plafonnement aide'!I9</f>
        <v>28.245834077120392</v>
      </c>
      <c r="O10" s="191">
        <f t="shared" si="3"/>
        <v>67.736963935066541</v>
      </c>
      <c r="P10" s="51">
        <f t="shared" si="4"/>
        <v>0</v>
      </c>
      <c r="Q10" s="67">
        <f t="shared" si="5"/>
        <v>0</v>
      </c>
      <c r="R10" s="222">
        <f t="shared" si="6"/>
        <v>67.736963935066541</v>
      </c>
      <c r="S10" s="191">
        <f t="shared" si="7"/>
        <v>-7.2630360649334591</v>
      </c>
      <c r="T10" s="221"/>
      <c r="U10" s="31"/>
    </row>
    <row r="11" spans="1:21" x14ac:dyDescent="0.25">
      <c r="A11" s="53">
        <f>'A) Base RI'!A12</f>
        <v>5406</v>
      </c>
      <c r="B11" s="65" t="str">
        <f>'A) Base RI'!B12</f>
        <v>Lavey-Morcles</v>
      </c>
      <c r="C11" s="495">
        <v>327052.79129488033</v>
      </c>
      <c r="D11" s="495">
        <v>-118845.2807687975</v>
      </c>
      <c r="E11" s="230"/>
      <c r="F11" s="229"/>
      <c r="G11" s="229"/>
      <c r="H11" s="231">
        <f t="shared" si="0"/>
        <v>208207.51052608283</v>
      </c>
      <c r="I11" s="507">
        <v>19831.448851570964</v>
      </c>
      <c r="J11" s="127">
        <f>'B) D RI'!U12</f>
        <v>20248.886901408452</v>
      </c>
      <c r="K11" s="84">
        <f t="shared" si="1"/>
        <v>10.498855231628198</v>
      </c>
      <c r="L11" s="36">
        <f>'B) D RI'!S12</f>
        <v>71</v>
      </c>
      <c r="M11" s="36">
        <f t="shared" si="2"/>
        <v>60.501144768371802</v>
      </c>
      <c r="N11" s="498">
        <f>'J) Plafonnement effort'!G10+'J) Plafonnement effort'!H10-'K) Plafonnement aide'!I10</f>
        <v>5.5619331014640689</v>
      </c>
      <c r="O11" s="191">
        <f t="shared" si="3"/>
        <v>66.063077869835865</v>
      </c>
      <c r="P11" s="51">
        <f t="shared" si="4"/>
        <v>0</v>
      </c>
      <c r="Q11" s="67">
        <f t="shared" si="5"/>
        <v>0</v>
      </c>
      <c r="R11" s="222">
        <f t="shared" si="6"/>
        <v>66.063077869835865</v>
      </c>
      <c r="S11" s="191">
        <f t="shared" si="7"/>
        <v>-4.9369221301641346</v>
      </c>
      <c r="T11" s="221"/>
      <c r="U11" s="31"/>
    </row>
    <row r="12" spans="1:21" x14ac:dyDescent="0.25">
      <c r="A12" s="53">
        <f>'A) Base RI'!A13</f>
        <v>5407</v>
      </c>
      <c r="B12" s="65" t="str">
        <f>'A) Base RI'!B13</f>
        <v>Leysin</v>
      </c>
      <c r="C12" s="495">
        <v>1869970.8730172066</v>
      </c>
      <c r="D12" s="495">
        <v>-1350781.5543491538</v>
      </c>
      <c r="E12" s="230"/>
      <c r="F12" s="229"/>
      <c r="G12" s="229"/>
      <c r="H12" s="231">
        <f t="shared" si="0"/>
        <v>519189.31866805279</v>
      </c>
      <c r="I12" s="507">
        <v>102799.09089743589</v>
      </c>
      <c r="J12" s="127">
        <f>'B) D RI'!U13</f>
        <v>82610.97474358973</v>
      </c>
      <c r="K12" s="84">
        <f t="shared" si="1"/>
        <v>5.0505244174392097</v>
      </c>
      <c r="L12" s="36">
        <f>'B) D RI'!S13</f>
        <v>78</v>
      </c>
      <c r="M12" s="36">
        <f t="shared" si="2"/>
        <v>72.949475582560794</v>
      </c>
      <c r="N12" s="498">
        <f>'J) Plafonnement effort'!G11+'J) Plafonnement effort'!H11-'K) Plafonnement aide'!I11</f>
        <v>-31.467074061572344</v>
      </c>
      <c r="O12" s="191">
        <f t="shared" si="3"/>
        <v>41.482401520988446</v>
      </c>
      <c r="P12" s="51">
        <f t="shared" si="4"/>
        <v>0</v>
      </c>
      <c r="Q12" s="67">
        <f t="shared" si="5"/>
        <v>0</v>
      </c>
      <c r="R12" s="222">
        <f t="shared" si="6"/>
        <v>41.482401520988446</v>
      </c>
      <c r="S12" s="191">
        <f t="shared" si="7"/>
        <v>-36.517598479011554</v>
      </c>
      <c r="T12" s="221"/>
      <c r="U12" s="31"/>
    </row>
    <row r="13" spans="1:21" x14ac:dyDescent="0.25">
      <c r="A13" s="53">
        <f>'A) Base RI'!A14</f>
        <v>5408</v>
      </c>
      <c r="B13" s="65" t="str">
        <f>'A) Base RI'!B14</f>
        <v>Noville</v>
      </c>
      <c r="C13" s="495">
        <v>642186.40962365025</v>
      </c>
      <c r="D13" s="495">
        <v>284790.95511022687</v>
      </c>
      <c r="E13" s="230"/>
      <c r="F13" s="229"/>
      <c r="G13" s="229"/>
      <c r="H13" s="231">
        <f t="shared" si="0"/>
        <v>926977.36473387713</v>
      </c>
      <c r="I13" s="507">
        <v>34745.229256900217</v>
      </c>
      <c r="J13" s="127">
        <f>'B) D RI'!U14</f>
        <v>33419.560339702759</v>
      </c>
      <c r="K13" s="84">
        <f t="shared" si="1"/>
        <v>26.67927035046932</v>
      </c>
      <c r="L13" s="36">
        <f>'B) D RI'!S14</f>
        <v>78.5</v>
      </c>
      <c r="M13" s="36">
        <f t="shared" si="2"/>
        <v>51.820729649530676</v>
      </c>
      <c r="N13" s="498">
        <f>'J) Plafonnement effort'!G12+'J) Plafonnement effort'!H12-'K) Plafonnement aide'!I12</f>
        <v>21.015953507046621</v>
      </c>
      <c r="O13" s="191">
        <f t="shared" si="3"/>
        <v>72.836683156577294</v>
      </c>
      <c r="P13" s="51">
        <f t="shared" si="4"/>
        <v>0</v>
      </c>
      <c r="Q13" s="67">
        <f t="shared" si="5"/>
        <v>0</v>
      </c>
      <c r="R13" s="222">
        <f t="shared" si="6"/>
        <v>72.836683156577294</v>
      </c>
      <c r="S13" s="191">
        <f t="shared" si="7"/>
        <v>-5.6633168434227059</v>
      </c>
      <c r="T13" s="221"/>
      <c r="U13" s="31"/>
    </row>
    <row r="14" spans="1:21" x14ac:dyDescent="0.25">
      <c r="A14" s="53">
        <f>'A) Base RI'!A15</f>
        <v>5409</v>
      </c>
      <c r="B14" s="65" t="str">
        <f>'A) Base RI'!B15</f>
        <v>Ollon</v>
      </c>
      <c r="C14" s="495">
        <v>22057341.198460735</v>
      </c>
      <c r="D14" s="495">
        <v>6356511.6956882495</v>
      </c>
      <c r="E14" s="230"/>
      <c r="F14" s="229"/>
      <c r="G14" s="229"/>
      <c r="H14" s="231">
        <f t="shared" si="0"/>
        <v>28413852.894148983</v>
      </c>
      <c r="I14" s="507">
        <v>592476.91795248864</v>
      </c>
      <c r="J14" s="127">
        <f>'B) D RI'!U15</f>
        <v>366034.73937782802</v>
      </c>
      <c r="K14" s="84">
        <f t="shared" si="1"/>
        <v>47.957738155172351</v>
      </c>
      <c r="L14" s="36">
        <f>'B) D RI'!S15</f>
        <v>68</v>
      </c>
      <c r="M14" s="36">
        <f t="shared" si="2"/>
        <v>20.042261844827649</v>
      </c>
      <c r="N14" s="498">
        <f>'J) Plafonnement effort'!G13+'J) Plafonnement effort'!H13-'K) Plafonnement aide'!I13</f>
        <v>25.360141582516647</v>
      </c>
      <c r="O14" s="191">
        <f t="shared" si="3"/>
        <v>45.402403427344296</v>
      </c>
      <c r="P14" s="51">
        <f t="shared" si="4"/>
        <v>0</v>
      </c>
      <c r="Q14" s="67">
        <f t="shared" si="5"/>
        <v>0</v>
      </c>
      <c r="R14" s="222">
        <f t="shared" si="6"/>
        <v>45.402403427344296</v>
      </c>
      <c r="S14" s="191">
        <f t="shared" si="7"/>
        <v>-22.597596572655704</v>
      </c>
      <c r="T14" s="221"/>
      <c r="U14" s="31"/>
    </row>
    <row r="15" spans="1:21" x14ac:dyDescent="0.25">
      <c r="A15" s="53">
        <f>'A) Base RI'!A16</f>
        <v>5410</v>
      </c>
      <c r="B15" s="65" t="str">
        <f>'A) Base RI'!B16</f>
        <v>Ormont-Dessous</v>
      </c>
      <c r="C15" s="495">
        <v>670076.1842380797</v>
      </c>
      <c r="D15" s="495">
        <v>178389.3754497004</v>
      </c>
      <c r="E15" s="230"/>
      <c r="F15" s="229"/>
      <c r="G15" s="229"/>
      <c r="H15" s="231">
        <f t="shared" si="0"/>
        <v>848465.5596877801</v>
      </c>
      <c r="I15" s="507">
        <v>35234.198174097655</v>
      </c>
      <c r="J15" s="127">
        <f>'B) D RI'!U16</f>
        <v>36452.210276008496</v>
      </c>
      <c r="K15" s="84">
        <f t="shared" si="1"/>
        <v>24.080739839612065</v>
      </c>
      <c r="L15" s="36">
        <f>'B) D RI'!S16</f>
        <v>78.5</v>
      </c>
      <c r="M15" s="36">
        <f t="shared" si="2"/>
        <v>54.419260160387935</v>
      </c>
      <c r="N15" s="498">
        <f>'J) Plafonnement effort'!G14+'J) Plafonnement effort'!H14-'K) Plafonnement aide'!I14</f>
        <v>2.9684146643538227</v>
      </c>
      <c r="O15" s="191">
        <f t="shared" si="3"/>
        <v>57.387674824741758</v>
      </c>
      <c r="P15" s="51">
        <f t="shared" si="4"/>
        <v>0</v>
      </c>
      <c r="Q15" s="67">
        <f t="shared" si="5"/>
        <v>0</v>
      </c>
      <c r="R15" s="222">
        <f t="shared" si="6"/>
        <v>57.387674824741758</v>
      </c>
      <c r="S15" s="191">
        <f t="shared" si="7"/>
        <v>-21.112325175258242</v>
      </c>
      <c r="T15" s="221"/>
      <c r="U15" s="31"/>
    </row>
    <row r="16" spans="1:21" x14ac:dyDescent="0.25">
      <c r="A16" s="53">
        <f>'A) Base RI'!A17</f>
        <v>5411</v>
      </c>
      <c r="B16" s="65" t="str">
        <f>'A) Base RI'!B17</f>
        <v>Ormont-Dessus</v>
      </c>
      <c r="C16" s="495">
        <v>1289345.7708225506</v>
      </c>
      <c r="D16" s="495">
        <v>1061786.3296012036</v>
      </c>
      <c r="E16" s="230"/>
      <c r="F16" s="229"/>
      <c r="G16" s="229"/>
      <c r="H16" s="231">
        <f t="shared" si="0"/>
        <v>2351132.1004237542</v>
      </c>
      <c r="I16" s="507">
        <v>71790.213859649128</v>
      </c>
      <c r="J16" s="127">
        <f>'B) D RI'!U17</f>
        <v>74047.924868421047</v>
      </c>
      <c r="K16" s="84">
        <f t="shared" si="1"/>
        <v>32.750036168164236</v>
      </c>
      <c r="L16" s="36">
        <f>'B) D RI'!S17</f>
        <v>76</v>
      </c>
      <c r="M16" s="36">
        <f t="shared" si="2"/>
        <v>43.249963831835764</v>
      </c>
      <c r="N16" s="498">
        <f>'J) Plafonnement effort'!G15+'J) Plafonnement effort'!H15-'K) Plafonnement aide'!I15</f>
        <v>20.80303005531049</v>
      </c>
      <c r="O16" s="191">
        <f t="shared" si="3"/>
        <v>64.052993887146258</v>
      </c>
      <c r="P16" s="51">
        <f t="shared" si="4"/>
        <v>0</v>
      </c>
      <c r="Q16" s="67">
        <f t="shared" si="5"/>
        <v>0</v>
      </c>
      <c r="R16" s="222">
        <f t="shared" si="6"/>
        <v>64.052993887146258</v>
      </c>
      <c r="S16" s="191">
        <f t="shared" si="7"/>
        <v>-11.947006112853742</v>
      </c>
      <c r="T16" s="221"/>
      <c r="U16" s="31"/>
    </row>
    <row r="17" spans="1:21" x14ac:dyDescent="0.25">
      <c r="A17" s="53">
        <f>'A) Base RI'!A18</f>
        <v>5412</v>
      </c>
      <c r="B17" s="65" t="str">
        <f>'A) Base RI'!B18</f>
        <v>Rennaz</v>
      </c>
      <c r="C17" s="495">
        <v>472868.43454697414</v>
      </c>
      <c r="D17" s="495">
        <v>220396.75292545464</v>
      </c>
      <c r="E17" s="230"/>
      <c r="F17" s="229"/>
      <c r="G17" s="229"/>
      <c r="H17" s="231">
        <f t="shared" si="0"/>
        <v>693265.18747242878</v>
      </c>
      <c r="I17" s="507">
        <v>26501.739703703701</v>
      </c>
      <c r="J17" s="127">
        <f>'B) D RI'!U18</f>
        <v>26224.228148148151</v>
      </c>
      <c r="K17" s="84">
        <f t="shared" si="1"/>
        <v>26.159233138024625</v>
      </c>
      <c r="L17" s="36">
        <f>'B) D RI'!S18</f>
        <v>67.5</v>
      </c>
      <c r="M17" s="36">
        <f t="shared" si="2"/>
        <v>41.340766861975375</v>
      </c>
      <c r="N17" s="498">
        <f>'J) Plafonnement effort'!G16+'J) Plafonnement effort'!H16-'K) Plafonnement aide'!I16</f>
        <v>22.724972139223571</v>
      </c>
      <c r="O17" s="191">
        <f t="shared" si="3"/>
        <v>64.065739001198949</v>
      </c>
      <c r="P17" s="51">
        <f t="shared" si="4"/>
        <v>0</v>
      </c>
      <c r="Q17" s="67">
        <f t="shared" si="5"/>
        <v>0</v>
      </c>
      <c r="R17" s="222">
        <f t="shared" si="6"/>
        <v>64.065739001198949</v>
      </c>
      <c r="S17" s="191">
        <f t="shared" si="7"/>
        <v>-3.4342609988010508</v>
      </c>
      <c r="T17" s="221"/>
      <c r="U17" s="31"/>
    </row>
    <row r="18" spans="1:21" x14ac:dyDescent="0.25">
      <c r="A18" s="53">
        <f>'A) Base RI'!A19</f>
        <v>5413</v>
      </c>
      <c r="B18" s="65" t="str">
        <f>'A) Base RI'!B19</f>
        <v>Roche</v>
      </c>
      <c r="C18" s="495">
        <v>671633.21912733163</v>
      </c>
      <c r="D18" s="495">
        <v>-198061.09598933102</v>
      </c>
      <c r="E18" s="230"/>
      <c r="F18" s="229"/>
      <c r="G18" s="229"/>
      <c r="H18" s="231">
        <f t="shared" si="0"/>
        <v>473572.12313800061</v>
      </c>
      <c r="I18" s="507">
        <v>34861.221617647054</v>
      </c>
      <c r="J18" s="127">
        <f>'B) D RI'!U19</f>
        <v>38924.228382352943</v>
      </c>
      <c r="K18" s="84">
        <f t="shared" si="1"/>
        <v>13.584495928802285</v>
      </c>
      <c r="L18" s="36">
        <f>'B) D RI'!S19</f>
        <v>68</v>
      </c>
      <c r="M18" s="36">
        <f t="shared" si="2"/>
        <v>54.415504071197716</v>
      </c>
      <c r="N18" s="498">
        <f>'J) Plafonnement effort'!G17+'J) Plafonnement effort'!H17-'K) Plafonnement aide'!I17</f>
        <v>15.008223936071788</v>
      </c>
      <c r="O18" s="191">
        <f t="shared" si="3"/>
        <v>69.423728007269503</v>
      </c>
      <c r="P18" s="51">
        <f t="shared" si="4"/>
        <v>0</v>
      </c>
      <c r="Q18" s="67">
        <f t="shared" si="5"/>
        <v>0</v>
      </c>
      <c r="R18" s="222">
        <f t="shared" si="6"/>
        <v>69.423728007269503</v>
      </c>
      <c r="S18" s="191">
        <f t="shared" si="7"/>
        <v>1.4237280072695029</v>
      </c>
      <c r="T18" s="221"/>
      <c r="U18" s="31"/>
    </row>
    <row r="19" spans="1:21" x14ac:dyDescent="0.25">
      <c r="A19" s="53">
        <f>'A) Base RI'!A20</f>
        <v>5414</v>
      </c>
      <c r="B19" s="65" t="str">
        <f>'A) Base RI'!B20</f>
        <v>Villeneuve</v>
      </c>
      <c r="C19" s="495">
        <v>3338226.7375143189</v>
      </c>
      <c r="D19" s="495">
        <v>-232081.94118006853</v>
      </c>
      <c r="E19" s="230"/>
      <c r="F19" s="229"/>
      <c r="G19" s="229"/>
      <c r="H19" s="231">
        <f t="shared" si="0"/>
        <v>3106144.7963342504</v>
      </c>
      <c r="I19" s="507">
        <v>168009.32057971013</v>
      </c>
      <c r="J19" s="127">
        <f>'B) D RI'!U20</f>
        <v>159863.47130434786</v>
      </c>
      <c r="K19" s="84">
        <f t="shared" si="1"/>
        <v>18.487931417236908</v>
      </c>
      <c r="L19" s="36">
        <f>'B) D RI'!S20</f>
        <v>69</v>
      </c>
      <c r="M19" s="36">
        <f t="shared" si="2"/>
        <v>50.512068582763092</v>
      </c>
      <c r="N19" s="498">
        <f>'J) Plafonnement effort'!G18+'J) Plafonnement effort'!H18-'K) Plafonnement aide'!I18</f>
        <v>6.0645914932469349</v>
      </c>
      <c r="O19" s="191">
        <f t="shared" si="3"/>
        <v>56.576660076010029</v>
      </c>
      <c r="P19" s="51">
        <f t="shared" si="4"/>
        <v>0</v>
      </c>
      <c r="Q19" s="67">
        <f t="shared" si="5"/>
        <v>0</v>
      </c>
      <c r="R19" s="222">
        <f t="shared" si="6"/>
        <v>56.576660076010029</v>
      </c>
      <c r="S19" s="191">
        <f t="shared" si="7"/>
        <v>-12.423339923989971</v>
      </c>
      <c r="T19" s="221"/>
      <c r="U19" s="31"/>
    </row>
    <row r="20" spans="1:21" x14ac:dyDescent="0.25">
      <c r="A20" s="53">
        <f>'A) Base RI'!A21</f>
        <v>5415</v>
      </c>
      <c r="B20" s="65" t="str">
        <f>'A) Base RI'!B21</f>
        <v>Yvorne</v>
      </c>
      <c r="C20" s="495">
        <v>694775.73897221801</v>
      </c>
      <c r="D20" s="495">
        <v>649427.90890327969</v>
      </c>
      <c r="E20" s="230"/>
      <c r="F20" s="229"/>
      <c r="G20" s="229"/>
      <c r="H20" s="231">
        <f t="shared" si="0"/>
        <v>1344203.6478754976</v>
      </c>
      <c r="I20" s="507">
        <v>43055.973722627736</v>
      </c>
      <c r="J20" s="127">
        <f>'B) D RI'!U21</f>
        <v>35726.744476885644</v>
      </c>
      <c r="K20" s="84">
        <f t="shared" si="1"/>
        <v>31.219910540986366</v>
      </c>
      <c r="L20" s="36">
        <f>'B) D RI'!S21</f>
        <v>68.5</v>
      </c>
      <c r="M20" s="36">
        <f t="shared" si="2"/>
        <v>37.280089459013638</v>
      </c>
      <c r="N20" s="498">
        <f>'J) Plafonnement effort'!G19+'J) Plafonnement effort'!H19-'K) Plafonnement aide'!I19</f>
        <v>25.035752626068476</v>
      </c>
      <c r="O20" s="191">
        <f t="shared" si="3"/>
        <v>62.31584208508211</v>
      </c>
      <c r="P20" s="51">
        <f t="shared" si="4"/>
        <v>0</v>
      </c>
      <c r="Q20" s="67">
        <f t="shared" si="5"/>
        <v>0</v>
      </c>
      <c r="R20" s="222">
        <f t="shared" si="6"/>
        <v>62.31584208508211</v>
      </c>
      <c r="S20" s="191">
        <f t="shared" si="7"/>
        <v>-6.1841579149178898</v>
      </c>
      <c r="T20" s="221"/>
      <c r="U20" s="31"/>
    </row>
    <row r="21" spans="1:21" x14ac:dyDescent="0.25">
      <c r="A21" s="53">
        <f>'A) Base RI'!A22</f>
        <v>5421</v>
      </c>
      <c r="B21" s="65" t="str">
        <f>'A) Base RI'!B22</f>
        <v>Apples</v>
      </c>
      <c r="C21" s="495">
        <v>1127581.529938593</v>
      </c>
      <c r="D21" s="495">
        <v>795029.89078360284</v>
      </c>
      <c r="E21" s="230"/>
      <c r="F21" s="229"/>
      <c r="G21" s="229"/>
      <c r="H21" s="231">
        <f t="shared" si="0"/>
        <v>1922611.4207221959</v>
      </c>
      <c r="I21" s="507">
        <v>57391.691408450701</v>
      </c>
      <c r="J21" s="127">
        <f>'B) D RI'!U22</f>
        <v>59005.563421052633</v>
      </c>
      <c r="K21" s="84">
        <f t="shared" si="1"/>
        <v>33.499821551505953</v>
      </c>
      <c r="L21" s="36">
        <f>'B) D RI'!S22</f>
        <v>76</v>
      </c>
      <c r="M21" s="36">
        <f t="shared" si="2"/>
        <v>42.500178448494047</v>
      </c>
      <c r="N21" s="498">
        <f>'J) Plafonnement effort'!G20+'J) Plafonnement effort'!H20-'K) Plafonnement aide'!I20</f>
        <v>23.910326187192503</v>
      </c>
      <c r="O21" s="191">
        <f t="shared" si="3"/>
        <v>66.41050463568655</v>
      </c>
      <c r="P21" s="51">
        <f t="shared" si="4"/>
        <v>0</v>
      </c>
      <c r="Q21" s="67">
        <f t="shared" si="5"/>
        <v>0</v>
      </c>
      <c r="R21" s="222">
        <f t="shared" si="6"/>
        <v>66.41050463568655</v>
      </c>
      <c r="S21" s="191">
        <f t="shared" si="7"/>
        <v>-9.58949536431345</v>
      </c>
      <c r="T21" s="221"/>
      <c r="U21" s="31"/>
    </row>
    <row r="22" spans="1:21" x14ac:dyDescent="0.25">
      <c r="A22" s="53">
        <f>'A) Base RI'!A23</f>
        <v>5422</v>
      </c>
      <c r="B22" s="65" t="str">
        <f>'A) Base RI'!B23</f>
        <v>Aubonne</v>
      </c>
      <c r="C22" s="495">
        <v>5141906.2910321783</v>
      </c>
      <c r="D22" s="495">
        <v>2999402.6074491604</v>
      </c>
      <c r="E22" s="230"/>
      <c r="F22" s="229"/>
      <c r="G22" s="229"/>
      <c r="H22" s="231">
        <f t="shared" si="0"/>
        <v>8141308.8984813392</v>
      </c>
      <c r="I22" s="507">
        <v>231550.9032352941</v>
      </c>
      <c r="J22" s="127">
        <f>'B) D RI'!U23</f>
        <v>218988.17661764708</v>
      </c>
      <c r="K22" s="84">
        <f t="shared" si="1"/>
        <v>35.159909914963364</v>
      </c>
      <c r="L22" s="36">
        <f>'B) D RI'!S23</f>
        <v>68</v>
      </c>
      <c r="M22" s="36">
        <f t="shared" si="2"/>
        <v>32.840090085036636</v>
      </c>
      <c r="N22" s="498">
        <f>'J) Plafonnement effort'!G21+'J) Plafonnement effort'!H21-'K) Plafonnement aide'!I21</f>
        <v>33.158880350742621</v>
      </c>
      <c r="O22" s="191">
        <f t="shared" si="3"/>
        <v>65.998970435779256</v>
      </c>
      <c r="P22" s="51">
        <f t="shared" si="4"/>
        <v>0</v>
      </c>
      <c r="Q22" s="67">
        <f t="shared" si="5"/>
        <v>0</v>
      </c>
      <c r="R22" s="222">
        <f t="shared" si="6"/>
        <v>65.998970435779256</v>
      </c>
      <c r="S22" s="191">
        <f t="shared" si="7"/>
        <v>-2.0010295642207439</v>
      </c>
      <c r="T22" s="221"/>
      <c r="U22" s="31"/>
    </row>
    <row r="23" spans="1:21" x14ac:dyDescent="0.25">
      <c r="A23" s="53">
        <f>'A) Base RI'!A24</f>
        <v>5423</v>
      </c>
      <c r="B23" s="65" t="str">
        <f>'A) Base RI'!B24</f>
        <v>Ballens</v>
      </c>
      <c r="C23" s="495">
        <v>339450.75870693545</v>
      </c>
      <c r="D23" s="495">
        <v>268773.78651640064</v>
      </c>
      <c r="E23" s="230"/>
      <c r="F23" s="229"/>
      <c r="G23" s="229"/>
      <c r="H23" s="231">
        <f t="shared" si="0"/>
        <v>608224.54522333608</v>
      </c>
      <c r="I23" s="507">
        <v>19761.871884057968</v>
      </c>
      <c r="J23" s="127">
        <f>'B) D RI'!U24</f>
        <v>15358.055362318841</v>
      </c>
      <c r="K23" s="84">
        <f t="shared" si="1"/>
        <v>30.777678794385608</v>
      </c>
      <c r="L23" s="36">
        <f>'B) D RI'!S24</f>
        <v>69</v>
      </c>
      <c r="M23" s="36">
        <f t="shared" si="2"/>
        <v>38.222321205614392</v>
      </c>
      <c r="N23" s="498">
        <f>'J) Plafonnement effort'!G22+'J) Plafonnement effort'!H22-'K) Plafonnement aide'!I22</f>
        <v>18.190888670241137</v>
      </c>
      <c r="O23" s="191">
        <f t="shared" si="3"/>
        <v>56.413209875855529</v>
      </c>
      <c r="P23" s="51">
        <f t="shared" si="4"/>
        <v>0</v>
      </c>
      <c r="Q23" s="67">
        <f t="shared" si="5"/>
        <v>0</v>
      </c>
      <c r="R23" s="222">
        <f t="shared" si="6"/>
        <v>56.413209875855529</v>
      </c>
      <c r="S23" s="191">
        <f t="shared" si="7"/>
        <v>-12.586790124144471</v>
      </c>
      <c r="T23" s="221"/>
      <c r="U23" s="31"/>
    </row>
    <row r="24" spans="1:21" x14ac:dyDescent="0.25">
      <c r="A24" s="53">
        <f>'A) Base RI'!A25</f>
        <v>5424</v>
      </c>
      <c r="B24" s="65" t="str">
        <f>'A) Base RI'!B25</f>
        <v>Berolle</v>
      </c>
      <c r="C24" s="495">
        <v>160498.11977899089</v>
      </c>
      <c r="D24" s="495">
        <v>64502.28492594065</v>
      </c>
      <c r="E24" s="230"/>
      <c r="F24" s="229"/>
      <c r="G24" s="229"/>
      <c r="H24" s="231">
        <f t="shared" si="0"/>
        <v>225000.40470493154</v>
      </c>
      <c r="I24" s="507">
        <v>9360.1262337662338</v>
      </c>
      <c r="J24" s="127">
        <f>'B) D RI'!U25</f>
        <v>9058.2428571428572</v>
      </c>
      <c r="K24" s="84">
        <f t="shared" si="1"/>
        <v>24.03818058492125</v>
      </c>
      <c r="L24" s="36">
        <f>'B) D RI'!S25</f>
        <v>77</v>
      </c>
      <c r="M24" s="36">
        <f t="shared" si="2"/>
        <v>52.96181941507875</v>
      </c>
      <c r="N24" s="498">
        <f>'J) Plafonnement effort'!G23+'J) Plafonnement effort'!H23-'K) Plafonnement aide'!I23</f>
        <v>18.580697329219575</v>
      </c>
      <c r="O24" s="191">
        <f t="shared" si="3"/>
        <v>71.542516744298325</v>
      </c>
      <c r="P24" s="51">
        <f t="shared" si="4"/>
        <v>0</v>
      </c>
      <c r="Q24" s="67">
        <f t="shared" si="5"/>
        <v>0</v>
      </c>
      <c r="R24" s="222">
        <f t="shared" si="6"/>
        <v>71.542516744298325</v>
      </c>
      <c r="S24" s="191">
        <f t="shared" si="7"/>
        <v>-5.4574832557016748</v>
      </c>
      <c r="T24" s="221"/>
      <c r="U24" s="31"/>
    </row>
    <row r="25" spans="1:21" x14ac:dyDescent="0.25">
      <c r="A25" s="53">
        <f>'A) Base RI'!A26</f>
        <v>5425</v>
      </c>
      <c r="B25" s="65" t="str">
        <f>'A) Base RI'!B26</f>
        <v>Bière</v>
      </c>
      <c r="C25" s="495">
        <v>700681.52956354083</v>
      </c>
      <c r="D25" s="495">
        <v>-28869.753938257345</v>
      </c>
      <c r="E25" s="230"/>
      <c r="F25" s="229"/>
      <c r="G25" s="229"/>
      <c r="H25" s="231">
        <f t="shared" si="0"/>
        <v>671811.77562528348</v>
      </c>
      <c r="I25" s="507">
        <v>40787.403970588231</v>
      </c>
      <c r="J25" s="127">
        <f>'B) D RI'!U26</f>
        <v>39413.041470588236</v>
      </c>
      <c r="K25" s="84">
        <f t="shared" si="1"/>
        <v>16.471059940704404</v>
      </c>
      <c r="L25" s="36">
        <f>'B) D RI'!S26</f>
        <v>68</v>
      </c>
      <c r="M25" s="36">
        <f t="shared" si="2"/>
        <v>51.528940059295593</v>
      </c>
      <c r="N25" s="498">
        <f>'J) Plafonnement effort'!G24+'J) Plafonnement effort'!H24-'K) Plafonnement aide'!I24</f>
        <v>5.2475072113995758</v>
      </c>
      <c r="O25" s="191">
        <f t="shared" si="3"/>
        <v>56.776447270695172</v>
      </c>
      <c r="P25" s="51">
        <f t="shared" si="4"/>
        <v>0</v>
      </c>
      <c r="Q25" s="67">
        <f t="shared" si="5"/>
        <v>0</v>
      </c>
      <c r="R25" s="222">
        <f t="shared" si="6"/>
        <v>56.776447270695172</v>
      </c>
      <c r="S25" s="191">
        <f t="shared" si="7"/>
        <v>-11.223552729304828</v>
      </c>
      <c r="T25" s="221"/>
      <c r="U25" s="31"/>
    </row>
    <row r="26" spans="1:21" x14ac:dyDescent="0.25">
      <c r="A26" s="53">
        <f>'A) Base RI'!A27</f>
        <v>5426</v>
      </c>
      <c r="B26" s="65" t="str">
        <f>'A) Base RI'!B27</f>
        <v>Bougy-Villars</v>
      </c>
      <c r="C26" s="495">
        <v>1040632.2072980901</v>
      </c>
      <c r="D26" s="495">
        <v>610132.84905514284</v>
      </c>
      <c r="E26" s="230"/>
      <c r="F26" s="229"/>
      <c r="G26" s="229"/>
      <c r="H26" s="231">
        <f t="shared" si="0"/>
        <v>1650765.0563532328</v>
      </c>
      <c r="I26" s="507">
        <v>42113.452258064506</v>
      </c>
      <c r="J26" s="127">
        <f>'B) D RI'!U27</f>
        <v>42567.7185483871</v>
      </c>
      <c r="K26" s="84">
        <f t="shared" si="1"/>
        <v>39.198046416085965</v>
      </c>
      <c r="L26" s="36">
        <f>'B) D RI'!S27</f>
        <v>62</v>
      </c>
      <c r="M26" s="36">
        <f t="shared" si="2"/>
        <v>22.801953583914035</v>
      </c>
      <c r="N26" s="498">
        <f>'J) Plafonnement effort'!G25+'J) Plafonnement effort'!H25-'K) Plafonnement aide'!I25</f>
        <v>56.131296849291822</v>
      </c>
      <c r="O26" s="191">
        <f t="shared" si="3"/>
        <v>78.933250433205856</v>
      </c>
      <c r="P26" s="51">
        <f t="shared" si="4"/>
        <v>0</v>
      </c>
      <c r="Q26" s="67">
        <f t="shared" si="5"/>
        <v>0</v>
      </c>
      <c r="R26" s="222">
        <f t="shared" si="6"/>
        <v>78.933250433205856</v>
      </c>
      <c r="S26" s="191">
        <f t="shared" si="7"/>
        <v>16.933250433205856</v>
      </c>
      <c r="T26" s="221"/>
      <c r="U26" s="31"/>
    </row>
    <row r="27" spans="1:21" x14ac:dyDescent="0.25">
      <c r="A27" s="53">
        <f>'A) Base RI'!A28</f>
        <v>5427</v>
      </c>
      <c r="B27" s="65" t="str">
        <f>'A) Base RI'!B28</f>
        <v>Féchy</v>
      </c>
      <c r="C27" s="495">
        <v>1377956.7404338131</v>
      </c>
      <c r="D27" s="495">
        <v>981654.33256569807</v>
      </c>
      <c r="E27" s="230"/>
      <c r="F27" s="229"/>
      <c r="G27" s="229"/>
      <c r="H27" s="231">
        <f t="shared" si="0"/>
        <v>2359611.0729995109</v>
      </c>
      <c r="I27" s="507">
        <v>64357.078870192301</v>
      </c>
      <c r="J27" s="127">
        <f>'B) D RI'!U28</f>
        <v>68786.678798076915</v>
      </c>
      <c r="K27" s="84">
        <f t="shared" si="1"/>
        <v>36.664359452342872</v>
      </c>
      <c r="L27" s="36">
        <f>'B) D RI'!S28</f>
        <v>64</v>
      </c>
      <c r="M27" s="36">
        <f t="shared" si="2"/>
        <v>27.335640547657128</v>
      </c>
      <c r="N27" s="498">
        <f>'J) Plafonnement effort'!G26+'J) Plafonnement effort'!H26-'K) Plafonnement aide'!I26</f>
        <v>37.864336325815955</v>
      </c>
      <c r="O27" s="191">
        <f t="shared" si="3"/>
        <v>65.199976873473076</v>
      </c>
      <c r="P27" s="51">
        <f t="shared" si="4"/>
        <v>0</v>
      </c>
      <c r="Q27" s="67">
        <f t="shared" si="5"/>
        <v>0</v>
      </c>
      <c r="R27" s="222">
        <f t="shared" si="6"/>
        <v>65.199976873473076</v>
      </c>
      <c r="S27" s="191">
        <f t="shared" si="7"/>
        <v>1.1999768734730765</v>
      </c>
      <c r="T27" s="221"/>
      <c r="U27" s="31"/>
    </row>
    <row r="28" spans="1:21" x14ac:dyDescent="0.25">
      <c r="A28" s="53">
        <f>'A) Base RI'!A29</f>
        <v>5428</v>
      </c>
      <c r="B28" s="65" t="str">
        <f>'A) Base RI'!B29</f>
        <v>Gimel</v>
      </c>
      <c r="C28" s="495">
        <v>1097124.5524859698</v>
      </c>
      <c r="D28" s="495">
        <v>129320.83599872119</v>
      </c>
      <c r="E28" s="230"/>
      <c r="F28" s="229"/>
      <c r="G28" s="229"/>
      <c r="H28" s="231">
        <f t="shared" si="0"/>
        <v>1226445.388484691</v>
      </c>
      <c r="I28" s="507">
        <v>57546.053752913758</v>
      </c>
      <c r="J28" s="127">
        <f>'B) D RI'!U29</f>
        <v>58004.622727272719</v>
      </c>
      <c r="K28" s="84">
        <f t="shared" si="1"/>
        <v>21.312415161440882</v>
      </c>
      <c r="L28" s="36">
        <f>'B) D RI'!S29</f>
        <v>71.5</v>
      </c>
      <c r="M28" s="36">
        <f t="shared" si="2"/>
        <v>50.187584838559118</v>
      </c>
      <c r="N28" s="498">
        <f>'J) Plafonnement effort'!G27+'J) Plafonnement effort'!H27-'K) Plafonnement aide'!I27</f>
        <v>16.536716021685017</v>
      </c>
      <c r="O28" s="191">
        <f t="shared" si="3"/>
        <v>66.724300860244142</v>
      </c>
      <c r="P28" s="51">
        <f t="shared" si="4"/>
        <v>0</v>
      </c>
      <c r="Q28" s="67">
        <f t="shared" si="5"/>
        <v>0</v>
      </c>
      <c r="R28" s="222">
        <f t="shared" si="6"/>
        <v>66.724300860244142</v>
      </c>
      <c r="S28" s="191">
        <f t="shared" si="7"/>
        <v>-4.7756991397558579</v>
      </c>
      <c r="T28" s="221"/>
      <c r="U28" s="31"/>
    </row>
    <row r="29" spans="1:21" x14ac:dyDescent="0.25">
      <c r="A29" s="53">
        <f>'A) Base RI'!A30</f>
        <v>5429</v>
      </c>
      <c r="B29" s="65" t="str">
        <f>'A) Base RI'!B30</f>
        <v>Longirod</v>
      </c>
      <c r="C29" s="495">
        <v>230601.74386633883</v>
      </c>
      <c r="D29" s="495">
        <v>35459.35289291825</v>
      </c>
      <c r="E29" s="230"/>
      <c r="F29" s="229"/>
      <c r="G29" s="229"/>
      <c r="H29" s="231">
        <f t="shared" si="0"/>
        <v>266061.09675925708</v>
      </c>
      <c r="I29" s="507">
        <v>13645.142716049384</v>
      </c>
      <c r="J29" s="127">
        <f>'B) D RI'!U30</f>
        <v>12171.349506172839</v>
      </c>
      <c r="K29" s="84">
        <f t="shared" si="1"/>
        <v>19.498593916963337</v>
      </c>
      <c r="L29" s="36">
        <f>'B) D RI'!S30</f>
        <v>81</v>
      </c>
      <c r="M29" s="36">
        <f t="shared" si="2"/>
        <v>61.501406083036663</v>
      </c>
      <c r="N29" s="498">
        <f>'J) Plafonnement effort'!G28+'J) Plafonnement effort'!H28-'K) Plafonnement aide'!I28</f>
        <v>10.193495422139025</v>
      </c>
      <c r="O29" s="191">
        <f t="shared" si="3"/>
        <v>71.694901505175693</v>
      </c>
      <c r="P29" s="51">
        <f t="shared" si="4"/>
        <v>0</v>
      </c>
      <c r="Q29" s="67">
        <f t="shared" si="5"/>
        <v>0</v>
      </c>
      <c r="R29" s="222">
        <f t="shared" si="6"/>
        <v>71.694901505175693</v>
      </c>
      <c r="S29" s="191">
        <f t="shared" si="7"/>
        <v>-9.305098494824307</v>
      </c>
      <c r="T29" s="221"/>
      <c r="U29" s="31"/>
    </row>
    <row r="30" spans="1:21" x14ac:dyDescent="0.25">
      <c r="A30" s="53">
        <f>'A) Base RI'!A31</f>
        <v>5430</v>
      </c>
      <c r="B30" s="65" t="str">
        <f>'A) Base RI'!B31</f>
        <v>Marchissy</v>
      </c>
      <c r="C30" s="495">
        <v>283373.77508855995</v>
      </c>
      <c r="D30" s="495">
        <v>20870.869796561281</v>
      </c>
      <c r="E30" s="230"/>
      <c r="F30" s="229"/>
      <c r="G30" s="229"/>
      <c r="H30" s="231">
        <f t="shared" si="0"/>
        <v>304244.64488512126</v>
      </c>
      <c r="I30" s="507">
        <v>12901.686543209877</v>
      </c>
      <c r="J30" s="127">
        <f>'B) D RI'!U31</f>
        <v>10573.165189873416</v>
      </c>
      <c r="K30" s="84">
        <f t="shared" si="1"/>
        <v>23.581773116728247</v>
      </c>
      <c r="L30" s="36">
        <f>'B) D RI'!S31</f>
        <v>79</v>
      </c>
      <c r="M30" s="36">
        <f t="shared" si="2"/>
        <v>55.418226883271757</v>
      </c>
      <c r="N30" s="498">
        <f>'J) Plafonnement effort'!G29+'J) Plafonnement effort'!H29-'K) Plafonnement aide'!I29</f>
        <v>1.8240633585169821</v>
      </c>
      <c r="O30" s="191">
        <f t="shared" si="3"/>
        <v>57.242290241788737</v>
      </c>
      <c r="P30" s="51">
        <f t="shared" si="4"/>
        <v>0</v>
      </c>
      <c r="Q30" s="67">
        <f t="shared" si="5"/>
        <v>0</v>
      </c>
      <c r="R30" s="222">
        <f t="shared" si="6"/>
        <v>57.242290241788737</v>
      </c>
      <c r="S30" s="191">
        <f t="shared" si="7"/>
        <v>-21.757709758211263</v>
      </c>
      <c r="T30" s="221"/>
      <c r="U30" s="31"/>
    </row>
    <row r="31" spans="1:21" x14ac:dyDescent="0.25">
      <c r="A31" s="53">
        <f>'A) Base RI'!A32</f>
        <v>5431</v>
      </c>
      <c r="B31" s="65" t="str">
        <f>'A) Base RI'!B32</f>
        <v>Mollens</v>
      </c>
      <c r="C31" s="495">
        <v>147538.87255169451</v>
      </c>
      <c r="D31" s="495">
        <v>52588.979759634691</v>
      </c>
      <c r="E31" s="230"/>
      <c r="F31" s="229"/>
      <c r="G31" s="229"/>
      <c r="H31" s="231">
        <f t="shared" si="0"/>
        <v>200127.85231132922</v>
      </c>
      <c r="I31" s="507">
        <v>8965.3154054054066</v>
      </c>
      <c r="J31" s="127">
        <f>'B) D RI'!U32</f>
        <v>11206.031081081082</v>
      </c>
      <c r="K31" s="84">
        <f t="shared" si="1"/>
        <v>22.322455291496745</v>
      </c>
      <c r="L31" s="36">
        <f>'B) D RI'!S32</f>
        <v>74</v>
      </c>
      <c r="M31" s="36">
        <f t="shared" si="2"/>
        <v>51.677544708503255</v>
      </c>
      <c r="N31" s="498">
        <f>'J) Plafonnement effort'!G30+'J) Plafonnement effort'!H30-'K) Plafonnement aide'!I30</f>
        <v>27.775343524160501</v>
      </c>
      <c r="O31" s="191">
        <f t="shared" si="3"/>
        <v>79.452888232663753</v>
      </c>
      <c r="P31" s="51">
        <f t="shared" si="4"/>
        <v>0</v>
      </c>
      <c r="Q31" s="67">
        <f t="shared" si="5"/>
        <v>0</v>
      </c>
      <c r="R31" s="222">
        <f t="shared" si="6"/>
        <v>79.452888232663753</v>
      </c>
      <c r="S31" s="191">
        <f t="shared" si="7"/>
        <v>5.4528882326637529</v>
      </c>
      <c r="T31" s="221"/>
    </row>
    <row r="32" spans="1:21" x14ac:dyDescent="0.25">
      <c r="A32" s="53">
        <f>'A) Base RI'!A33</f>
        <v>5432</v>
      </c>
      <c r="B32" s="65" t="str">
        <f>'A) Base RI'!B33</f>
        <v>Montherod</v>
      </c>
      <c r="C32" s="495">
        <v>357704.81906139001</v>
      </c>
      <c r="D32" s="495">
        <v>219229.83165391802</v>
      </c>
      <c r="E32" s="230"/>
      <c r="F32" s="229"/>
      <c r="G32" s="229"/>
      <c r="H32" s="231">
        <f t="shared" si="0"/>
        <v>576934.65071530803</v>
      </c>
      <c r="I32" s="507">
        <v>18938.674054054052</v>
      </c>
      <c r="J32" s="127">
        <f>'B) D RI'!U33</f>
        <v>17725.419230769232</v>
      </c>
      <c r="K32" s="84">
        <f t="shared" si="1"/>
        <v>30.463307466438401</v>
      </c>
      <c r="L32" s="36">
        <f>'B) D RI'!S33</f>
        <v>78</v>
      </c>
      <c r="M32" s="36">
        <f t="shared" si="2"/>
        <v>47.536692533561599</v>
      </c>
      <c r="N32" s="498">
        <f>'J) Plafonnement effort'!G31+'J) Plafonnement effort'!H31-'K) Plafonnement aide'!I31</f>
        <v>25.819928506686168</v>
      </c>
      <c r="O32" s="191">
        <f t="shared" si="3"/>
        <v>73.356621040247774</v>
      </c>
      <c r="P32" s="51">
        <f t="shared" si="4"/>
        <v>0</v>
      </c>
      <c r="Q32" s="67">
        <f t="shared" si="5"/>
        <v>0</v>
      </c>
      <c r="R32" s="222">
        <f t="shared" si="6"/>
        <v>73.356621040247774</v>
      </c>
      <c r="S32" s="191">
        <f t="shared" si="7"/>
        <v>-4.6433789597522264</v>
      </c>
      <c r="T32" s="221"/>
    </row>
    <row r="33" spans="1:20" x14ac:dyDescent="0.25">
      <c r="A33" s="53">
        <f>'A) Base RI'!A34</f>
        <v>5434</v>
      </c>
      <c r="B33" s="65" t="str">
        <f>'A) Base RI'!B34</f>
        <v>Saint-George</v>
      </c>
      <c r="C33" s="495">
        <v>610100.31305734348</v>
      </c>
      <c r="D33" s="495">
        <v>360077.84366828867</v>
      </c>
      <c r="E33" s="230"/>
      <c r="F33" s="229"/>
      <c r="G33" s="229"/>
      <c r="H33" s="231">
        <f t="shared" si="0"/>
        <v>970178.15672563214</v>
      </c>
      <c r="I33" s="507">
        <v>33015.772116788328</v>
      </c>
      <c r="J33" s="127">
        <f>'B) D RI'!U34</f>
        <v>35895.731094890507</v>
      </c>
      <c r="K33" s="84">
        <f t="shared" si="1"/>
        <v>29.385293589190429</v>
      </c>
      <c r="L33" s="36">
        <f>'B) D RI'!S34</f>
        <v>68.5</v>
      </c>
      <c r="M33" s="36">
        <f t="shared" si="2"/>
        <v>39.114706410809575</v>
      </c>
      <c r="N33" s="498">
        <f>'J) Plafonnement effort'!G32+'J) Plafonnement effort'!H32-'K) Plafonnement aide'!I32</f>
        <v>27.354476098171876</v>
      </c>
      <c r="O33" s="191">
        <f t="shared" si="3"/>
        <v>66.469182508981447</v>
      </c>
      <c r="P33" s="51">
        <f t="shared" si="4"/>
        <v>0</v>
      </c>
      <c r="Q33" s="67">
        <f t="shared" si="5"/>
        <v>0</v>
      </c>
      <c r="R33" s="222">
        <f t="shared" si="6"/>
        <v>66.469182508981447</v>
      </c>
      <c r="S33" s="191">
        <f t="shared" si="7"/>
        <v>-2.0308174910185528</v>
      </c>
      <c r="T33" s="221"/>
    </row>
    <row r="34" spans="1:20" x14ac:dyDescent="0.25">
      <c r="A34" s="53">
        <f>'A) Base RI'!A35</f>
        <v>5435</v>
      </c>
      <c r="B34" s="65" t="str">
        <f>'A) Base RI'!B35</f>
        <v>Saint-Livres</v>
      </c>
      <c r="C34" s="495">
        <v>364568.69154023315</v>
      </c>
      <c r="D34" s="495">
        <v>251215.30625644082</v>
      </c>
      <c r="E34" s="230"/>
      <c r="F34" s="229"/>
      <c r="G34" s="229"/>
      <c r="H34" s="231">
        <f t="shared" si="0"/>
        <v>615783.99779667403</v>
      </c>
      <c r="I34" s="507">
        <v>24335.25550724638</v>
      </c>
      <c r="J34" s="127">
        <f>'B) D RI'!U35</f>
        <v>22398.12956521739</v>
      </c>
      <c r="K34" s="84">
        <f t="shared" si="1"/>
        <v>25.304192824822003</v>
      </c>
      <c r="L34" s="36">
        <f>'B) D RI'!S35</f>
        <v>69</v>
      </c>
      <c r="M34" s="36">
        <f t="shared" si="2"/>
        <v>43.695807175177997</v>
      </c>
      <c r="N34" s="498">
        <f>'J) Plafonnement effort'!G33+'J) Plafonnement effort'!H33-'K) Plafonnement aide'!I33</f>
        <v>20.046732702435939</v>
      </c>
      <c r="O34" s="191">
        <f t="shared" si="3"/>
        <v>63.742539877613936</v>
      </c>
      <c r="P34" s="51">
        <f t="shared" si="4"/>
        <v>0</v>
      </c>
      <c r="Q34" s="67">
        <f t="shared" si="5"/>
        <v>0</v>
      </c>
      <c r="R34" s="222">
        <f t="shared" si="6"/>
        <v>63.742539877613936</v>
      </c>
      <c r="S34" s="191">
        <f t="shared" si="7"/>
        <v>-5.257460122386064</v>
      </c>
      <c r="T34" s="221"/>
    </row>
    <row r="35" spans="1:20" x14ac:dyDescent="0.25">
      <c r="A35" s="53">
        <f>'A) Base RI'!A36</f>
        <v>5436</v>
      </c>
      <c r="B35" s="65" t="str">
        <f>'A) Base RI'!B36</f>
        <v>Saint-Oyens</v>
      </c>
      <c r="C35" s="495">
        <v>181381.35066656754</v>
      </c>
      <c r="D35" s="495">
        <v>16175.765902879648</v>
      </c>
      <c r="E35" s="230"/>
      <c r="F35" s="229"/>
      <c r="G35" s="229"/>
      <c r="H35" s="231">
        <f t="shared" si="0"/>
        <v>197557.11656944719</v>
      </c>
      <c r="I35" s="507">
        <v>9937.7678395061721</v>
      </c>
      <c r="J35" s="127">
        <f>'B) D RI'!U36</f>
        <v>10474.604814814815</v>
      </c>
      <c r="K35" s="84">
        <f t="shared" si="1"/>
        <v>19.879425617500058</v>
      </c>
      <c r="L35" s="36">
        <f>'B) D RI'!S36</f>
        <v>81</v>
      </c>
      <c r="M35" s="36">
        <f t="shared" si="2"/>
        <v>61.120574382499939</v>
      </c>
      <c r="N35" s="498">
        <f>'J) Plafonnement effort'!G34+'J) Plafonnement effort'!H34-'K) Plafonnement aide'!I34</f>
        <v>16.562362223611792</v>
      </c>
      <c r="O35" s="191">
        <f t="shared" si="3"/>
        <v>77.682936606111724</v>
      </c>
      <c r="P35" s="51">
        <f t="shared" si="4"/>
        <v>0</v>
      </c>
      <c r="Q35" s="67">
        <f t="shared" si="5"/>
        <v>0</v>
      </c>
      <c r="R35" s="222">
        <f t="shared" si="6"/>
        <v>77.682936606111724</v>
      </c>
      <c r="S35" s="191">
        <f t="shared" si="7"/>
        <v>-3.3170633938882759</v>
      </c>
      <c r="T35" s="221"/>
    </row>
    <row r="36" spans="1:20" x14ac:dyDescent="0.25">
      <c r="A36" s="53">
        <f>'A) Base RI'!A37</f>
        <v>5437</v>
      </c>
      <c r="B36" s="65" t="str">
        <f>'A) Base RI'!B37</f>
        <v>Saubraz</v>
      </c>
      <c r="C36" s="495">
        <v>255617.30378285248</v>
      </c>
      <c r="D36" s="495">
        <v>-86444.606955462514</v>
      </c>
      <c r="E36" s="230"/>
      <c r="F36" s="229"/>
      <c r="G36" s="229">
        <v>-2108</v>
      </c>
      <c r="H36" s="231">
        <f t="shared" si="0"/>
        <v>167064.69682738997</v>
      </c>
      <c r="I36" s="507">
        <v>9144.65614457831</v>
      </c>
      <c r="J36" s="127">
        <f>'B) D RI'!U37</f>
        <v>10138.793125</v>
      </c>
      <c r="K36" s="84">
        <f t="shared" si="1"/>
        <v>18.269106479901861</v>
      </c>
      <c r="L36" s="36">
        <f>'B) D RI'!S37</f>
        <v>80</v>
      </c>
      <c r="M36" s="36">
        <f t="shared" si="2"/>
        <v>61.730893520098135</v>
      </c>
      <c r="N36" s="498">
        <f>'J) Plafonnement effort'!G35+'J) Plafonnement effort'!H35-'K) Plafonnement aide'!I35</f>
        <v>8.4793872486270736</v>
      </c>
      <c r="O36" s="191">
        <f>M36+N36</f>
        <v>70.210280768725212</v>
      </c>
      <c r="P36" s="51">
        <f t="shared" si="4"/>
        <v>0</v>
      </c>
      <c r="Q36" s="67">
        <f t="shared" si="5"/>
        <v>0</v>
      </c>
      <c r="R36" s="222">
        <f t="shared" si="6"/>
        <v>70.210280768725212</v>
      </c>
      <c r="S36" s="191">
        <f t="shared" si="7"/>
        <v>-9.7897192312747876</v>
      </c>
      <c r="T36" s="221"/>
    </row>
    <row r="37" spans="1:20" x14ac:dyDescent="0.25">
      <c r="A37" s="53">
        <f>'A) Base RI'!A38</f>
        <v>5451</v>
      </c>
      <c r="B37" s="65" t="str">
        <f>'A) Base RI'!B38</f>
        <v>Avenches</v>
      </c>
      <c r="C37" s="495">
        <v>1907980.262176136</v>
      </c>
      <c r="D37" s="495">
        <v>-850054.43978458527</v>
      </c>
      <c r="E37" s="230"/>
      <c r="F37" s="229"/>
      <c r="G37" s="229"/>
      <c r="H37" s="231">
        <f t="shared" si="0"/>
        <v>1057925.8223915508</v>
      </c>
      <c r="I37" s="507">
        <v>102028.81651960785</v>
      </c>
      <c r="J37" s="127">
        <f>'B) D RI'!U38</f>
        <v>109207.82382352941</v>
      </c>
      <c r="K37" s="84">
        <f t="shared" si="1"/>
        <v>10.368892421566402</v>
      </c>
      <c r="L37" s="36">
        <f>'B) D RI'!S38</f>
        <v>68</v>
      </c>
      <c r="M37" s="36">
        <f t="shared" si="2"/>
        <v>57.6311075784336</v>
      </c>
      <c r="N37" s="498">
        <f>'J) Plafonnement effort'!G36+'J) Plafonnement effort'!H36-'K) Plafonnement aide'!I36</f>
        <v>-0.69048874046137776</v>
      </c>
      <c r="O37" s="191">
        <f t="shared" si="3"/>
        <v>56.940618837972224</v>
      </c>
      <c r="P37" s="51">
        <f t="shared" si="4"/>
        <v>0</v>
      </c>
      <c r="Q37" s="67">
        <f t="shared" si="5"/>
        <v>0</v>
      </c>
      <c r="R37" s="222">
        <f t="shared" si="6"/>
        <v>56.940618837972224</v>
      </c>
      <c r="S37" s="191">
        <f t="shared" si="7"/>
        <v>-11.059381162027776</v>
      </c>
      <c r="T37" s="221"/>
    </row>
    <row r="38" spans="1:20" x14ac:dyDescent="0.25">
      <c r="A38" s="53">
        <f>'A) Base RI'!A39</f>
        <v>5456</v>
      </c>
      <c r="B38" s="65" t="str">
        <f>'A) Base RI'!B39</f>
        <v>Cudrefin</v>
      </c>
      <c r="C38" s="495">
        <v>1034685.7398285278</v>
      </c>
      <c r="D38" s="495">
        <v>270475.54838413955</v>
      </c>
      <c r="E38" s="230"/>
      <c r="F38" s="229"/>
      <c r="G38" s="229"/>
      <c r="H38" s="231">
        <f t="shared" si="0"/>
        <v>1305161.2882126672</v>
      </c>
      <c r="I38" s="507">
        <v>45272.368813559326</v>
      </c>
      <c r="J38" s="127">
        <f>'B) D RI'!U39</f>
        <v>51373.818644067804</v>
      </c>
      <c r="K38" s="84">
        <f t="shared" si="1"/>
        <v>28.82909205806267</v>
      </c>
      <c r="L38" s="36">
        <f>'B) D RI'!S39</f>
        <v>59</v>
      </c>
      <c r="M38" s="36">
        <f t="shared" si="2"/>
        <v>30.17090794193733</v>
      </c>
      <c r="N38" s="498">
        <f>'J) Plafonnement effort'!G37+'J) Plafonnement effort'!H37-'K) Plafonnement aide'!I37</f>
        <v>19.01076305179069</v>
      </c>
      <c r="O38" s="191">
        <f t="shared" si="3"/>
        <v>49.181670993728019</v>
      </c>
      <c r="P38" s="51">
        <f t="shared" si="4"/>
        <v>0</v>
      </c>
      <c r="Q38" s="67">
        <f t="shared" si="5"/>
        <v>0</v>
      </c>
      <c r="R38" s="222">
        <f t="shared" si="6"/>
        <v>49.181670993728019</v>
      </c>
      <c r="S38" s="191">
        <f t="shared" si="7"/>
        <v>-9.8183290062719806</v>
      </c>
      <c r="T38" s="221"/>
    </row>
    <row r="39" spans="1:20" x14ac:dyDescent="0.25">
      <c r="A39" s="53">
        <f>'A) Base RI'!A40</f>
        <v>5458</v>
      </c>
      <c r="B39" s="65" t="str">
        <f>'A) Base RI'!B40</f>
        <v>Faoug</v>
      </c>
      <c r="C39" s="495">
        <v>494639.21715720673</v>
      </c>
      <c r="D39" s="495">
        <v>301756.97434763552</v>
      </c>
      <c r="E39" s="230"/>
      <c r="F39" s="229"/>
      <c r="G39" s="229"/>
      <c r="H39" s="231">
        <f t="shared" si="0"/>
        <v>796396.19150484225</v>
      </c>
      <c r="I39" s="507">
        <v>28143.986721311474</v>
      </c>
      <c r="J39" s="127">
        <f>'B) D RI'!U40</f>
        <v>31692.092968750003</v>
      </c>
      <c r="K39" s="84">
        <f t="shared" si="1"/>
        <v>28.297206056517467</v>
      </c>
      <c r="L39" s="36">
        <f>'B) D RI'!S40</f>
        <v>64</v>
      </c>
      <c r="M39" s="36">
        <f t="shared" si="2"/>
        <v>35.702793943482533</v>
      </c>
      <c r="N39" s="498">
        <f>'J) Plafonnement effort'!G38+'J) Plafonnement effort'!H38-'K) Plafonnement aide'!I38</f>
        <v>27.100742409867539</v>
      </c>
      <c r="O39" s="191">
        <f t="shared" si="3"/>
        <v>62.803536353350069</v>
      </c>
      <c r="P39" s="51">
        <f t="shared" si="4"/>
        <v>0</v>
      </c>
      <c r="Q39" s="67">
        <f t="shared" si="5"/>
        <v>0</v>
      </c>
      <c r="R39" s="222">
        <f t="shared" si="6"/>
        <v>62.803536353350069</v>
      </c>
      <c r="S39" s="191">
        <f t="shared" si="7"/>
        <v>-1.1964636466499314</v>
      </c>
      <c r="T39" s="221"/>
    </row>
    <row r="40" spans="1:20" x14ac:dyDescent="0.25">
      <c r="A40" s="53">
        <f>'A) Base RI'!A41</f>
        <v>5464</v>
      </c>
      <c r="B40" s="65" t="str">
        <f>'A) Base RI'!B41</f>
        <v>Vully-les-Lacs</v>
      </c>
      <c r="C40" s="495">
        <v>1764360.9188102377</v>
      </c>
      <c r="D40" s="495">
        <v>588930.61209346098</v>
      </c>
      <c r="E40" s="230"/>
      <c r="F40" s="229"/>
      <c r="G40" s="229"/>
      <c r="H40" s="231">
        <f t="shared" si="0"/>
        <v>2353291.5309036989</v>
      </c>
      <c r="I40" s="507">
        <v>96865.968557213928</v>
      </c>
      <c r="J40" s="127">
        <f>'B) D RI'!U41</f>
        <v>96310.385124378095</v>
      </c>
      <c r="K40" s="84">
        <f t="shared" si="1"/>
        <v>24.294306513992332</v>
      </c>
      <c r="L40" s="36">
        <f>'B) D RI'!S41</f>
        <v>67</v>
      </c>
      <c r="M40" s="36">
        <f t="shared" si="2"/>
        <v>42.705693486007668</v>
      </c>
      <c r="N40" s="498">
        <f>'J) Plafonnement effort'!G39+'J) Plafonnement effort'!H39-'K) Plafonnement aide'!I39</f>
        <v>19.234548961179954</v>
      </c>
      <c r="O40" s="191">
        <f t="shared" si="3"/>
        <v>61.940242447187622</v>
      </c>
      <c r="P40" s="51">
        <f t="shared" si="4"/>
        <v>0</v>
      </c>
      <c r="Q40" s="67">
        <f t="shared" si="5"/>
        <v>0</v>
      </c>
      <c r="R40" s="222">
        <f t="shared" si="6"/>
        <v>61.940242447187622</v>
      </c>
      <c r="S40" s="191">
        <f t="shared" si="7"/>
        <v>-5.0597575528123784</v>
      </c>
      <c r="T40" s="221"/>
    </row>
    <row r="41" spans="1:20" x14ac:dyDescent="0.25">
      <c r="A41" s="53">
        <f>'A) Base RI'!A42</f>
        <v>5471</v>
      </c>
      <c r="B41" s="65" t="str">
        <f>'A) Base RI'!B42</f>
        <v>Bettens</v>
      </c>
      <c r="C41" s="495">
        <v>324712.11885162839</v>
      </c>
      <c r="D41" s="495">
        <v>161322.10311535982</v>
      </c>
      <c r="E41" s="230"/>
      <c r="F41" s="229"/>
      <c r="G41" s="229"/>
      <c r="H41" s="231">
        <f t="shared" si="0"/>
        <v>486034.22196698817</v>
      </c>
      <c r="I41" s="507">
        <v>18168.257063492067</v>
      </c>
      <c r="J41" s="127">
        <f>'B) D RI'!U42</f>
        <v>16449.086587301586</v>
      </c>
      <c r="K41" s="84">
        <f t="shared" si="1"/>
        <v>26.751835372455314</v>
      </c>
      <c r="L41" s="36">
        <f>'B) D RI'!S42</f>
        <v>70</v>
      </c>
      <c r="M41" s="36">
        <f t="shared" si="2"/>
        <v>43.248164627544682</v>
      </c>
      <c r="N41" s="498">
        <f>'J) Plafonnement effort'!G40+'J) Plafonnement effort'!H40-'K) Plafonnement aide'!I40</f>
        <v>18.748559526202691</v>
      </c>
      <c r="O41" s="191">
        <f t="shared" si="3"/>
        <v>61.996724153747373</v>
      </c>
      <c r="P41" s="51">
        <f t="shared" si="4"/>
        <v>0</v>
      </c>
      <c r="Q41" s="67">
        <f t="shared" si="5"/>
        <v>0</v>
      </c>
      <c r="R41" s="222">
        <f t="shared" si="6"/>
        <v>61.996724153747373</v>
      </c>
      <c r="S41" s="191">
        <f t="shared" si="7"/>
        <v>-8.0032758462526274</v>
      </c>
      <c r="T41" s="221"/>
    </row>
    <row r="42" spans="1:20" x14ac:dyDescent="0.25">
      <c r="A42" s="53">
        <f>'A) Base RI'!A43</f>
        <v>5472</v>
      </c>
      <c r="B42" s="65" t="str">
        <f>'A) Base RI'!B43</f>
        <v>Bournens</v>
      </c>
      <c r="C42" s="495">
        <v>240832.68517426326</v>
      </c>
      <c r="D42" s="495">
        <v>129559.40769353352</v>
      </c>
      <c r="E42" s="230"/>
      <c r="F42" s="229"/>
      <c r="G42" s="229"/>
      <c r="H42" s="231">
        <f t="shared" si="0"/>
        <v>370392.09286779677</v>
      </c>
      <c r="I42" s="507">
        <v>13213.617875</v>
      </c>
      <c r="J42" s="127">
        <f>'B) D RI'!U43</f>
        <v>14191.801124999998</v>
      </c>
      <c r="K42" s="84">
        <f t="shared" si="1"/>
        <v>28.031088561186106</v>
      </c>
      <c r="L42" s="36">
        <f>'B) D RI'!S43</f>
        <v>80</v>
      </c>
      <c r="M42" s="36">
        <f t="shared" si="2"/>
        <v>51.96891143881389</v>
      </c>
      <c r="N42" s="498">
        <f>'J) Plafonnement effort'!G41+'J) Plafonnement effort'!H41-'K) Plafonnement aide'!I41</f>
        <v>28.222993588855065</v>
      </c>
      <c r="O42" s="191">
        <f t="shared" si="3"/>
        <v>80.191905027668952</v>
      </c>
      <c r="P42" s="51">
        <f t="shared" si="4"/>
        <v>0</v>
      </c>
      <c r="Q42" s="67">
        <f t="shared" si="5"/>
        <v>0</v>
      </c>
      <c r="R42" s="222">
        <f t="shared" si="6"/>
        <v>80.191905027668952</v>
      </c>
      <c r="S42" s="191">
        <f t="shared" si="7"/>
        <v>0.19190502766895179</v>
      </c>
      <c r="T42" s="221"/>
    </row>
    <row r="43" spans="1:20" x14ac:dyDescent="0.25">
      <c r="A43" s="53">
        <f>'A) Base RI'!A44</f>
        <v>5473</v>
      </c>
      <c r="B43" s="65" t="str">
        <f>'A) Base RI'!B44</f>
        <v>Boussens</v>
      </c>
      <c r="C43" s="495">
        <v>494109.53723622492</v>
      </c>
      <c r="D43" s="495">
        <v>349158.16521414893</v>
      </c>
      <c r="E43" s="230"/>
      <c r="F43" s="229"/>
      <c r="G43" s="229"/>
      <c r="H43" s="231">
        <f t="shared" si="0"/>
        <v>843267.70245037391</v>
      </c>
      <c r="I43" s="507">
        <v>33007.750579710155</v>
      </c>
      <c r="J43" s="127">
        <f>'B) D RI'!U44</f>
        <v>32757.052898550723</v>
      </c>
      <c r="K43" s="84">
        <f t="shared" si="1"/>
        <v>25.547566484846442</v>
      </c>
      <c r="L43" s="36">
        <f>'B) D RI'!S44</f>
        <v>69</v>
      </c>
      <c r="M43" s="36">
        <f t="shared" si="2"/>
        <v>43.452433515153558</v>
      </c>
      <c r="N43" s="498">
        <f>'J) Plafonnement effort'!G42+'J) Plafonnement effort'!H42-'K) Plafonnement aide'!I42</f>
        <v>25.938453725941791</v>
      </c>
      <c r="O43" s="191">
        <f t="shared" si="3"/>
        <v>69.390887241095356</v>
      </c>
      <c r="P43" s="51">
        <f t="shared" si="4"/>
        <v>0</v>
      </c>
      <c r="Q43" s="67">
        <f t="shared" si="5"/>
        <v>0</v>
      </c>
      <c r="R43" s="222">
        <f t="shared" si="6"/>
        <v>69.390887241095356</v>
      </c>
      <c r="S43" s="191">
        <f t="shared" si="7"/>
        <v>0.39088724109535633</v>
      </c>
      <c r="T43" s="221"/>
    </row>
    <row r="44" spans="1:20" x14ac:dyDescent="0.25">
      <c r="A44" s="53">
        <f>'A) Base RI'!A45</f>
        <v>5474</v>
      </c>
      <c r="B44" s="65" t="str">
        <f>'A) Base RI'!B45</f>
        <v>La Chaux (Cossonay)</v>
      </c>
      <c r="C44" s="495">
        <v>174982.50127944569</v>
      </c>
      <c r="D44" s="495">
        <v>59133.530548700277</v>
      </c>
      <c r="E44" s="230"/>
      <c r="F44" s="229"/>
      <c r="G44" s="229"/>
      <c r="H44" s="231">
        <f t="shared" si="0"/>
        <v>234116.03182814596</v>
      </c>
      <c r="I44" s="507">
        <v>12690.44829004329</v>
      </c>
      <c r="J44" s="127">
        <f>'B) D RI'!U45</f>
        <v>12924.858852813852</v>
      </c>
      <c r="K44" s="84">
        <f t="shared" si="1"/>
        <v>18.448208170221175</v>
      </c>
      <c r="L44" s="36">
        <f>'B) D RI'!S45</f>
        <v>77</v>
      </c>
      <c r="M44" s="36">
        <f t="shared" si="2"/>
        <v>58.551791829778821</v>
      </c>
      <c r="N44" s="498">
        <f>'J) Plafonnement effort'!G43+'J) Plafonnement effort'!H43-'K) Plafonnement aide'!I43</f>
        <v>15.496092912047375</v>
      </c>
      <c r="O44" s="191">
        <f t="shared" si="3"/>
        <v>74.047884741826195</v>
      </c>
      <c r="P44" s="51">
        <f t="shared" si="4"/>
        <v>0</v>
      </c>
      <c r="Q44" s="67">
        <f t="shared" si="5"/>
        <v>0</v>
      </c>
      <c r="R44" s="222">
        <f t="shared" si="6"/>
        <v>74.047884741826195</v>
      </c>
      <c r="S44" s="191">
        <f t="shared" si="7"/>
        <v>-2.952115258173805</v>
      </c>
      <c r="T44" s="221"/>
    </row>
    <row r="45" spans="1:20" x14ac:dyDescent="0.25">
      <c r="A45" s="53">
        <f>'A) Base RI'!A46</f>
        <v>5475</v>
      </c>
      <c r="B45" s="65" t="str">
        <f>'A) Base RI'!B46</f>
        <v>Chavannes-le-Veyron</v>
      </c>
      <c r="C45" s="495">
        <v>41344.80293699653</v>
      </c>
      <c r="D45" s="495">
        <v>-19629.806376522589</v>
      </c>
      <c r="E45" s="230"/>
      <c r="F45" s="229"/>
      <c r="G45" s="229"/>
      <c r="H45" s="231">
        <f t="shared" si="0"/>
        <v>21714.996560473941</v>
      </c>
      <c r="I45" s="507">
        <v>2750.1545454545449</v>
      </c>
      <c r="J45" s="127">
        <f>'B) D RI'!U46</f>
        <v>2672.7945454545452</v>
      </c>
      <c r="K45" s="84">
        <f t="shared" si="1"/>
        <v>7.8959186480499737</v>
      </c>
      <c r="L45" s="36">
        <f>'B) D RI'!S46</f>
        <v>77</v>
      </c>
      <c r="M45" s="36">
        <f t="shared" si="2"/>
        <v>69.104081351950029</v>
      </c>
      <c r="N45" s="498">
        <f>'J) Plafonnement effort'!G44+'J) Plafonnement effort'!H44-'K) Plafonnement aide'!I44</f>
        <v>-8.8293619179230838</v>
      </c>
      <c r="O45" s="191">
        <f t="shared" si="3"/>
        <v>60.274719434026949</v>
      </c>
      <c r="P45" s="51">
        <f t="shared" si="4"/>
        <v>0</v>
      </c>
      <c r="Q45" s="67">
        <f t="shared" si="5"/>
        <v>0</v>
      </c>
      <c r="R45" s="222">
        <f t="shared" si="6"/>
        <v>60.274719434026949</v>
      </c>
      <c r="S45" s="191">
        <f t="shared" si="7"/>
        <v>-16.725280565973051</v>
      </c>
      <c r="T45" s="221"/>
    </row>
    <row r="46" spans="1:20" x14ac:dyDescent="0.25">
      <c r="A46" s="53">
        <f>'A) Base RI'!A47</f>
        <v>5476</v>
      </c>
      <c r="B46" s="65" t="str">
        <f>'A) Base RI'!B47</f>
        <v>Chevilly</v>
      </c>
      <c r="C46" s="495">
        <v>151892.32131742622</v>
      </c>
      <c r="D46" s="495">
        <v>17578.142414186208</v>
      </c>
      <c r="E46" s="230"/>
      <c r="F46" s="229"/>
      <c r="G46" s="229"/>
      <c r="H46" s="231">
        <f t="shared" si="0"/>
        <v>169470.46373161243</v>
      </c>
      <c r="I46" s="507">
        <v>7887.6179729729729</v>
      </c>
      <c r="J46" s="127">
        <f>'B) D RI'!U47</f>
        <v>10247.952162162162</v>
      </c>
      <c r="K46" s="84">
        <f t="shared" si="1"/>
        <v>21.485632837734435</v>
      </c>
      <c r="L46" s="36">
        <f>'B) D RI'!S47</f>
        <v>74</v>
      </c>
      <c r="M46" s="36">
        <f t="shared" si="2"/>
        <v>52.514367162265565</v>
      </c>
      <c r="N46" s="498">
        <f>'J) Plafonnement effort'!G45+'J) Plafonnement effort'!H45-'K) Plafonnement aide'!I45</f>
        <v>24.112271656704547</v>
      </c>
      <c r="O46" s="191">
        <f t="shared" si="3"/>
        <v>76.626638818970108</v>
      </c>
      <c r="P46" s="51">
        <f t="shared" si="4"/>
        <v>0</v>
      </c>
      <c r="Q46" s="67">
        <f t="shared" si="5"/>
        <v>0</v>
      </c>
      <c r="R46" s="222">
        <f t="shared" si="6"/>
        <v>76.626638818970108</v>
      </c>
      <c r="S46" s="191">
        <f t="shared" si="7"/>
        <v>2.6266388189701075</v>
      </c>
      <c r="T46" s="221"/>
    </row>
    <row r="47" spans="1:20" x14ac:dyDescent="0.25">
      <c r="A47" s="53">
        <f>'A) Base RI'!A48</f>
        <v>5477</v>
      </c>
      <c r="B47" s="65" t="str">
        <f>'A) Base RI'!B48</f>
        <v>Cossonay</v>
      </c>
      <c r="C47" s="495">
        <v>2120187.2196163191</v>
      </c>
      <c r="D47" s="495">
        <v>388658.26436176384</v>
      </c>
      <c r="E47" s="230"/>
      <c r="F47" s="229"/>
      <c r="G47" s="229"/>
      <c r="H47" s="231">
        <f t="shared" si="0"/>
        <v>2508845.4839780829</v>
      </c>
      <c r="I47" s="507">
        <v>120589.74256854257</v>
      </c>
      <c r="J47" s="127">
        <f>'B) D RI'!U48</f>
        <v>125937.08528138528</v>
      </c>
      <c r="K47" s="84">
        <f t="shared" si="1"/>
        <v>20.804800064583176</v>
      </c>
      <c r="L47" s="36">
        <f>'B) D RI'!S48</f>
        <v>69.3</v>
      </c>
      <c r="M47" s="36">
        <f t="shared" si="2"/>
        <v>48.495199935416821</v>
      </c>
      <c r="N47" s="498">
        <f>'J) Plafonnement effort'!G46+'J) Plafonnement effort'!H46-'K) Plafonnement aide'!I46</f>
        <v>16.99148877874401</v>
      </c>
      <c r="O47" s="191">
        <f t="shared" si="3"/>
        <v>65.486688714160834</v>
      </c>
      <c r="P47" s="51">
        <f t="shared" si="4"/>
        <v>0</v>
      </c>
      <c r="Q47" s="67">
        <f t="shared" si="5"/>
        <v>0</v>
      </c>
      <c r="R47" s="222">
        <f t="shared" si="6"/>
        <v>65.486688714160834</v>
      </c>
      <c r="S47" s="191">
        <f t="shared" si="7"/>
        <v>-3.8133112858391627</v>
      </c>
      <c r="T47" s="221"/>
    </row>
    <row r="48" spans="1:20" x14ac:dyDescent="0.25">
      <c r="A48" s="53">
        <f>'A) Base RI'!A49</f>
        <v>5478</v>
      </c>
      <c r="B48" s="65" t="str">
        <f>'A) Base RI'!B49</f>
        <v>Cottens</v>
      </c>
      <c r="C48" s="495">
        <v>235960.03039395405</v>
      </c>
      <c r="D48" s="495">
        <v>132516.84733185056</v>
      </c>
      <c r="E48" s="230"/>
      <c r="F48" s="229"/>
      <c r="G48" s="229"/>
      <c r="H48" s="231">
        <f t="shared" si="0"/>
        <v>368476.87772580457</v>
      </c>
      <c r="I48" s="507">
        <v>15464.23347222222</v>
      </c>
      <c r="J48" s="127">
        <f>'B) D RI'!U49</f>
        <v>14465.317702702703</v>
      </c>
      <c r="K48" s="84">
        <f t="shared" si="1"/>
        <v>23.827684597990888</v>
      </c>
      <c r="L48" s="36">
        <f>'B) D RI'!S49</f>
        <v>74</v>
      </c>
      <c r="M48" s="36">
        <f t="shared" si="2"/>
        <v>50.172315402009112</v>
      </c>
      <c r="N48" s="498">
        <f>'J) Plafonnement effort'!G47+'J) Plafonnement effort'!H47-'K) Plafonnement aide'!I47</f>
        <v>19.618499241503656</v>
      </c>
      <c r="O48" s="191">
        <f t="shared" si="3"/>
        <v>69.790814643512761</v>
      </c>
      <c r="P48" s="51">
        <f t="shared" si="4"/>
        <v>0</v>
      </c>
      <c r="Q48" s="67">
        <f t="shared" si="5"/>
        <v>0</v>
      </c>
      <c r="R48" s="222">
        <f t="shared" si="6"/>
        <v>69.790814643512761</v>
      </c>
      <c r="S48" s="191">
        <f t="shared" si="7"/>
        <v>-4.2091853564872395</v>
      </c>
      <c r="T48" s="221"/>
    </row>
    <row r="49" spans="1:20" x14ac:dyDescent="0.25">
      <c r="A49" s="53">
        <f>'A) Base RI'!A50</f>
        <v>5479</v>
      </c>
      <c r="B49" s="65" t="str">
        <f>'A) Base RI'!B50</f>
        <v>Cuarnens</v>
      </c>
      <c r="C49" s="495">
        <v>177681.57244652265</v>
      </c>
      <c r="D49" s="495">
        <v>1594.8522804544191</v>
      </c>
      <c r="E49" s="230"/>
      <c r="F49" s="229"/>
      <c r="G49" s="229"/>
      <c r="H49" s="231">
        <f t="shared" si="0"/>
        <v>179276.42472697707</v>
      </c>
      <c r="I49" s="507">
        <v>11805.525064935064</v>
      </c>
      <c r="J49" s="127">
        <f>'B) D RI'!U50</f>
        <v>11562.819350649352</v>
      </c>
      <c r="K49" s="84">
        <f t="shared" si="1"/>
        <v>15.185806962493047</v>
      </c>
      <c r="L49" s="36">
        <f>'B) D RI'!S50</f>
        <v>77</v>
      </c>
      <c r="M49" s="36">
        <f t="shared" si="2"/>
        <v>61.814193037506953</v>
      </c>
      <c r="N49" s="498">
        <f>'J) Plafonnement effort'!G48+'J) Plafonnement effort'!H48-'K) Plafonnement aide'!I48</f>
        <v>-6.7321627998885454</v>
      </c>
      <c r="O49" s="191">
        <f t="shared" si="3"/>
        <v>55.082030237618412</v>
      </c>
      <c r="P49" s="51">
        <f t="shared" si="4"/>
        <v>0</v>
      </c>
      <c r="Q49" s="67">
        <f t="shared" si="5"/>
        <v>0</v>
      </c>
      <c r="R49" s="222">
        <f t="shared" si="6"/>
        <v>55.082030237618412</v>
      </c>
      <c r="S49" s="191">
        <f t="shared" si="7"/>
        <v>-21.917969762381588</v>
      </c>
      <c r="T49" s="221"/>
    </row>
    <row r="50" spans="1:20" x14ac:dyDescent="0.25">
      <c r="A50" s="53">
        <f>'A) Base RI'!A51</f>
        <v>5480</v>
      </c>
      <c r="B50" s="65" t="str">
        <f>'A) Base RI'!B51</f>
        <v>Daillens</v>
      </c>
      <c r="C50" s="495">
        <v>780760.71043438581</v>
      </c>
      <c r="D50" s="495">
        <v>685651.62573789619</v>
      </c>
      <c r="E50" s="230"/>
      <c r="F50" s="229"/>
      <c r="G50" s="229"/>
      <c r="H50" s="231">
        <f t="shared" si="0"/>
        <v>1466412.336172282</v>
      </c>
      <c r="I50" s="507">
        <v>42113.849718309852</v>
      </c>
      <c r="J50" s="127">
        <f>'B) D RI'!U51</f>
        <v>34852.093380281687</v>
      </c>
      <c r="K50" s="84">
        <f t="shared" si="1"/>
        <v>34.820192074122573</v>
      </c>
      <c r="L50" s="36">
        <f>'B) D RI'!S51</f>
        <v>71</v>
      </c>
      <c r="M50" s="36">
        <f t="shared" si="2"/>
        <v>36.179807925877427</v>
      </c>
      <c r="N50" s="498">
        <f>'J) Plafonnement effort'!G49+'J) Plafonnement effort'!H49-'K) Plafonnement aide'!I49</f>
        <v>23.235451051822874</v>
      </c>
      <c r="O50" s="191">
        <f t="shared" si="3"/>
        <v>59.415258977700304</v>
      </c>
      <c r="P50" s="51">
        <f t="shared" si="4"/>
        <v>0</v>
      </c>
      <c r="Q50" s="67">
        <f t="shared" si="5"/>
        <v>0</v>
      </c>
      <c r="R50" s="222">
        <f t="shared" si="6"/>
        <v>59.415258977700304</v>
      </c>
      <c r="S50" s="191">
        <f t="shared" si="7"/>
        <v>-11.584741022299696</v>
      </c>
      <c r="T50" s="221"/>
    </row>
    <row r="51" spans="1:20" x14ac:dyDescent="0.25">
      <c r="A51" s="53">
        <f>'A) Base RI'!A52</f>
        <v>5481</v>
      </c>
      <c r="B51" s="65" t="str">
        <f>'A) Base RI'!B52</f>
        <v>Dizy</v>
      </c>
      <c r="C51" s="495">
        <v>130281.17375835136</v>
      </c>
      <c r="D51" s="495">
        <v>100016.12798231075</v>
      </c>
      <c r="E51" s="230"/>
      <c r="F51" s="229"/>
      <c r="G51" s="229"/>
      <c r="H51" s="231">
        <f t="shared" si="0"/>
        <v>230297.30174066211</v>
      </c>
      <c r="I51" s="507">
        <v>8240.9954054054051</v>
      </c>
      <c r="J51" s="127">
        <f>'B) D RI'!U52</f>
        <v>8900.2526582278479</v>
      </c>
      <c r="K51" s="84">
        <f t="shared" si="1"/>
        <v>27.945325826732812</v>
      </c>
      <c r="L51" s="36">
        <f>'B) D RI'!S52</f>
        <v>79</v>
      </c>
      <c r="M51" s="36">
        <f t="shared" si="2"/>
        <v>51.054674173267188</v>
      </c>
      <c r="N51" s="498">
        <f>'J) Plafonnement effort'!G50+'J) Plafonnement effort'!H50-'K) Plafonnement aide'!I50</f>
        <v>29.605324166303141</v>
      </c>
      <c r="O51" s="191">
        <f t="shared" si="3"/>
        <v>80.659998339570336</v>
      </c>
      <c r="P51" s="51">
        <f t="shared" si="4"/>
        <v>0</v>
      </c>
      <c r="Q51" s="67">
        <f t="shared" si="5"/>
        <v>0</v>
      </c>
      <c r="R51" s="222">
        <f t="shared" si="6"/>
        <v>80.659998339570336</v>
      </c>
      <c r="S51" s="191">
        <f t="shared" si="7"/>
        <v>1.6599983395703362</v>
      </c>
      <c r="T51" s="221"/>
    </row>
    <row r="52" spans="1:20" x14ac:dyDescent="0.25">
      <c r="A52" s="53">
        <f>'A) Base RI'!A53</f>
        <v>5482</v>
      </c>
      <c r="B52" s="65" t="str">
        <f>'A) Base RI'!B53</f>
        <v>Eclépens</v>
      </c>
      <c r="C52" s="495">
        <v>1143689.8626043235</v>
      </c>
      <c r="D52" s="495">
        <v>1031795.5808636158</v>
      </c>
      <c r="E52" s="230"/>
      <c r="F52" s="229"/>
      <c r="G52" s="229"/>
      <c r="H52" s="231">
        <f t="shared" si="0"/>
        <v>2175485.4434679393</v>
      </c>
      <c r="I52" s="507">
        <v>64551.928043478263</v>
      </c>
      <c r="J52" s="127">
        <f>'B) D RI'!U53</f>
        <v>26792.007391304349</v>
      </c>
      <c r="K52" s="84">
        <f t="shared" si="1"/>
        <v>33.701324025560695</v>
      </c>
      <c r="L52" s="36">
        <f>'B) D RI'!S53</f>
        <v>46</v>
      </c>
      <c r="M52" s="36">
        <f t="shared" si="2"/>
        <v>12.298675974439305</v>
      </c>
      <c r="N52" s="498">
        <f>'J) Plafonnement effort'!G51+'J) Plafonnement effort'!H51-'K) Plafonnement aide'!I51</f>
        <v>21.511208197448248</v>
      </c>
      <c r="O52" s="191">
        <f t="shared" si="3"/>
        <v>33.809884171887553</v>
      </c>
      <c r="P52" s="51">
        <f t="shared" si="4"/>
        <v>0</v>
      </c>
      <c r="Q52" s="67">
        <f t="shared" si="5"/>
        <v>0</v>
      </c>
      <c r="R52" s="222">
        <f t="shared" si="6"/>
        <v>33.809884171887553</v>
      </c>
      <c r="S52" s="191">
        <f t="shared" si="7"/>
        <v>-12.190115828112447</v>
      </c>
      <c r="T52" s="221"/>
    </row>
    <row r="53" spans="1:20" x14ac:dyDescent="0.25">
      <c r="A53" s="53">
        <f>'A) Base RI'!A54</f>
        <v>5483</v>
      </c>
      <c r="B53" s="65" t="str">
        <f>'A) Base RI'!B54</f>
        <v>Ferreyres</v>
      </c>
      <c r="C53" s="495">
        <v>144058.90410416285</v>
      </c>
      <c r="D53" s="495">
        <v>32540.590421594708</v>
      </c>
      <c r="E53" s="230"/>
      <c r="F53" s="229"/>
      <c r="G53" s="229"/>
      <c r="H53" s="231">
        <f t="shared" si="0"/>
        <v>176599.49452575756</v>
      </c>
      <c r="I53" s="507">
        <v>9097.5578947368413</v>
      </c>
      <c r="J53" s="127">
        <f>'B) D RI'!U54</f>
        <v>9773.8555263157887</v>
      </c>
      <c r="K53" s="84">
        <f t="shared" si="1"/>
        <v>19.411747258890724</v>
      </c>
      <c r="L53" s="36">
        <f>'B) D RI'!S54</f>
        <v>76</v>
      </c>
      <c r="M53" s="36">
        <f t="shared" si="2"/>
        <v>56.588252741109272</v>
      </c>
      <c r="N53" s="498">
        <f>'J) Plafonnement effort'!G52+'J) Plafonnement effort'!H52-'K) Plafonnement aide'!I52</f>
        <v>18.980411352022092</v>
      </c>
      <c r="O53" s="191">
        <f t="shared" si="3"/>
        <v>75.56866409313136</v>
      </c>
      <c r="P53" s="51">
        <f t="shared" si="4"/>
        <v>0</v>
      </c>
      <c r="Q53" s="67">
        <f t="shared" si="5"/>
        <v>0</v>
      </c>
      <c r="R53" s="222">
        <f t="shared" si="6"/>
        <v>75.56866409313136</v>
      </c>
      <c r="S53" s="191">
        <f t="shared" si="7"/>
        <v>-0.43133590686863954</v>
      </c>
      <c r="T53" s="221"/>
    </row>
    <row r="54" spans="1:20" x14ac:dyDescent="0.25">
      <c r="A54" s="53">
        <f>'A) Base RI'!A55</f>
        <v>5484</v>
      </c>
      <c r="B54" s="65" t="str">
        <f>'A) Base RI'!B55</f>
        <v>Gollion</v>
      </c>
      <c r="C54" s="495">
        <v>455652.95297531417</v>
      </c>
      <c r="D54" s="495">
        <v>33651.91202226904</v>
      </c>
      <c r="E54" s="230"/>
      <c r="F54" s="229"/>
      <c r="G54" s="229"/>
      <c r="H54" s="231">
        <f t="shared" si="0"/>
        <v>489304.86499758321</v>
      </c>
      <c r="I54" s="507">
        <v>23163.007162162161</v>
      </c>
      <c r="J54" s="127">
        <f>'B) D RI'!U55</f>
        <v>29063.721351351356</v>
      </c>
      <c r="K54" s="84">
        <f t="shared" si="1"/>
        <v>21.124410210297963</v>
      </c>
      <c r="L54" s="36">
        <f>'B) D RI'!S55</f>
        <v>74</v>
      </c>
      <c r="M54" s="36">
        <f t="shared" si="2"/>
        <v>52.875589789702033</v>
      </c>
      <c r="N54" s="498">
        <f>'J) Plafonnement effort'!G53+'J) Plafonnement effort'!H53-'K) Plafonnement aide'!I53</f>
        <v>21.827070464037817</v>
      </c>
      <c r="O54" s="191">
        <f t="shared" si="3"/>
        <v>74.70266025373985</v>
      </c>
      <c r="P54" s="51">
        <f t="shared" si="4"/>
        <v>0</v>
      </c>
      <c r="Q54" s="67">
        <f t="shared" si="5"/>
        <v>0</v>
      </c>
      <c r="R54" s="222">
        <f t="shared" si="6"/>
        <v>74.70266025373985</v>
      </c>
      <c r="S54" s="191">
        <f t="shared" si="7"/>
        <v>0.7026602537398503</v>
      </c>
      <c r="T54" s="221"/>
    </row>
    <row r="55" spans="1:20" x14ac:dyDescent="0.25">
      <c r="A55" s="53">
        <f>'A) Base RI'!A56</f>
        <v>5485</v>
      </c>
      <c r="B55" s="65" t="str">
        <f>'A) Base RI'!B56</f>
        <v>Grancy</v>
      </c>
      <c r="C55" s="495">
        <v>280628.79392516759</v>
      </c>
      <c r="D55" s="495">
        <v>280653.56270391354</v>
      </c>
      <c r="E55" s="230"/>
      <c r="F55" s="229"/>
      <c r="G55" s="229"/>
      <c r="H55" s="231">
        <f t="shared" si="0"/>
        <v>561282.35662908107</v>
      </c>
      <c r="I55" s="507">
        <v>17298.355857142858</v>
      </c>
      <c r="J55" s="127">
        <f>'B) D RI'!U56</f>
        <v>15073.947999999999</v>
      </c>
      <c r="K55" s="84">
        <f t="shared" si="1"/>
        <v>32.447150542189576</v>
      </c>
      <c r="L55" s="36">
        <f>'B) D RI'!S56</f>
        <v>70</v>
      </c>
      <c r="M55" s="36">
        <f t="shared" si="2"/>
        <v>37.552849457810424</v>
      </c>
      <c r="N55" s="498">
        <f>'J) Plafonnement effort'!G54+'J) Plafonnement effort'!H54-'K) Plafonnement aide'!I54</f>
        <v>25.647035086852387</v>
      </c>
      <c r="O55" s="191">
        <f t="shared" si="3"/>
        <v>63.199884544662808</v>
      </c>
      <c r="P55" s="51">
        <f t="shared" si="4"/>
        <v>0</v>
      </c>
      <c r="Q55" s="67">
        <f t="shared" si="5"/>
        <v>0</v>
      </c>
      <c r="R55" s="222">
        <f t="shared" si="6"/>
        <v>63.199884544662808</v>
      </c>
      <c r="S55" s="191">
        <f t="shared" si="7"/>
        <v>-6.8001154553371919</v>
      </c>
      <c r="T55" s="221"/>
    </row>
    <row r="56" spans="1:20" x14ac:dyDescent="0.25">
      <c r="A56" s="53">
        <f>'A) Base RI'!A57</f>
        <v>5486</v>
      </c>
      <c r="B56" s="65" t="str">
        <f>'A) Base RI'!B57</f>
        <v>L'Isle</v>
      </c>
      <c r="C56" s="495">
        <v>658694.12223917455</v>
      </c>
      <c r="D56" s="495">
        <v>-16052.725330891262</v>
      </c>
      <c r="E56" s="230"/>
      <c r="F56" s="229"/>
      <c r="G56" s="229"/>
      <c r="H56" s="231">
        <f t="shared" si="0"/>
        <v>642641.39690828323</v>
      </c>
      <c r="I56" s="507">
        <v>27212.445657894736</v>
      </c>
      <c r="J56" s="127">
        <f>'B) D RI'!U57</f>
        <v>29834.586052631581</v>
      </c>
      <c r="K56" s="84">
        <f t="shared" si="1"/>
        <v>23.615716315517691</v>
      </c>
      <c r="L56" s="36">
        <f>'B) D RI'!S57</f>
        <v>76</v>
      </c>
      <c r="M56" s="36">
        <f t="shared" si="2"/>
        <v>52.384283684482313</v>
      </c>
      <c r="N56" s="498">
        <f>'J) Plafonnement effort'!G55+'J) Plafonnement effort'!H55-'K) Plafonnement aide'!I55</f>
        <v>11.199739681504459</v>
      </c>
      <c r="O56" s="191">
        <f t="shared" si="3"/>
        <v>63.584023365986774</v>
      </c>
      <c r="P56" s="51">
        <f t="shared" si="4"/>
        <v>0</v>
      </c>
      <c r="Q56" s="67">
        <f t="shared" si="5"/>
        <v>0</v>
      </c>
      <c r="R56" s="222">
        <f t="shared" si="6"/>
        <v>63.584023365986774</v>
      </c>
      <c r="S56" s="191">
        <f t="shared" si="7"/>
        <v>-12.415976634013226</v>
      </c>
      <c r="T56" s="221"/>
    </row>
    <row r="57" spans="1:20" x14ac:dyDescent="0.25">
      <c r="A57" s="53">
        <f>'A) Base RI'!A58</f>
        <v>5487</v>
      </c>
      <c r="B57" s="65" t="str">
        <f>'A) Base RI'!B58</f>
        <v>Lussery-Villars</v>
      </c>
      <c r="C57" s="495">
        <v>194122.51608915426</v>
      </c>
      <c r="D57" s="495">
        <v>56626.171097556769</v>
      </c>
      <c r="E57" s="230"/>
      <c r="F57" s="229"/>
      <c r="G57" s="229"/>
      <c r="H57" s="231">
        <f t="shared" si="0"/>
        <v>250748.68718671103</v>
      </c>
      <c r="I57" s="507">
        <v>11872.69955882353</v>
      </c>
      <c r="J57" s="127">
        <f>'B) D RI'!U58</f>
        <v>13143.798970588234</v>
      </c>
      <c r="K57" s="84">
        <f t="shared" si="1"/>
        <v>21.119770271653181</v>
      </c>
      <c r="L57" s="36">
        <f>'B) D RI'!S58</f>
        <v>68</v>
      </c>
      <c r="M57" s="36">
        <f t="shared" si="2"/>
        <v>46.880229728346819</v>
      </c>
      <c r="N57" s="498">
        <f>'J) Plafonnement effort'!G56+'J) Plafonnement effort'!H56-'K) Plafonnement aide'!I56</f>
        <v>20.857752878458076</v>
      </c>
      <c r="O57" s="191">
        <f t="shared" si="3"/>
        <v>67.737982606804891</v>
      </c>
      <c r="P57" s="51">
        <f t="shared" si="4"/>
        <v>0</v>
      </c>
      <c r="Q57" s="67">
        <f t="shared" si="5"/>
        <v>0</v>
      </c>
      <c r="R57" s="222">
        <f t="shared" si="6"/>
        <v>67.737982606804891</v>
      </c>
      <c r="S57" s="191">
        <f t="shared" si="7"/>
        <v>-0.26201739319510864</v>
      </c>
      <c r="T57" s="221"/>
    </row>
    <row r="58" spans="1:20" x14ac:dyDescent="0.25">
      <c r="A58" s="53">
        <f>'A) Base RI'!A59</f>
        <v>5488</v>
      </c>
      <c r="B58" s="65" t="str">
        <f>'A) Base RI'!B59</f>
        <v>Mauraz</v>
      </c>
      <c r="C58" s="495">
        <v>20370.077632542732</v>
      </c>
      <c r="D58" s="495">
        <v>5675.9146896027487</v>
      </c>
      <c r="E58" s="230"/>
      <c r="F58" s="229"/>
      <c r="G58" s="229"/>
      <c r="H58" s="231">
        <f t="shared" si="0"/>
        <v>26045.992322145481</v>
      </c>
      <c r="I58" s="507">
        <v>1417.5255405405405</v>
      </c>
      <c r="J58" s="127">
        <f>'B) D RI'!U59</f>
        <v>1604.8968918918922</v>
      </c>
      <c r="K58" s="84">
        <f t="shared" si="1"/>
        <v>18.374266690259031</v>
      </c>
      <c r="L58" s="36">
        <f>'B) D RI'!S59</f>
        <v>74</v>
      </c>
      <c r="M58" s="36">
        <f t="shared" si="2"/>
        <v>55.625733309740966</v>
      </c>
      <c r="N58" s="498">
        <f>'J) Plafonnement effort'!G57+'J) Plafonnement effort'!H57-'K) Plafonnement aide'!I57</f>
        <v>14.965674260632174</v>
      </c>
      <c r="O58" s="191">
        <f t="shared" si="3"/>
        <v>70.591407570373136</v>
      </c>
      <c r="P58" s="51">
        <f t="shared" si="4"/>
        <v>0</v>
      </c>
      <c r="Q58" s="67">
        <f t="shared" si="5"/>
        <v>0</v>
      </c>
      <c r="R58" s="222">
        <f t="shared" si="6"/>
        <v>70.591407570373136</v>
      </c>
      <c r="S58" s="191">
        <f t="shared" si="7"/>
        <v>-3.4085924296268644</v>
      </c>
      <c r="T58" s="221"/>
    </row>
    <row r="59" spans="1:20" x14ac:dyDescent="0.25">
      <c r="A59" s="53">
        <f>'A) Base RI'!A60</f>
        <v>5489</v>
      </c>
      <c r="B59" s="65" t="str">
        <f>'A) Base RI'!B60</f>
        <v>Mex</v>
      </c>
      <c r="C59" s="495">
        <v>603304.70383489854</v>
      </c>
      <c r="D59" s="495">
        <v>619273.05904648779</v>
      </c>
      <c r="E59" s="230"/>
      <c r="F59" s="229"/>
      <c r="G59" s="229"/>
      <c r="H59" s="231">
        <f t="shared" si="0"/>
        <v>1222577.7628813863</v>
      </c>
      <c r="I59" s="507">
        <v>37121.285573770496</v>
      </c>
      <c r="J59" s="127">
        <f>'B) D RI'!U60</f>
        <v>46901.97049180328</v>
      </c>
      <c r="K59" s="84">
        <f t="shared" si="1"/>
        <v>32.934682729448539</v>
      </c>
      <c r="L59" s="36">
        <f>'B) D RI'!S60</f>
        <v>61</v>
      </c>
      <c r="M59" s="36">
        <f t="shared" si="2"/>
        <v>28.065317270551461</v>
      </c>
      <c r="N59" s="498">
        <f>'J) Plafonnement effort'!G58+'J) Plafonnement effort'!H58-'K) Plafonnement aide'!I58</f>
        <v>35.892360364907816</v>
      </c>
      <c r="O59" s="191">
        <f t="shared" si="3"/>
        <v>63.957677635459277</v>
      </c>
      <c r="P59" s="51">
        <f t="shared" si="4"/>
        <v>0</v>
      </c>
      <c r="Q59" s="67">
        <f t="shared" si="5"/>
        <v>0</v>
      </c>
      <c r="R59" s="222">
        <f t="shared" si="6"/>
        <v>63.957677635459277</v>
      </c>
      <c r="S59" s="191">
        <f t="shared" si="7"/>
        <v>2.9576776354592766</v>
      </c>
      <c r="T59" s="221"/>
    </row>
    <row r="60" spans="1:20" x14ac:dyDescent="0.25">
      <c r="A60" s="53">
        <f>'A) Base RI'!A61</f>
        <v>5490</v>
      </c>
      <c r="B60" s="65" t="str">
        <f>'A) Base RI'!B61</f>
        <v>Moiry</v>
      </c>
      <c r="C60" s="495">
        <v>130997.98450807868</v>
      </c>
      <c r="D60" s="495">
        <v>-32411.714696755254</v>
      </c>
      <c r="E60" s="230"/>
      <c r="F60" s="229"/>
      <c r="G60" s="229"/>
      <c r="H60" s="231">
        <f t="shared" si="0"/>
        <v>98586.269811323422</v>
      </c>
      <c r="I60" s="507">
        <v>7321.727037037037</v>
      </c>
      <c r="J60" s="127">
        <f>'B) D RI'!U61</f>
        <v>7445.9272839506175</v>
      </c>
      <c r="K60" s="84">
        <f t="shared" si="1"/>
        <v>13.46489282004419</v>
      </c>
      <c r="L60" s="36">
        <f>'B) D RI'!S61</f>
        <v>81</v>
      </c>
      <c r="M60" s="36">
        <f t="shared" si="2"/>
        <v>67.535107179955816</v>
      </c>
      <c r="N60" s="498">
        <f>'J) Plafonnement effort'!G59+'J) Plafonnement effort'!H59-'K) Plafonnement aide'!I59</f>
        <v>6.6537083862504494</v>
      </c>
      <c r="O60" s="191">
        <f t="shared" si="3"/>
        <v>74.188815566206259</v>
      </c>
      <c r="P60" s="51">
        <f t="shared" si="4"/>
        <v>0</v>
      </c>
      <c r="Q60" s="67">
        <f t="shared" si="5"/>
        <v>0</v>
      </c>
      <c r="R60" s="222">
        <f t="shared" si="6"/>
        <v>74.188815566206259</v>
      </c>
      <c r="S60" s="191">
        <f t="shared" si="7"/>
        <v>-6.8111844337937413</v>
      </c>
      <c r="T60" s="221"/>
    </row>
    <row r="61" spans="1:20" x14ac:dyDescent="0.25">
      <c r="A61" s="53">
        <f>'A) Base RI'!A62</f>
        <v>5491</v>
      </c>
      <c r="B61" s="65" t="str">
        <f>'A) Base RI'!B62</f>
        <v>Mont-la-Ville</v>
      </c>
      <c r="C61" s="495">
        <v>162196.31923735983</v>
      </c>
      <c r="D61" s="495">
        <v>-64101.063302020193</v>
      </c>
      <c r="E61" s="230"/>
      <c r="F61" s="229"/>
      <c r="G61" s="229"/>
      <c r="H61" s="231">
        <f t="shared" si="0"/>
        <v>98095.255935339635</v>
      </c>
      <c r="I61" s="507">
        <v>8599.6809210526335</v>
      </c>
      <c r="J61" s="127">
        <f>'B) D RI'!U62</f>
        <v>8756.4323684210522</v>
      </c>
      <c r="K61" s="84">
        <f t="shared" si="1"/>
        <v>11.406848327964754</v>
      </c>
      <c r="L61" s="36">
        <f>'B) D RI'!S62</f>
        <v>76</v>
      </c>
      <c r="M61" s="36">
        <f t="shared" ref="M61:M114" si="8">L61-K61</f>
        <v>64.593151672035248</v>
      </c>
      <c r="N61" s="498">
        <f>'J) Plafonnement effort'!G60+'J) Plafonnement effort'!H60-'K) Plafonnement aide'!I60</f>
        <v>-5.0780945545785432</v>
      </c>
      <c r="O61" s="191">
        <f t="shared" ref="O61:O114" si="9">M61+N61</f>
        <v>59.515057117456706</v>
      </c>
      <c r="P61" s="51">
        <f t="shared" ref="P61:P114" si="10">IF(O61&gt;$P$5,$P$5-O61,0)</f>
        <v>0</v>
      </c>
      <c r="Q61" s="67">
        <f t="shared" si="5"/>
        <v>0</v>
      </c>
      <c r="R61" s="222">
        <f t="shared" ref="R61:R114" si="11">O61+P61</f>
        <v>59.515057117456706</v>
      </c>
      <c r="S61" s="191">
        <f t="shared" ref="S61:S114" si="12">R61-L61</f>
        <v>-16.484942882543294</v>
      </c>
      <c r="T61" s="221"/>
    </row>
    <row r="62" spans="1:20" x14ac:dyDescent="0.25">
      <c r="A62" s="53">
        <f>'A) Base RI'!A63</f>
        <v>5492</v>
      </c>
      <c r="B62" s="65" t="str">
        <f>'A) Base RI'!B63</f>
        <v>Montricher</v>
      </c>
      <c r="C62" s="495">
        <v>6511354.9892465593</v>
      </c>
      <c r="D62" s="495">
        <v>1961890.0424191514</v>
      </c>
      <c r="E62" s="230"/>
      <c r="F62" s="229"/>
      <c r="G62" s="229"/>
      <c r="H62" s="231">
        <f t="shared" si="0"/>
        <v>8473245.0316657107</v>
      </c>
      <c r="I62" s="507">
        <v>187025.79406249998</v>
      </c>
      <c r="J62" s="127">
        <f>'B) D RI'!U63</f>
        <v>201844.58625000002</v>
      </c>
      <c r="K62" s="84">
        <f t="shared" ref="K62:K116" si="13">H62/I62</f>
        <v>45.305221529144454</v>
      </c>
      <c r="L62" s="36">
        <f>'B) D RI'!S63</f>
        <v>64</v>
      </c>
      <c r="M62" s="36">
        <f t="shared" si="8"/>
        <v>18.694778470855546</v>
      </c>
      <c r="N62" s="498">
        <f>'J) Plafonnement effort'!G61+'J) Plafonnement effort'!H61-'K) Plafonnement aide'!I61</f>
        <v>45.061618565320686</v>
      </c>
      <c r="O62" s="191">
        <f t="shared" si="9"/>
        <v>63.756397036176232</v>
      </c>
      <c r="P62" s="51">
        <f t="shared" si="10"/>
        <v>0</v>
      </c>
      <c r="Q62" s="67">
        <f t="shared" si="5"/>
        <v>0</v>
      </c>
      <c r="R62" s="222">
        <f t="shared" si="11"/>
        <v>63.756397036176232</v>
      </c>
      <c r="S62" s="191">
        <f t="shared" si="12"/>
        <v>-0.24360296382376845</v>
      </c>
      <c r="T62" s="221"/>
    </row>
    <row r="63" spans="1:20" x14ac:dyDescent="0.25">
      <c r="A63" s="53">
        <f>'A) Base RI'!A64</f>
        <v>5493</v>
      </c>
      <c r="B63" s="65" t="str">
        <f>'A) Base RI'!B64</f>
        <v>Orny</v>
      </c>
      <c r="C63" s="495">
        <v>179443.65126165157</v>
      </c>
      <c r="D63" s="495">
        <v>37369.191394617024</v>
      </c>
      <c r="E63" s="230"/>
      <c r="F63" s="229"/>
      <c r="G63" s="229"/>
      <c r="H63" s="231">
        <f t="shared" si="0"/>
        <v>216812.84265626859</v>
      </c>
      <c r="I63" s="507">
        <v>10614.324773445733</v>
      </c>
      <c r="J63" s="127">
        <f>'B) D RI'!U64</f>
        <v>9079.112581664911</v>
      </c>
      <c r="K63" s="84">
        <f t="shared" si="13"/>
        <v>20.426437600503583</v>
      </c>
      <c r="L63" s="36">
        <f>'B) D RI'!S64</f>
        <v>73</v>
      </c>
      <c r="M63" s="36">
        <f t="shared" si="8"/>
        <v>52.573562399496417</v>
      </c>
      <c r="N63" s="498">
        <f>'J) Plafonnement effort'!G62+'J) Plafonnement effort'!H62-'K) Plafonnement aide'!I62</f>
        <v>22.237075733324406</v>
      </c>
      <c r="O63" s="191">
        <f t="shared" si="9"/>
        <v>74.810638132820827</v>
      </c>
      <c r="P63" s="51">
        <f t="shared" si="10"/>
        <v>0</v>
      </c>
      <c r="Q63" s="67">
        <f t="shared" ref="Q63:Q117" si="14">P63*J63</f>
        <v>0</v>
      </c>
      <c r="R63" s="222">
        <f t="shared" si="11"/>
        <v>74.810638132820827</v>
      </c>
      <c r="S63" s="191">
        <f t="shared" si="12"/>
        <v>1.8106381328208272</v>
      </c>
      <c r="T63" s="221"/>
    </row>
    <row r="64" spans="1:20" x14ac:dyDescent="0.25">
      <c r="A64" s="53">
        <f>'A) Base RI'!A65</f>
        <v>5494</v>
      </c>
      <c r="B64" s="65" t="str">
        <f>'A) Base RI'!B65</f>
        <v>Pampigny</v>
      </c>
      <c r="C64" s="495">
        <v>573356.54419235198</v>
      </c>
      <c r="D64" s="495">
        <v>149626.16364169214</v>
      </c>
      <c r="E64" s="230"/>
      <c r="F64" s="229"/>
      <c r="G64" s="229"/>
      <c r="H64" s="231">
        <f t="shared" si="0"/>
        <v>722982.70783404412</v>
      </c>
      <c r="I64" s="507">
        <v>33982.091568253971</v>
      </c>
      <c r="J64" s="127">
        <f>'B) D RI'!U65</f>
        <v>36797.992425396827</v>
      </c>
      <c r="K64" s="84">
        <f t="shared" si="13"/>
        <v>21.275403439541481</v>
      </c>
      <c r="L64" s="36">
        <f>'B) D RI'!S65</f>
        <v>75</v>
      </c>
      <c r="M64" s="36">
        <f t="shared" si="8"/>
        <v>53.724596560458522</v>
      </c>
      <c r="N64" s="498">
        <f>'J) Plafonnement effort'!G63+'J) Plafonnement effort'!H63-'K) Plafonnement aide'!I63</f>
        <v>17.731553628787132</v>
      </c>
      <c r="O64" s="191">
        <f t="shared" si="9"/>
        <v>71.456150189245648</v>
      </c>
      <c r="P64" s="51">
        <f t="shared" si="10"/>
        <v>0</v>
      </c>
      <c r="Q64" s="67">
        <f t="shared" si="14"/>
        <v>0</v>
      </c>
      <c r="R64" s="222">
        <f t="shared" si="11"/>
        <v>71.456150189245648</v>
      </c>
      <c r="S64" s="191">
        <f t="shared" si="12"/>
        <v>-3.5438498107543523</v>
      </c>
      <c r="T64" s="221"/>
    </row>
    <row r="65" spans="1:20" x14ac:dyDescent="0.25">
      <c r="A65" s="53">
        <f>'A) Base RI'!A66</f>
        <v>5495</v>
      </c>
      <c r="B65" s="65" t="str">
        <f>'A) Base RI'!B66</f>
        <v>Penthalaz</v>
      </c>
      <c r="C65" s="495">
        <v>1609087.2565047923</v>
      </c>
      <c r="D65" s="495">
        <v>-118190.23803192144</v>
      </c>
      <c r="E65" s="230"/>
      <c r="F65" s="229"/>
      <c r="G65" s="229"/>
      <c r="H65" s="231">
        <f t="shared" si="0"/>
        <v>1490897.0184728708</v>
      </c>
      <c r="I65" s="507">
        <v>96162.321351351362</v>
      </c>
      <c r="J65" s="127">
        <f>'B) D RI'!U66</f>
        <v>99436.02810810809</v>
      </c>
      <c r="K65" s="84">
        <f t="shared" si="13"/>
        <v>15.503962441022326</v>
      </c>
      <c r="L65" s="36">
        <f>'B) D RI'!S66</f>
        <v>74</v>
      </c>
      <c r="M65" s="36">
        <f t="shared" si="8"/>
        <v>58.496037558977676</v>
      </c>
      <c r="N65" s="498">
        <f>'J) Plafonnement effort'!G64+'J) Plafonnement effort'!H64-'K) Plafonnement aide'!I64</f>
        <v>11.830439467332212</v>
      </c>
      <c r="O65" s="191">
        <f t="shared" si="9"/>
        <v>70.326477026309888</v>
      </c>
      <c r="P65" s="51">
        <f t="shared" si="10"/>
        <v>0</v>
      </c>
      <c r="Q65" s="67">
        <f t="shared" si="14"/>
        <v>0</v>
      </c>
      <c r="R65" s="222">
        <f t="shared" si="11"/>
        <v>70.326477026309888</v>
      </c>
      <c r="S65" s="191">
        <f t="shared" si="12"/>
        <v>-3.6735229736901118</v>
      </c>
      <c r="T65" s="221"/>
    </row>
    <row r="66" spans="1:20" x14ac:dyDescent="0.25">
      <c r="A66" s="53">
        <f>'A) Base RI'!A67</f>
        <v>5496</v>
      </c>
      <c r="B66" s="65" t="str">
        <f>'A) Base RI'!B67</f>
        <v>Penthaz</v>
      </c>
      <c r="C66" s="495">
        <v>924252.54139573057</v>
      </c>
      <c r="D66" s="495">
        <v>422149.76768662652</v>
      </c>
      <c r="E66" s="230"/>
      <c r="F66" s="229"/>
      <c r="G66" s="229"/>
      <c r="H66" s="231">
        <f t="shared" si="0"/>
        <v>1346402.3090823572</v>
      </c>
      <c r="I66" s="507">
        <v>56906.521408450702</v>
      </c>
      <c r="J66" s="127">
        <f>'B) D RI'!U67</f>
        <v>52905.64732394366</v>
      </c>
      <c r="K66" s="84">
        <f t="shared" si="13"/>
        <v>23.659894784614519</v>
      </c>
      <c r="L66" s="36">
        <f>'B) D RI'!S67</f>
        <v>71</v>
      </c>
      <c r="M66" s="36">
        <f t="shared" si="8"/>
        <v>47.340105215385478</v>
      </c>
      <c r="N66" s="498">
        <f>'J) Plafonnement effort'!G65+'J) Plafonnement effort'!H65-'K) Plafonnement aide'!I65</f>
        <v>16.356025239020763</v>
      </c>
      <c r="O66" s="191">
        <f t="shared" si="9"/>
        <v>63.696130454406244</v>
      </c>
      <c r="P66" s="51">
        <f t="shared" si="10"/>
        <v>0</v>
      </c>
      <c r="Q66" s="67">
        <f t="shared" si="14"/>
        <v>0</v>
      </c>
      <c r="R66" s="222">
        <f t="shared" si="11"/>
        <v>63.696130454406244</v>
      </c>
      <c r="S66" s="191">
        <f t="shared" si="12"/>
        <v>-7.3038695455937557</v>
      </c>
      <c r="T66" s="221"/>
    </row>
    <row r="67" spans="1:20" x14ac:dyDescent="0.25">
      <c r="A67" s="53">
        <f>'A) Base RI'!A68</f>
        <v>5497</v>
      </c>
      <c r="B67" s="65" t="str">
        <f>'A) Base RI'!B68</f>
        <v>Pompaples</v>
      </c>
      <c r="C67" s="495">
        <v>434051.99987034872</v>
      </c>
      <c r="D67" s="495">
        <v>83159.476838207105</v>
      </c>
      <c r="E67" s="230"/>
      <c r="F67" s="229"/>
      <c r="G67" s="229"/>
      <c r="H67" s="231">
        <f t="shared" si="0"/>
        <v>517211.47670855583</v>
      </c>
      <c r="I67" s="507">
        <v>22227.212272727276</v>
      </c>
      <c r="J67" s="127">
        <f>'B) D RI'!U68</f>
        <v>22272.608181818188</v>
      </c>
      <c r="K67" s="84">
        <f t="shared" si="13"/>
        <v>23.269291279643411</v>
      </c>
      <c r="L67" s="36">
        <f>'B) D RI'!S68</f>
        <v>66</v>
      </c>
      <c r="M67" s="36">
        <f t="shared" si="8"/>
        <v>42.730708720356589</v>
      </c>
      <c r="N67" s="498">
        <f>'J) Plafonnement effort'!G66+'J) Plafonnement effort'!H66-'K) Plafonnement aide'!I66</f>
        <v>17.530006044688569</v>
      </c>
      <c r="O67" s="191">
        <f t="shared" si="9"/>
        <v>60.260714765045158</v>
      </c>
      <c r="P67" s="51">
        <f t="shared" si="10"/>
        <v>0</v>
      </c>
      <c r="Q67" s="67">
        <f t="shared" si="14"/>
        <v>0</v>
      </c>
      <c r="R67" s="222">
        <f t="shared" si="11"/>
        <v>60.260714765045158</v>
      </c>
      <c r="S67" s="191">
        <f t="shared" si="12"/>
        <v>-5.739285234954842</v>
      </c>
      <c r="T67" s="221"/>
    </row>
    <row r="68" spans="1:20" x14ac:dyDescent="0.25">
      <c r="A68" s="53">
        <f>'A) Base RI'!A69</f>
        <v>5498</v>
      </c>
      <c r="B68" s="65" t="str">
        <f>'A) Base RI'!B69</f>
        <v>La Sarraz</v>
      </c>
      <c r="C68" s="495">
        <v>1177018.4379371782</v>
      </c>
      <c r="D68" s="495">
        <v>50034.748314561322</v>
      </c>
      <c r="E68" s="230"/>
      <c r="F68" s="229"/>
      <c r="G68" s="229"/>
      <c r="H68" s="231">
        <f t="shared" si="0"/>
        <v>1227053.1862517395</v>
      </c>
      <c r="I68" s="507">
        <v>72104.13</v>
      </c>
      <c r="J68" s="127">
        <f>'B) D RI'!U69</f>
        <v>73804.61909090908</v>
      </c>
      <c r="K68" s="84">
        <f t="shared" si="13"/>
        <v>17.017793380930321</v>
      </c>
      <c r="L68" s="36">
        <f>'B) D RI'!S69</f>
        <v>66</v>
      </c>
      <c r="M68" s="36">
        <f t="shared" si="8"/>
        <v>48.982206619069679</v>
      </c>
      <c r="N68" s="498">
        <f>'J) Plafonnement effort'!G67+'J) Plafonnement effort'!H67-'K) Plafonnement aide'!I67</f>
        <v>9.604528575119188</v>
      </c>
      <c r="O68" s="191">
        <f t="shared" si="9"/>
        <v>58.586735194188869</v>
      </c>
      <c r="P68" s="51">
        <f t="shared" si="10"/>
        <v>0</v>
      </c>
      <c r="Q68" s="67">
        <f t="shared" si="14"/>
        <v>0</v>
      </c>
      <c r="R68" s="222">
        <f t="shared" si="11"/>
        <v>58.586735194188869</v>
      </c>
      <c r="S68" s="191">
        <f t="shared" si="12"/>
        <v>-7.4132648058111315</v>
      </c>
      <c r="T68" s="221"/>
    </row>
    <row r="69" spans="1:20" x14ac:dyDescent="0.25">
      <c r="A69" s="53">
        <f>'A) Base RI'!A70</f>
        <v>5499</v>
      </c>
      <c r="B69" s="65" t="str">
        <f>'A) Base RI'!B70</f>
        <v>Senarclens</v>
      </c>
      <c r="C69" s="495">
        <v>371806.25756297936</v>
      </c>
      <c r="D69" s="495">
        <v>356554.86710434122</v>
      </c>
      <c r="E69" s="230"/>
      <c r="F69" s="229"/>
      <c r="G69" s="229"/>
      <c r="H69" s="231">
        <f t="shared" si="0"/>
        <v>728361.12466732063</v>
      </c>
      <c r="I69" s="507">
        <v>21697.695620437953</v>
      </c>
      <c r="J69" s="127">
        <f>'B) D RI'!U70</f>
        <v>18585.936788321167</v>
      </c>
      <c r="K69" s="84">
        <f t="shared" si="13"/>
        <v>33.568593522956753</v>
      </c>
      <c r="L69" s="36">
        <f>'B) D RI'!S70</f>
        <v>68.5</v>
      </c>
      <c r="M69" s="36">
        <f t="shared" si="8"/>
        <v>34.931406477043247</v>
      </c>
      <c r="N69" s="498">
        <f>'J) Plafonnement effort'!G68+'J) Plafonnement effort'!H68-'K) Plafonnement aide'!I68</f>
        <v>27.578976995764016</v>
      </c>
      <c r="O69" s="191">
        <f t="shared" si="9"/>
        <v>62.510383472807263</v>
      </c>
      <c r="P69" s="51">
        <f t="shared" si="10"/>
        <v>0</v>
      </c>
      <c r="Q69" s="67">
        <f t="shared" si="14"/>
        <v>0</v>
      </c>
      <c r="R69" s="222">
        <f t="shared" si="11"/>
        <v>62.510383472807263</v>
      </c>
      <c r="S69" s="191">
        <f t="shared" si="12"/>
        <v>-5.9896165271927373</v>
      </c>
      <c r="T69" s="221"/>
    </row>
    <row r="70" spans="1:20" x14ac:dyDescent="0.25">
      <c r="A70" s="53">
        <f>'A) Base RI'!A71</f>
        <v>5500</v>
      </c>
      <c r="B70" s="65" t="str">
        <f>'A) Base RI'!B71</f>
        <v>Sévery</v>
      </c>
      <c r="C70" s="495">
        <v>118238.72717727696</v>
      </c>
      <c r="D70" s="495">
        <v>26212.65257718839</v>
      </c>
      <c r="E70" s="230"/>
      <c r="F70" s="229"/>
      <c r="G70" s="229"/>
      <c r="H70" s="231">
        <f t="shared" si="0"/>
        <v>144451.37975446536</v>
      </c>
      <c r="I70" s="507">
        <v>6767.1525657894736</v>
      </c>
      <c r="J70" s="127">
        <f>'B) D RI'!U71</f>
        <v>8028.7526973684207</v>
      </c>
      <c r="K70" s="84">
        <f t="shared" si="13"/>
        <v>21.345961739465128</v>
      </c>
      <c r="L70" s="36">
        <f>'B) D RI'!S71</f>
        <v>76</v>
      </c>
      <c r="M70" s="36">
        <f t="shared" si="8"/>
        <v>54.654038260534875</v>
      </c>
      <c r="N70" s="498">
        <f>'J) Plafonnement effort'!G69+'J) Plafonnement effort'!H69-'K) Plafonnement aide'!I69</f>
        <v>21.951841146204295</v>
      </c>
      <c r="O70" s="191">
        <f t="shared" si="9"/>
        <v>76.605879406739177</v>
      </c>
      <c r="P70" s="51">
        <f t="shared" si="10"/>
        <v>0</v>
      </c>
      <c r="Q70" s="67">
        <f t="shared" si="14"/>
        <v>0</v>
      </c>
      <c r="R70" s="222">
        <f t="shared" si="11"/>
        <v>76.605879406739177</v>
      </c>
      <c r="S70" s="191">
        <f t="shared" si="12"/>
        <v>0.60587940673917728</v>
      </c>
      <c r="T70" s="221"/>
    </row>
    <row r="71" spans="1:20" x14ac:dyDescent="0.25">
      <c r="A71" s="53">
        <f>'A) Base RI'!A72</f>
        <v>5501</v>
      </c>
      <c r="B71" s="65" t="str">
        <f>'A) Base RI'!B72</f>
        <v>Sullens</v>
      </c>
      <c r="C71" s="495">
        <v>623935.66631093237</v>
      </c>
      <c r="D71" s="495">
        <v>485029.65833000699</v>
      </c>
      <c r="E71" s="230"/>
      <c r="F71" s="229"/>
      <c r="G71" s="229"/>
      <c r="H71" s="231">
        <f t="shared" ref="H71:H134" si="15">SUM(C71:G71)</f>
        <v>1108965.3246409395</v>
      </c>
      <c r="I71" s="507">
        <v>35887.851857142865</v>
      </c>
      <c r="J71" s="127">
        <f>'B) D RI'!U72</f>
        <v>35737.650142857143</v>
      </c>
      <c r="K71" s="84">
        <f t="shared" si="13"/>
        <v>30.900855505516105</v>
      </c>
      <c r="L71" s="36">
        <f>'B) D RI'!S72</f>
        <v>70</v>
      </c>
      <c r="M71" s="36">
        <f t="shared" si="8"/>
        <v>39.099144494483895</v>
      </c>
      <c r="N71" s="498">
        <f>'J) Plafonnement effort'!G70+'J) Plafonnement effort'!H70-'K) Plafonnement aide'!I70</f>
        <v>30.92132202611981</v>
      </c>
      <c r="O71" s="191">
        <f t="shared" si="9"/>
        <v>70.020466520603705</v>
      </c>
      <c r="P71" s="51">
        <f t="shared" si="10"/>
        <v>0</v>
      </c>
      <c r="Q71" s="67">
        <f t="shared" si="14"/>
        <v>0</v>
      </c>
      <c r="R71" s="222">
        <f t="shared" si="11"/>
        <v>70.020466520603705</v>
      </c>
      <c r="S71" s="191">
        <f t="shared" si="12"/>
        <v>2.0466520603704907E-2</v>
      </c>
      <c r="T71" s="221"/>
    </row>
    <row r="72" spans="1:20" x14ac:dyDescent="0.25">
      <c r="A72" s="53">
        <f>'A) Base RI'!A73</f>
        <v>5503</v>
      </c>
      <c r="B72" s="65" t="str">
        <f>'A) Base RI'!B73</f>
        <v>Vufflens-la-Ville</v>
      </c>
      <c r="C72" s="495">
        <v>1199352.7408220829</v>
      </c>
      <c r="D72" s="495">
        <v>961102.97989775694</v>
      </c>
      <c r="E72" s="230"/>
      <c r="F72" s="229"/>
      <c r="G72" s="229"/>
      <c r="H72" s="231">
        <f t="shared" si="15"/>
        <v>2160455.7207198399</v>
      </c>
      <c r="I72" s="507">
        <v>61379.446318407958</v>
      </c>
      <c r="J72" s="127">
        <f>'B) D RI'!U73</f>
        <v>64927.66542288557</v>
      </c>
      <c r="K72" s="84">
        <f t="shared" si="13"/>
        <v>35.198357924449212</v>
      </c>
      <c r="L72" s="36">
        <f>'B) D RI'!S73</f>
        <v>67</v>
      </c>
      <c r="M72" s="36">
        <f t="shared" si="8"/>
        <v>31.801642075550788</v>
      </c>
      <c r="N72" s="498">
        <f>'J) Plafonnement effort'!G71+'J) Plafonnement effort'!H71-'K) Plafonnement aide'!I71</f>
        <v>35.215066310502834</v>
      </c>
      <c r="O72" s="191">
        <f t="shared" si="9"/>
        <v>67.016708386053622</v>
      </c>
      <c r="P72" s="51">
        <f t="shared" si="10"/>
        <v>0</v>
      </c>
      <c r="Q72" s="67">
        <f t="shared" si="14"/>
        <v>0</v>
      </c>
      <c r="R72" s="222">
        <f t="shared" si="11"/>
        <v>67.016708386053622</v>
      </c>
      <c r="S72" s="191">
        <f t="shared" si="12"/>
        <v>1.6708386053622348E-2</v>
      </c>
      <c r="T72" s="221"/>
    </row>
    <row r="73" spans="1:20" x14ac:dyDescent="0.25">
      <c r="A73" s="53">
        <f>'A) Base RI'!A74</f>
        <v>5511</v>
      </c>
      <c r="B73" s="65" t="str">
        <f>'A) Base RI'!B74</f>
        <v>Assens</v>
      </c>
      <c r="C73" s="495">
        <v>671778.6277392474</v>
      </c>
      <c r="D73" s="495">
        <v>586961.17042700865</v>
      </c>
      <c r="E73" s="230"/>
      <c r="F73" s="229"/>
      <c r="G73" s="229"/>
      <c r="H73" s="231">
        <f t="shared" si="15"/>
        <v>1258739.7981662559</v>
      </c>
      <c r="I73" s="507">
        <v>41422.612571428566</v>
      </c>
      <c r="J73" s="127">
        <f>'B) D RI'!U74</f>
        <v>39993.346428571429</v>
      </c>
      <c r="K73" s="84">
        <f t="shared" si="13"/>
        <v>30.387745244115223</v>
      </c>
      <c r="L73" s="36">
        <f>'B) D RI'!S74</f>
        <v>70</v>
      </c>
      <c r="M73" s="36">
        <f t="shared" si="8"/>
        <v>39.612254755884777</v>
      </c>
      <c r="N73" s="498">
        <f>'J) Plafonnement effort'!G72+'J) Plafonnement effort'!H72-'K) Plafonnement aide'!I72</f>
        <v>22.326815918758612</v>
      </c>
      <c r="O73" s="191">
        <f t="shared" si="9"/>
        <v>61.939070674643389</v>
      </c>
      <c r="P73" s="51">
        <f t="shared" si="10"/>
        <v>0</v>
      </c>
      <c r="Q73" s="67">
        <f t="shared" si="14"/>
        <v>0</v>
      </c>
      <c r="R73" s="222">
        <f t="shared" si="11"/>
        <v>61.939070674643389</v>
      </c>
      <c r="S73" s="191">
        <f t="shared" si="12"/>
        <v>-8.0609293253566108</v>
      </c>
      <c r="T73" s="221"/>
    </row>
    <row r="74" spans="1:20" x14ac:dyDescent="0.25">
      <c r="A74" s="53">
        <f>'A) Base RI'!A75</f>
        <v>5512</v>
      </c>
      <c r="B74" s="65" t="str">
        <f>'A) Base RI'!B75</f>
        <v>Bercher</v>
      </c>
      <c r="C74" s="495">
        <v>540506.8078305769</v>
      </c>
      <c r="D74" s="495">
        <v>-3995.0023635325488</v>
      </c>
      <c r="E74" s="230"/>
      <c r="F74" s="229"/>
      <c r="G74" s="229"/>
      <c r="H74" s="231">
        <f t="shared" si="15"/>
        <v>536511.80546704435</v>
      </c>
      <c r="I74" s="507">
        <v>32079.191772151898</v>
      </c>
      <c r="J74" s="127">
        <f>'B) D RI'!U75</f>
        <v>35096.262278481016</v>
      </c>
      <c r="K74" s="84">
        <f t="shared" si="13"/>
        <v>16.724604824140016</v>
      </c>
      <c r="L74" s="36">
        <f>'B) D RI'!S75</f>
        <v>79</v>
      </c>
      <c r="M74" s="36">
        <f t="shared" si="8"/>
        <v>62.275395175859984</v>
      </c>
      <c r="N74" s="498">
        <f>'J) Plafonnement effort'!G73+'J) Plafonnement effort'!H73-'K) Plafonnement aide'!I73</f>
        <v>17.887648257706189</v>
      </c>
      <c r="O74" s="191">
        <f t="shared" si="9"/>
        <v>80.163043433566173</v>
      </c>
      <c r="P74" s="51">
        <f t="shared" si="10"/>
        <v>0</v>
      </c>
      <c r="Q74" s="67">
        <f t="shared" si="14"/>
        <v>0</v>
      </c>
      <c r="R74" s="222">
        <f t="shared" si="11"/>
        <v>80.163043433566173</v>
      </c>
      <c r="S74" s="191">
        <f t="shared" si="12"/>
        <v>1.1630434335661732</v>
      </c>
      <c r="T74" s="221"/>
    </row>
    <row r="75" spans="1:20" x14ac:dyDescent="0.25">
      <c r="A75" s="53">
        <f>'A) Base RI'!A76</f>
        <v>5513</v>
      </c>
      <c r="B75" s="65" t="str">
        <f>'A) Base RI'!B76</f>
        <v>Bioley-Orjulaz</v>
      </c>
      <c r="C75" s="495">
        <v>419619.98891665658</v>
      </c>
      <c r="D75" s="495">
        <v>397598.22720456822</v>
      </c>
      <c r="E75" s="230"/>
      <c r="F75" s="229"/>
      <c r="G75" s="229"/>
      <c r="H75" s="231">
        <f t="shared" si="15"/>
        <v>817218.2161212248</v>
      </c>
      <c r="I75" s="507">
        <v>24024.471515151512</v>
      </c>
      <c r="J75" s="127">
        <f>'B) D RI'!U76</f>
        <v>22441.228030303031</v>
      </c>
      <c r="K75" s="84">
        <f t="shared" si="13"/>
        <v>34.016074634808504</v>
      </c>
      <c r="L75" s="36">
        <f>'B) D RI'!S76</f>
        <v>66</v>
      </c>
      <c r="M75" s="36">
        <f t="shared" si="8"/>
        <v>31.983925365191496</v>
      </c>
      <c r="N75" s="498">
        <f>'J) Plafonnement effort'!G74+'J) Plafonnement effort'!H74-'K) Plafonnement aide'!I74</f>
        <v>32.944559863846102</v>
      </c>
      <c r="O75" s="191">
        <f t="shared" si="9"/>
        <v>64.928485229037591</v>
      </c>
      <c r="P75" s="51">
        <f t="shared" si="10"/>
        <v>0</v>
      </c>
      <c r="Q75" s="67">
        <f t="shared" si="14"/>
        <v>0</v>
      </c>
      <c r="R75" s="222">
        <f t="shared" si="11"/>
        <v>64.928485229037591</v>
      </c>
      <c r="S75" s="191">
        <f t="shared" si="12"/>
        <v>-1.0715147709624091</v>
      </c>
      <c r="T75" s="221"/>
    </row>
    <row r="76" spans="1:20" x14ac:dyDescent="0.25">
      <c r="A76" s="53">
        <f>'A) Base RI'!A77</f>
        <v>5514</v>
      </c>
      <c r="B76" s="65" t="str">
        <f>'A) Base RI'!B77</f>
        <v>Bottens</v>
      </c>
      <c r="C76" s="495">
        <v>701908.07666748564</v>
      </c>
      <c r="D76" s="495">
        <v>252145.17512638541</v>
      </c>
      <c r="E76" s="230"/>
      <c r="F76" s="229"/>
      <c r="G76" s="229"/>
      <c r="H76" s="231">
        <f t="shared" si="15"/>
        <v>954053.25179387105</v>
      </c>
      <c r="I76" s="507">
        <v>38346.680434782604</v>
      </c>
      <c r="J76" s="127">
        <f>'B) D RI'!U77</f>
        <v>40579.944927536235</v>
      </c>
      <c r="K76" s="84">
        <f t="shared" si="13"/>
        <v>24.879682960209795</v>
      </c>
      <c r="L76" s="36">
        <f>'B) D RI'!S77</f>
        <v>69</v>
      </c>
      <c r="M76" s="36">
        <f t="shared" si="8"/>
        <v>44.120317039790208</v>
      </c>
      <c r="N76" s="498">
        <f>'J) Plafonnement effort'!G75+'J) Plafonnement effort'!H75-'K) Plafonnement aide'!I75</f>
        <v>24.86969144167427</v>
      </c>
      <c r="O76" s="191">
        <f t="shared" si="9"/>
        <v>68.990008481464486</v>
      </c>
      <c r="P76" s="51">
        <f t="shared" si="10"/>
        <v>0</v>
      </c>
      <c r="Q76" s="67">
        <f t="shared" si="14"/>
        <v>0</v>
      </c>
      <c r="R76" s="222">
        <f t="shared" si="11"/>
        <v>68.990008481464486</v>
      </c>
      <c r="S76" s="191">
        <f t="shared" si="12"/>
        <v>-9.9915185355143876E-3</v>
      </c>
      <c r="T76" s="221"/>
    </row>
    <row r="77" spans="1:20" x14ac:dyDescent="0.25">
      <c r="A77" s="53">
        <f>'A) Base RI'!A78</f>
        <v>5515</v>
      </c>
      <c r="B77" s="65" t="str">
        <f>'A) Base RI'!B78</f>
        <v>Bretigny-sur-Morrens</v>
      </c>
      <c r="C77" s="495">
        <v>415531.68489755184</v>
      </c>
      <c r="D77" s="495">
        <v>150325.05246552185</v>
      </c>
      <c r="E77" s="230"/>
      <c r="F77" s="229"/>
      <c r="G77" s="229"/>
      <c r="H77" s="231">
        <f t="shared" si="15"/>
        <v>565856.73736307374</v>
      </c>
      <c r="I77" s="507">
        <v>24345.34643835617</v>
      </c>
      <c r="J77" s="127">
        <f>'B) D RI'!U78</f>
        <v>25654.980410958906</v>
      </c>
      <c r="K77" s="84">
        <f t="shared" si="13"/>
        <v>23.242911691392681</v>
      </c>
      <c r="L77" s="36">
        <f>'B) D RI'!S78</f>
        <v>73</v>
      </c>
      <c r="M77" s="36">
        <f t="shared" si="8"/>
        <v>49.757088308607322</v>
      </c>
      <c r="N77" s="498">
        <f>'J) Plafonnement effort'!G76+'J) Plafonnement effort'!H76-'K) Plafonnement aide'!I76</f>
        <v>21.152633875097827</v>
      </c>
      <c r="O77" s="191">
        <f t="shared" si="9"/>
        <v>70.909722183705156</v>
      </c>
      <c r="P77" s="51">
        <f t="shared" si="10"/>
        <v>0</v>
      </c>
      <c r="Q77" s="67">
        <f t="shared" si="14"/>
        <v>0</v>
      </c>
      <c r="R77" s="222">
        <f t="shared" si="11"/>
        <v>70.909722183705156</v>
      </c>
      <c r="S77" s="191">
        <f t="shared" si="12"/>
        <v>-2.0902778162948437</v>
      </c>
      <c r="T77" s="221"/>
    </row>
    <row r="78" spans="1:20" x14ac:dyDescent="0.25">
      <c r="A78" s="53">
        <f>'A) Base RI'!A79</f>
        <v>5516</v>
      </c>
      <c r="B78" s="65" t="str">
        <f>'A) Base RI'!B79</f>
        <v>Cugy</v>
      </c>
      <c r="C78" s="495">
        <v>1829960.750576542</v>
      </c>
      <c r="D78" s="495">
        <v>961026.97067447193</v>
      </c>
      <c r="E78" s="230"/>
      <c r="F78" s="229"/>
      <c r="G78" s="229"/>
      <c r="H78" s="231">
        <f t="shared" si="15"/>
        <v>2790987.7212510137</v>
      </c>
      <c r="I78" s="507">
        <v>104935.17701492537</v>
      </c>
      <c r="J78" s="127">
        <f>'B) D RI'!U79</f>
        <v>107712.55485714282</v>
      </c>
      <c r="K78" s="84">
        <f t="shared" si="13"/>
        <v>26.597255569064696</v>
      </c>
      <c r="L78" s="36">
        <f>'B) D RI'!S79</f>
        <v>70</v>
      </c>
      <c r="M78" s="36">
        <f t="shared" si="8"/>
        <v>43.4027444309353</v>
      </c>
      <c r="N78" s="498">
        <f>'J) Plafonnement effort'!G77+'J) Plafonnement effort'!H77-'K) Plafonnement aide'!I77</f>
        <v>25.044420223164074</v>
      </c>
      <c r="O78" s="191">
        <f t="shared" si="9"/>
        <v>68.447164654099367</v>
      </c>
      <c r="P78" s="51">
        <f t="shared" si="10"/>
        <v>0</v>
      </c>
      <c r="Q78" s="67">
        <f t="shared" si="14"/>
        <v>0</v>
      </c>
      <c r="R78" s="222">
        <f t="shared" si="11"/>
        <v>68.447164654099367</v>
      </c>
      <c r="S78" s="191">
        <f t="shared" si="12"/>
        <v>-1.5528353459006325</v>
      </c>
      <c r="T78" s="221"/>
    </row>
    <row r="79" spans="1:20" x14ac:dyDescent="0.25">
      <c r="A79" s="53">
        <f>'A) Base RI'!A80</f>
        <v>5518</v>
      </c>
      <c r="B79" s="65" t="str">
        <f>'A) Base RI'!B80</f>
        <v>Echallens</v>
      </c>
      <c r="C79" s="495">
        <v>2953956.0692383884</v>
      </c>
      <c r="D79" s="495">
        <v>-162323.38295907155</v>
      </c>
      <c r="E79" s="230"/>
      <c r="F79" s="229"/>
      <c r="G79" s="229"/>
      <c r="H79" s="231">
        <f t="shared" si="15"/>
        <v>2791632.6862793169</v>
      </c>
      <c r="I79" s="507">
        <v>181423.1631081081</v>
      </c>
      <c r="J79" s="127">
        <f>'B) D RI'!U80</f>
        <v>187267.45324324328</v>
      </c>
      <c r="K79" s="84">
        <f t="shared" si="13"/>
        <v>15.387410507311094</v>
      </c>
      <c r="L79" s="36">
        <f>'B) D RI'!S80</f>
        <v>74</v>
      </c>
      <c r="M79" s="36">
        <f t="shared" si="8"/>
        <v>58.612589492688905</v>
      </c>
      <c r="N79" s="498">
        <f>'J) Plafonnement effort'!G78+'J) Plafonnement effort'!H78-'K) Plafonnement aide'!I78</f>
        <v>13.541095841009202</v>
      </c>
      <c r="O79" s="191">
        <f t="shared" si="9"/>
        <v>72.153685333698107</v>
      </c>
      <c r="P79" s="51">
        <f t="shared" si="10"/>
        <v>0</v>
      </c>
      <c r="Q79" s="67">
        <f t="shared" si="14"/>
        <v>0</v>
      </c>
      <c r="R79" s="222">
        <f t="shared" si="11"/>
        <v>72.153685333698107</v>
      </c>
      <c r="S79" s="191">
        <f t="shared" si="12"/>
        <v>-1.8463146663018932</v>
      </c>
      <c r="T79" s="221"/>
    </row>
    <row r="80" spans="1:20" x14ac:dyDescent="0.25">
      <c r="A80" s="53">
        <f>'A) Base RI'!A81</f>
        <v>5520</v>
      </c>
      <c r="B80" s="65" t="str">
        <f>'A) Base RI'!B81</f>
        <v>Essertines-sur-Yverdon</v>
      </c>
      <c r="C80" s="495">
        <v>447130.00632049632</v>
      </c>
      <c r="D80" s="495">
        <v>144716.33448310726</v>
      </c>
      <c r="E80" s="230"/>
      <c r="F80" s="229"/>
      <c r="G80" s="229"/>
      <c r="H80" s="231">
        <f t="shared" si="15"/>
        <v>591846.34080360364</v>
      </c>
      <c r="I80" s="507">
        <v>28021.579589041095</v>
      </c>
      <c r="J80" s="127">
        <f>'B) D RI'!U81</f>
        <v>28096.496575342466</v>
      </c>
      <c r="K80" s="84">
        <f t="shared" si="13"/>
        <v>21.121091297617912</v>
      </c>
      <c r="L80" s="36">
        <f>'B) D RI'!S81</f>
        <v>73</v>
      </c>
      <c r="M80" s="36">
        <f t="shared" si="8"/>
        <v>51.878908702382091</v>
      </c>
      <c r="N80" s="498">
        <f>'J) Plafonnement effort'!G79+'J) Plafonnement effort'!H79-'K) Plafonnement aide'!I79</f>
        <v>18.110629413163053</v>
      </c>
      <c r="O80" s="191">
        <f t="shared" si="9"/>
        <v>69.989538115545145</v>
      </c>
      <c r="P80" s="51">
        <f t="shared" si="10"/>
        <v>0</v>
      </c>
      <c r="Q80" s="67">
        <f t="shared" si="14"/>
        <v>0</v>
      </c>
      <c r="R80" s="222">
        <f t="shared" si="11"/>
        <v>69.989538115545145</v>
      </c>
      <c r="S80" s="191">
        <f t="shared" si="12"/>
        <v>-3.0104618844548554</v>
      </c>
      <c r="T80" s="221"/>
    </row>
    <row r="81" spans="1:20" x14ac:dyDescent="0.25">
      <c r="A81" s="53">
        <f>'A) Base RI'!A82</f>
        <v>5521</v>
      </c>
      <c r="B81" s="65" t="str">
        <f>'A) Base RI'!B82</f>
        <v>Etagnières</v>
      </c>
      <c r="C81" s="495">
        <v>649626.20319631859</v>
      </c>
      <c r="D81" s="495">
        <v>470629.41778157884</v>
      </c>
      <c r="E81" s="230"/>
      <c r="F81" s="229"/>
      <c r="G81" s="229"/>
      <c r="H81" s="231">
        <f t="shared" si="15"/>
        <v>1120255.6209778974</v>
      </c>
      <c r="I81" s="507">
        <v>42327.784109589047</v>
      </c>
      <c r="J81" s="127">
        <f>'B) D RI'!U82</f>
        <v>40658.047260273968</v>
      </c>
      <c r="K81" s="84">
        <f t="shared" si="13"/>
        <v>26.466200500302396</v>
      </c>
      <c r="L81" s="36">
        <f>'B) D RI'!S82</f>
        <v>73</v>
      </c>
      <c r="M81" s="36">
        <f t="shared" si="8"/>
        <v>46.533799499697608</v>
      </c>
      <c r="N81" s="498">
        <f>'J) Plafonnement effort'!G80+'J) Plafonnement effort'!H80-'K) Plafonnement aide'!I80</f>
        <v>26.222312981932781</v>
      </c>
      <c r="O81" s="191">
        <f t="shared" si="9"/>
        <v>72.756112481630396</v>
      </c>
      <c r="P81" s="51">
        <f t="shared" si="10"/>
        <v>0</v>
      </c>
      <c r="Q81" s="67">
        <f t="shared" si="14"/>
        <v>0</v>
      </c>
      <c r="R81" s="222">
        <f t="shared" si="11"/>
        <v>72.756112481630396</v>
      </c>
      <c r="S81" s="191">
        <f t="shared" si="12"/>
        <v>-0.24388751836960409</v>
      </c>
      <c r="T81" s="221"/>
    </row>
    <row r="82" spans="1:20" x14ac:dyDescent="0.25">
      <c r="A82" s="53">
        <f>'A) Base RI'!A83</f>
        <v>5522</v>
      </c>
      <c r="B82" s="65" t="str">
        <f>'A) Base RI'!B83</f>
        <v>Fey</v>
      </c>
      <c r="C82" s="495">
        <v>298457.87639047246</v>
      </c>
      <c r="D82" s="495">
        <v>61834.721294104937</v>
      </c>
      <c r="E82" s="230"/>
      <c r="F82" s="229"/>
      <c r="G82" s="229"/>
      <c r="H82" s="231">
        <f t="shared" si="15"/>
        <v>360292.5976845774</v>
      </c>
      <c r="I82" s="507">
        <v>18218.5124</v>
      </c>
      <c r="J82" s="127">
        <f>'B) D RI'!U83</f>
        <v>19109.159333333333</v>
      </c>
      <c r="K82" s="84">
        <f t="shared" si="13"/>
        <v>19.776180940249404</v>
      </c>
      <c r="L82" s="36">
        <f>'B) D RI'!S83</f>
        <v>75</v>
      </c>
      <c r="M82" s="36">
        <f t="shared" si="8"/>
        <v>55.223819059750596</v>
      </c>
      <c r="N82" s="498">
        <f>'J) Plafonnement effort'!G81+'J) Plafonnement effort'!H81-'K) Plafonnement aide'!I81</f>
        <v>16.018480728415071</v>
      </c>
      <c r="O82" s="191">
        <f t="shared" si="9"/>
        <v>71.242299788165667</v>
      </c>
      <c r="P82" s="51">
        <f t="shared" si="10"/>
        <v>0</v>
      </c>
      <c r="Q82" s="67">
        <f t="shared" si="14"/>
        <v>0</v>
      </c>
      <c r="R82" s="222">
        <f t="shared" si="11"/>
        <v>71.242299788165667</v>
      </c>
      <c r="S82" s="191">
        <f t="shared" si="12"/>
        <v>-3.757700211834333</v>
      </c>
      <c r="T82" s="221"/>
    </row>
    <row r="83" spans="1:20" x14ac:dyDescent="0.25">
      <c r="A83" s="53">
        <f>'A) Base RI'!A84</f>
        <v>5523</v>
      </c>
      <c r="B83" s="65" t="str">
        <f>'A) Base RI'!B84</f>
        <v>Froideville</v>
      </c>
      <c r="C83" s="495">
        <v>1380361.1919041052</v>
      </c>
      <c r="D83" s="495">
        <v>207686.93615446938</v>
      </c>
      <c r="E83" s="230"/>
      <c r="F83" s="229"/>
      <c r="G83" s="229"/>
      <c r="H83" s="231">
        <f t="shared" si="15"/>
        <v>1588048.1280585746</v>
      </c>
      <c r="I83" s="507">
        <v>77819.657763157898</v>
      </c>
      <c r="J83" s="127">
        <f>'B) D RI'!U84</f>
        <v>77198.057236842113</v>
      </c>
      <c r="K83" s="84">
        <f t="shared" si="13"/>
        <v>20.406773477361693</v>
      </c>
      <c r="L83" s="36">
        <f>'B) D RI'!S84</f>
        <v>76</v>
      </c>
      <c r="M83" s="36">
        <f t="shared" si="8"/>
        <v>55.593226522638304</v>
      </c>
      <c r="N83" s="498">
        <f>'J) Plafonnement effort'!G82+'J) Plafonnement effort'!H82-'K) Plafonnement aide'!I82</f>
        <v>18.011554323808511</v>
      </c>
      <c r="O83" s="191">
        <f t="shared" si="9"/>
        <v>73.604780846446815</v>
      </c>
      <c r="P83" s="51">
        <f t="shared" si="10"/>
        <v>0</v>
      </c>
      <c r="Q83" s="67">
        <f t="shared" si="14"/>
        <v>0</v>
      </c>
      <c r="R83" s="222">
        <f t="shared" si="11"/>
        <v>73.604780846446815</v>
      </c>
      <c r="S83" s="191">
        <f t="shared" si="12"/>
        <v>-2.3952191535531853</v>
      </c>
      <c r="T83" s="221"/>
    </row>
    <row r="84" spans="1:20" x14ac:dyDescent="0.25">
      <c r="A84" s="53">
        <f>'A) Base RI'!A85</f>
        <v>5527</v>
      </c>
      <c r="B84" s="65" t="str">
        <f>'A) Base RI'!B85</f>
        <v>Morrens</v>
      </c>
      <c r="C84" s="495">
        <v>659271.54088150593</v>
      </c>
      <c r="D84" s="495">
        <v>385135.29137243435</v>
      </c>
      <c r="E84" s="230"/>
      <c r="F84" s="229"/>
      <c r="G84" s="229"/>
      <c r="H84" s="231">
        <f t="shared" si="15"/>
        <v>1044406.8322539403</v>
      </c>
      <c r="I84" s="507">
        <v>36998.677183098589</v>
      </c>
      <c r="J84" s="127">
        <f>'B) D RI'!U85</f>
        <v>37560.717323943667</v>
      </c>
      <c r="K84" s="84">
        <f t="shared" si="13"/>
        <v>28.228220892476585</v>
      </c>
      <c r="L84" s="36">
        <f>'B) D RI'!S85</f>
        <v>71</v>
      </c>
      <c r="M84" s="36">
        <f t="shared" si="8"/>
        <v>42.771779107523415</v>
      </c>
      <c r="N84" s="498">
        <f>'J) Plafonnement effort'!G83+'J) Plafonnement effort'!H83-'K) Plafonnement aide'!I83</f>
        <v>25.320521234374247</v>
      </c>
      <c r="O84" s="191">
        <f t="shared" si="9"/>
        <v>68.092300341897669</v>
      </c>
      <c r="P84" s="51">
        <f t="shared" si="10"/>
        <v>0</v>
      </c>
      <c r="Q84" s="67">
        <f t="shared" si="14"/>
        <v>0</v>
      </c>
      <c r="R84" s="222">
        <f t="shared" si="11"/>
        <v>68.092300341897669</v>
      </c>
      <c r="S84" s="191">
        <f t="shared" si="12"/>
        <v>-2.9076996581023309</v>
      </c>
      <c r="T84" s="221"/>
    </row>
    <row r="85" spans="1:20" x14ac:dyDescent="0.25">
      <c r="A85" s="53">
        <f>'A) Base RI'!A86</f>
        <v>5529</v>
      </c>
      <c r="B85" s="65" t="str">
        <f>'A) Base RI'!B86</f>
        <v>Oulens-sous-Echallens</v>
      </c>
      <c r="C85" s="495">
        <v>325395.32239014609</v>
      </c>
      <c r="D85" s="495">
        <v>130682.17246992342</v>
      </c>
      <c r="E85" s="230"/>
      <c r="F85" s="229"/>
      <c r="G85" s="229"/>
      <c r="H85" s="231">
        <f t="shared" si="15"/>
        <v>456077.49486006948</v>
      </c>
      <c r="I85" s="507">
        <v>16830.940140845072</v>
      </c>
      <c r="J85" s="127">
        <f>'B) D RI'!U86</f>
        <v>19874.862394366199</v>
      </c>
      <c r="K85" s="84">
        <f t="shared" si="13"/>
        <v>27.097565022720715</v>
      </c>
      <c r="L85" s="36">
        <f>'B) D RI'!S86</f>
        <v>71</v>
      </c>
      <c r="M85" s="36">
        <f t="shared" si="8"/>
        <v>43.902434977279285</v>
      </c>
      <c r="N85" s="498">
        <f>'J) Plafonnement effort'!G84+'J) Plafonnement effort'!H84-'K) Plafonnement aide'!I84</f>
        <v>21.174630602231179</v>
      </c>
      <c r="O85" s="191">
        <f t="shared" si="9"/>
        <v>65.07706557951046</v>
      </c>
      <c r="P85" s="51">
        <f t="shared" si="10"/>
        <v>0</v>
      </c>
      <c r="Q85" s="67">
        <f t="shared" si="14"/>
        <v>0</v>
      </c>
      <c r="R85" s="222">
        <f t="shared" si="11"/>
        <v>65.07706557951046</v>
      </c>
      <c r="S85" s="191">
        <f t="shared" si="12"/>
        <v>-5.9229344204895398</v>
      </c>
      <c r="T85" s="221"/>
    </row>
    <row r="86" spans="1:20" x14ac:dyDescent="0.25">
      <c r="A86" s="53">
        <f>'A) Base RI'!A87</f>
        <v>5530</v>
      </c>
      <c r="B86" s="65" t="str">
        <f>'A) Base RI'!B87</f>
        <v>Pailly</v>
      </c>
      <c r="C86" s="495">
        <v>254748.19686789927</v>
      </c>
      <c r="D86" s="495">
        <v>69333.638850575808</v>
      </c>
      <c r="E86" s="230"/>
      <c r="F86" s="229"/>
      <c r="G86" s="229"/>
      <c r="H86" s="231">
        <f t="shared" si="15"/>
        <v>324081.83571847505</v>
      </c>
      <c r="I86" s="507">
        <v>15988.116172043008</v>
      </c>
      <c r="J86" s="127">
        <f>'B) D RI'!U87</f>
        <v>15272.027655913982</v>
      </c>
      <c r="K86" s="84">
        <f t="shared" si="13"/>
        <v>20.270170183349556</v>
      </c>
      <c r="L86" s="36">
        <f>'B) D RI'!S87</f>
        <v>77.5</v>
      </c>
      <c r="M86" s="36">
        <f t="shared" si="8"/>
        <v>57.229829816650444</v>
      </c>
      <c r="N86" s="498">
        <f>'J) Plafonnement effort'!G85+'J) Plafonnement effort'!H85-'K) Plafonnement aide'!I85</f>
        <v>-6.2543290895087829</v>
      </c>
      <c r="O86" s="191">
        <f t="shared" si="9"/>
        <v>50.975500727141664</v>
      </c>
      <c r="P86" s="51">
        <f t="shared" si="10"/>
        <v>0</v>
      </c>
      <c r="Q86" s="67">
        <f t="shared" si="14"/>
        <v>0</v>
      </c>
      <c r="R86" s="222">
        <f t="shared" si="11"/>
        <v>50.975500727141664</v>
      </c>
      <c r="S86" s="191">
        <f t="shared" si="12"/>
        <v>-26.524499272858336</v>
      </c>
      <c r="T86" s="221"/>
    </row>
    <row r="87" spans="1:20" x14ac:dyDescent="0.25">
      <c r="A87" s="53">
        <f>'A) Base RI'!A88</f>
        <v>5531</v>
      </c>
      <c r="B87" s="65" t="str">
        <f>'A) Base RI'!B88</f>
        <v>Penthéréaz</v>
      </c>
      <c r="C87" s="495">
        <v>201640.21765641091</v>
      </c>
      <c r="D87" s="495">
        <v>47257.679356387787</v>
      </c>
      <c r="E87" s="230"/>
      <c r="F87" s="229"/>
      <c r="G87" s="229"/>
      <c r="H87" s="231">
        <f t="shared" si="15"/>
        <v>248897.8970127987</v>
      </c>
      <c r="I87" s="507">
        <v>11628.696923076923</v>
      </c>
      <c r="J87" s="127">
        <f>'B) D RI'!U88</f>
        <v>12101.700128205126</v>
      </c>
      <c r="K87" s="84">
        <f t="shared" si="13"/>
        <v>21.403765070088436</v>
      </c>
      <c r="L87" s="36">
        <f>'B) D RI'!S88</f>
        <v>78</v>
      </c>
      <c r="M87" s="36">
        <f t="shared" si="8"/>
        <v>56.59623492991156</v>
      </c>
      <c r="N87" s="498">
        <f>'J) Plafonnement effort'!G86+'J) Plafonnement effort'!H86-'K) Plafonnement aide'!I86</f>
        <v>14.179304957763478</v>
      </c>
      <c r="O87" s="191">
        <f t="shared" si="9"/>
        <v>70.775539887675038</v>
      </c>
      <c r="P87" s="51">
        <f t="shared" si="10"/>
        <v>0</v>
      </c>
      <c r="Q87" s="67">
        <f t="shared" si="14"/>
        <v>0</v>
      </c>
      <c r="R87" s="222">
        <f t="shared" si="11"/>
        <v>70.775539887675038</v>
      </c>
      <c r="S87" s="191">
        <f t="shared" si="12"/>
        <v>-7.2244601123249623</v>
      </c>
      <c r="T87" s="221"/>
    </row>
    <row r="88" spans="1:20" x14ac:dyDescent="0.25">
      <c r="A88" s="53">
        <f>'A) Base RI'!A89</f>
        <v>5533</v>
      </c>
      <c r="B88" s="65" t="str">
        <f>'A) Base RI'!B89</f>
        <v>Poliez-Pittet</v>
      </c>
      <c r="C88" s="495">
        <v>346562.88722626795</v>
      </c>
      <c r="D88" s="495">
        <v>26847.929173535376</v>
      </c>
      <c r="E88" s="230"/>
      <c r="F88" s="229"/>
      <c r="G88" s="229"/>
      <c r="H88" s="231">
        <f t="shared" si="15"/>
        <v>373410.81639980333</v>
      </c>
      <c r="I88" s="507">
        <v>21286.915727699528</v>
      </c>
      <c r="J88" s="127">
        <f>'B) D RI'!U89</f>
        <v>27045.170985915491</v>
      </c>
      <c r="K88" s="84">
        <f t="shared" si="13"/>
        <v>17.54179991016283</v>
      </c>
      <c r="L88" s="36">
        <f>'B) D RI'!S89</f>
        <v>71</v>
      </c>
      <c r="M88" s="36">
        <f t="shared" si="8"/>
        <v>53.45820008983717</v>
      </c>
      <c r="N88" s="498">
        <f>'J) Plafonnement effort'!G87+'J) Plafonnement effort'!H87-'K) Plafonnement aide'!I87</f>
        <v>22.188450412263382</v>
      </c>
      <c r="O88" s="191">
        <f t="shared" si="9"/>
        <v>75.646650502100556</v>
      </c>
      <c r="P88" s="51">
        <f t="shared" si="10"/>
        <v>0</v>
      </c>
      <c r="Q88" s="67">
        <f t="shared" si="14"/>
        <v>0</v>
      </c>
      <c r="R88" s="222">
        <f t="shared" si="11"/>
        <v>75.646650502100556</v>
      </c>
      <c r="S88" s="191">
        <f t="shared" si="12"/>
        <v>4.646650502100556</v>
      </c>
      <c r="T88" s="221"/>
    </row>
    <row r="89" spans="1:20" x14ac:dyDescent="0.25">
      <c r="A89" s="53">
        <f>'A) Base RI'!A90</f>
        <v>5534</v>
      </c>
      <c r="B89" s="65" t="str">
        <f>'A) Base RI'!B90</f>
        <v>Rueyres</v>
      </c>
      <c r="C89" s="495">
        <v>168637.90160046896</v>
      </c>
      <c r="D89" s="495">
        <v>51109.801685988612</v>
      </c>
      <c r="E89" s="230"/>
      <c r="F89" s="229"/>
      <c r="G89" s="229"/>
      <c r="H89" s="231">
        <f t="shared" si="15"/>
        <v>219747.70328645757</v>
      </c>
      <c r="I89" s="507">
        <v>8123.1504109589041</v>
      </c>
      <c r="J89" s="127">
        <f>'B) D RI'!U90</f>
        <v>10934.157945205479</v>
      </c>
      <c r="K89" s="84">
        <f t="shared" si="13"/>
        <v>27.052029344427375</v>
      </c>
      <c r="L89" s="36">
        <f>'B) D RI'!S90</f>
        <v>73</v>
      </c>
      <c r="M89" s="36">
        <f t="shared" si="8"/>
        <v>45.947970655572625</v>
      </c>
      <c r="N89" s="498">
        <f>'J) Plafonnement effort'!G88+'J) Plafonnement effort'!H88-'K) Plafonnement aide'!I88</f>
        <v>37.427645694709355</v>
      </c>
      <c r="O89" s="191">
        <f t="shared" si="9"/>
        <v>83.375616350281973</v>
      </c>
      <c r="P89" s="51">
        <f t="shared" si="10"/>
        <v>0</v>
      </c>
      <c r="Q89" s="67">
        <f t="shared" si="14"/>
        <v>0</v>
      </c>
      <c r="R89" s="222">
        <f t="shared" si="11"/>
        <v>83.375616350281973</v>
      </c>
      <c r="S89" s="191">
        <f t="shared" si="12"/>
        <v>10.375616350281973</v>
      </c>
      <c r="T89" s="221"/>
    </row>
    <row r="90" spans="1:20" x14ac:dyDescent="0.25">
      <c r="A90" s="53">
        <f>'A) Base RI'!A91</f>
        <v>5535</v>
      </c>
      <c r="B90" s="65" t="str">
        <f>'A) Base RI'!B91</f>
        <v>Saint-Barthélemy</v>
      </c>
      <c r="C90" s="495">
        <v>325748.39879956114</v>
      </c>
      <c r="D90" s="495">
        <v>44138.887093849247</v>
      </c>
      <c r="E90" s="230"/>
      <c r="F90" s="229"/>
      <c r="G90" s="229"/>
      <c r="H90" s="231">
        <f t="shared" si="15"/>
        <v>369887.28589341039</v>
      </c>
      <c r="I90" s="507">
        <v>21652.779733333333</v>
      </c>
      <c r="J90" s="127">
        <f>'B) D RI'!U91</f>
        <v>20697.547200000001</v>
      </c>
      <c r="K90" s="84">
        <f t="shared" si="13"/>
        <v>17.082669774910613</v>
      </c>
      <c r="L90" s="36">
        <f>'B) D RI'!S91</f>
        <v>75</v>
      </c>
      <c r="M90" s="36">
        <f t="shared" si="8"/>
        <v>57.917330225089387</v>
      </c>
      <c r="N90" s="498">
        <f>'J) Plafonnement effort'!G89+'J) Plafonnement effort'!H89-'K) Plafonnement aide'!I89</f>
        <v>15.809339678976665</v>
      </c>
      <c r="O90" s="191">
        <f t="shared" si="9"/>
        <v>73.726669904066057</v>
      </c>
      <c r="P90" s="51">
        <f t="shared" si="10"/>
        <v>0</v>
      </c>
      <c r="Q90" s="67">
        <f t="shared" si="14"/>
        <v>0</v>
      </c>
      <c r="R90" s="222">
        <f t="shared" si="11"/>
        <v>73.726669904066057</v>
      </c>
      <c r="S90" s="191">
        <f t="shared" si="12"/>
        <v>-1.2733300959339431</v>
      </c>
      <c r="T90" s="221"/>
    </row>
    <row r="91" spans="1:20" x14ac:dyDescent="0.25">
      <c r="A91" s="53">
        <f>'A) Base RI'!A92</f>
        <v>5537</v>
      </c>
      <c r="B91" s="65" t="str">
        <f>'A) Base RI'!B92</f>
        <v>Villars-le-Terroir</v>
      </c>
      <c r="C91" s="495">
        <v>461665.02662884234</v>
      </c>
      <c r="D91" s="495">
        <v>52811.230867620034</v>
      </c>
      <c r="E91" s="230"/>
      <c r="F91" s="229"/>
      <c r="G91" s="229"/>
      <c r="H91" s="231">
        <f t="shared" si="15"/>
        <v>514476.25749646238</v>
      </c>
      <c r="I91" s="507">
        <v>28181.728767123288</v>
      </c>
      <c r="J91" s="127">
        <f>'B) D RI'!U92</f>
        <v>30041.138287671231</v>
      </c>
      <c r="K91" s="84">
        <f t="shared" si="13"/>
        <v>18.255667058177377</v>
      </c>
      <c r="L91" s="36">
        <f>'B) D RI'!S92</f>
        <v>73</v>
      </c>
      <c r="M91" s="36">
        <f t="shared" si="8"/>
        <v>54.74433294182262</v>
      </c>
      <c r="N91" s="498">
        <f>'J) Plafonnement effort'!G90+'J) Plafonnement effort'!H90-'K) Plafonnement aide'!I90</f>
        <v>16.267297857017795</v>
      </c>
      <c r="O91" s="191">
        <f t="shared" si="9"/>
        <v>71.011630798840415</v>
      </c>
      <c r="P91" s="51">
        <f t="shared" si="10"/>
        <v>0</v>
      </c>
      <c r="Q91" s="67">
        <f t="shared" si="14"/>
        <v>0</v>
      </c>
      <c r="R91" s="222">
        <f t="shared" si="11"/>
        <v>71.011630798840415</v>
      </c>
      <c r="S91" s="191">
        <f t="shared" si="12"/>
        <v>-1.9883692011595855</v>
      </c>
      <c r="T91" s="221"/>
    </row>
    <row r="92" spans="1:20" x14ac:dyDescent="0.25">
      <c r="A92" s="53">
        <f>'A) Base RI'!A93</f>
        <v>5539</v>
      </c>
      <c r="B92" s="65" t="str">
        <f>'A) Base RI'!B93</f>
        <v>Vuarrens</v>
      </c>
      <c r="C92" s="495">
        <v>383433.49248481489</v>
      </c>
      <c r="D92" s="495">
        <v>-75267.947468856524</v>
      </c>
      <c r="E92" s="230"/>
      <c r="F92" s="229"/>
      <c r="G92" s="229"/>
      <c r="H92" s="231">
        <f t="shared" si="15"/>
        <v>308165.54501595837</v>
      </c>
      <c r="I92" s="507">
        <v>22756.172933333331</v>
      </c>
      <c r="J92" s="127">
        <f>'B) D RI'!U93</f>
        <v>22727.031566666661</v>
      </c>
      <c r="K92" s="84">
        <f t="shared" si="13"/>
        <v>13.542063769631328</v>
      </c>
      <c r="L92" s="36">
        <f>'B) D RI'!S93</f>
        <v>75</v>
      </c>
      <c r="M92" s="36">
        <f t="shared" si="8"/>
        <v>61.457936230368674</v>
      </c>
      <c r="N92" s="498">
        <f>'J) Plafonnement effort'!G91+'J) Plafonnement effort'!H91-'K) Plafonnement aide'!I91</f>
        <v>-2.9535198574494785</v>
      </c>
      <c r="O92" s="191">
        <f t="shared" si="9"/>
        <v>58.504416372919195</v>
      </c>
      <c r="P92" s="51">
        <f t="shared" si="10"/>
        <v>0</v>
      </c>
      <c r="Q92" s="67">
        <f t="shared" si="14"/>
        <v>0</v>
      </c>
      <c r="R92" s="222">
        <f t="shared" si="11"/>
        <v>58.504416372919195</v>
      </c>
      <c r="S92" s="191">
        <f t="shared" si="12"/>
        <v>-16.495583627080805</v>
      </c>
      <c r="T92" s="221"/>
    </row>
    <row r="93" spans="1:20" x14ac:dyDescent="0.25">
      <c r="A93" s="53">
        <f>'A) Base RI'!A94</f>
        <v>5540</v>
      </c>
      <c r="B93" s="65" t="str">
        <f>'A) Base RI'!B94</f>
        <v>Montilliez</v>
      </c>
      <c r="C93" s="495">
        <v>782373.52976448054</v>
      </c>
      <c r="D93" s="495">
        <v>984.93609985464718</v>
      </c>
      <c r="E93" s="230"/>
      <c r="F93" s="229"/>
      <c r="G93" s="229"/>
      <c r="H93" s="231">
        <f t="shared" si="15"/>
        <v>783358.46586433519</v>
      </c>
      <c r="I93" s="507">
        <v>47199.265101351346</v>
      </c>
      <c r="J93" s="127">
        <f>'B) D RI'!U94</f>
        <v>54875.674391891895</v>
      </c>
      <c r="K93" s="84">
        <f>H93/I93</f>
        <v>16.596836077473316</v>
      </c>
      <c r="L93" s="36">
        <f>'B) D RI'!S94</f>
        <v>74</v>
      </c>
      <c r="M93" s="36">
        <f>L93-K93</f>
        <v>57.403163922526687</v>
      </c>
      <c r="N93" s="498">
        <f>'J) Plafonnement effort'!G92+'J) Plafonnement effort'!H92-'K) Plafonnement aide'!I92</f>
        <v>18.174870141532999</v>
      </c>
      <c r="O93" s="191">
        <f>M93+N93</f>
        <v>75.578034064059693</v>
      </c>
      <c r="P93" s="51">
        <f t="shared" si="10"/>
        <v>0</v>
      </c>
      <c r="Q93" s="67">
        <f>P93*J93</f>
        <v>0</v>
      </c>
      <c r="R93" s="222">
        <f>O93+P93</f>
        <v>75.578034064059693</v>
      </c>
      <c r="S93" s="191">
        <f>R93-L93</f>
        <v>1.5780340640596933</v>
      </c>
      <c r="T93" s="221"/>
    </row>
    <row r="94" spans="1:20" x14ac:dyDescent="0.25">
      <c r="A94" s="53">
        <f>'A) Base RI'!A95</f>
        <v>5541</v>
      </c>
      <c r="B94" s="65" t="str">
        <f>'A) Base RI'!B95</f>
        <v>Goumoëns</v>
      </c>
      <c r="C94" s="495">
        <v>576228.79445526132</v>
      </c>
      <c r="D94" s="495">
        <v>294731.79486664355</v>
      </c>
      <c r="E94" s="230"/>
      <c r="F94" s="229"/>
      <c r="G94" s="229"/>
      <c r="H94" s="231">
        <f t="shared" si="15"/>
        <v>870960.58932190482</v>
      </c>
      <c r="I94" s="507">
        <v>35607.690389610398</v>
      </c>
      <c r="J94" s="127">
        <f>'B) D RI'!U95</f>
        <v>32498.070519480509</v>
      </c>
      <c r="K94" s="84">
        <f>H94/I94</f>
        <v>24.459901212127857</v>
      </c>
      <c r="L94" s="36">
        <f>'B) D RI'!S95</f>
        <v>77</v>
      </c>
      <c r="M94" s="36">
        <f>L94-K94</f>
        <v>52.540098787872139</v>
      </c>
      <c r="N94" s="498">
        <f>'J) Plafonnement effort'!G93+'J) Plafonnement effort'!H93-'K) Plafonnement aide'!I93</f>
        <v>22.863131972067215</v>
      </c>
      <c r="O94" s="191">
        <f>M94+N94</f>
        <v>75.403230759939362</v>
      </c>
      <c r="P94" s="51">
        <f t="shared" si="10"/>
        <v>0</v>
      </c>
      <c r="Q94" s="67">
        <f>P94*J94</f>
        <v>0</v>
      </c>
      <c r="R94" s="222">
        <f>O94+P94</f>
        <v>75.403230759939362</v>
      </c>
      <c r="S94" s="191">
        <f>R94-L94</f>
        <v>-1.5967692400606381</v>
      </c>
      <c r="T94" s="221"/>
    </row>
    <row r="95" spans="1:20" x14ac:dyDescent="0.25">
      <c r="A95" s="53">
        <f>'A) Base RI'!A96</f>
        <v>5551</v>
      </c>
      <c r="B95" s="65" t="str">
        <f>'A) Base RI'!B96</f>
        <v>Bonvillars</v>
      </c>
      <c r="C95" s="495">
        <v>250658.69506484293</v>
      </c>
      <c r="D95" s="495">
        <v>172323.5536961047</v>
      </c>
      <c r="E95" s="230"/>
      <c r="F95" s="229"/>
      <c r="G95" s="229"/>
      <c r="H95" s="231">
        <f t="shared" si="15"/>
        <v>422982.24876094761</v>
      </c>
      <c r="I95" s="507">
        <v>15988.430935064936</v>
      </c>
      <c r="J95" s="127">
        <f>'B) D RI'!U96</f>
        <v>19291.965896103895</v>
      </c>
      <c r="K95" s="84">
        <f t="shared" si="13"/>
        <v>26.455519649103685</v>
      </c>
      <c r="L95" s="36">
        <f>'B) D RI'!S96</f>
        <v>55</v>
      </c>
      <c r="M95" s="36">
        <f>L95-K95</f>
        <v>28.544480350896315</v>
      </c>
      <c r="N95" s="498">
        <f>'J) Plafonnement effort'!G94+'J) Plafonnement effort'!H94-'K) Plafonnement aide'!I94</f>
        <v>26.755710739568379</v>
      </c>
      <c r="O95" s="191">
        <f>M95+N95</f>
        <v>55.300191090464693</v>
      </c>
      <c r="P95" s="51">
        <f t="shared" si="10"/>
        <v>0</v>
      </c>
      <c r="Q95" s="67">
        <f>P95*J95</f>
        <v>0</v>
      </c>
      <c r="R95" s="222">
        <f>O95+P95</f>
        <v>55.300191090464693</v>
      </c>
      <c r="S95" s="191">
        <f>R95-L95</f>
        <v>0.30019109046469339</v>
      </c>
      <c r="T95" s="221"/>
    </row>
    <row r="96" spans="1:20" x14ac:dyDescent="0.25">
      <c r="A96" s="53">
        <f>'A) Base RI'!A97</f>
        <v>5552</v>
      </c>
      <c r="B96" s="65" t="str">
        <f>'A) Base RI'!B97</f>
        <v>Bullet</v>
      </c>
      <c r="C96" s="495">
        <v>337917.47640088713</v>
      </c>
      <c r="D96" s="495">
        <v>14424.197198071226</v>
      </c>
      <c r="E96" s="230"/>
      <c r="F96" s="229"/>
      <c r="G96" s="229"/>
      <c r="H96" s="231">
        <f t="shared" si="15"/>
        <v>352341.67359895835</v>
      </c>
      <c r="I96" s="507">
        <v>15525.607571428574</v>
      </c>
      <c r="J96" s="127">
        <f>'B) D RI'!U97</f>
        <v>15735.537571428569</v>
      </c>
      <c r="K96" s="84">
        <f t="shared" si="13"/>
        <v>22.694227712374026</v>
      </c>
      <c r="L96" s="36">
        <f>'B) D RI'!S97</f>
        <v>70</v>
      </c>
      <c r="M96" s="36">
        <f t="shared" si="8"/>
        <v>47.30577228762597</v>
      </c>
      <c r="N96" s="498">
        <f>'J) Plafonnement effort'!G95+'J) Plafonnement effort'!H95-'K) Plafonnement aide'!I95</f>
        <v>8.5614728246146221</v>
      </c>
      <c r="O96" s="191">
        <f t="shared" si="9"/>
        <v>55.867245112240596</v>
      </c>
      <c r="P96" s="51">
        <f t="shared" si="10"/>
        <v>0</v>
      </c>
      <c r="Q96" s="67">
        <f t="shared" si="14"/>
        <v>0</v>
      </c>
      <c r="R96" s="222">
        <f t="shared" si="11"/>
        <v>55.867245112240596</v>
      </c>
      <c r="S96" s="191">
        <f t="shared" si="12"/>
        <v>-14.132754887759404</v>
      </c>
      <c r="T96" s="221"/>
    </row>
    <row r="97" spans="1:20" x14ac:dyDescent="0.25">
      <c r="A97" s="53">
        <f>'A) Base RI'!A98</f>
        <v>5553</v>
      </c>
      <c r="B97" s="65" t="str">
        <f>'A) Base RI'!B98</f>
        <v>Champagne</v>
      </c>
      <c r="C97" s="495">
        <v>946320.05390203209</v>
      </c>
      <c r="D97" s="495">
        <v>907534.97958017851</v>
      </c>
      <c r="E97" s="230"/>
      <c r="F97" s="229"/>
      <c r="G97" s="229"/>
      <c r="H97" s="231">
        <f t="shared" si="15"/>
        <v>1853855.0334822107</v>
      </c>
      <c r="I97" s="507">
        <v>55334.370317460314</v>
      </c>
      <c r="J97" s="127">
        <f>'B) D RI'!U98</f>
        <v>33369.783650793652</v>
      </c>
      <c r="K97" s="84">
        <f t="shared" si="13"/>
        <v>33.502776354847967</v>
      </c>
      <c r="L97" s="36">
        <f>'B) D RI'!S98</f>
        <v>63</v>
      </c>
      <c r="M97" s="36">
        <f t="shared" si="8"/>
        <v>29.497223645152033</v>
      </c>
      <c r="N97" s="498">
        <f>'J) Plafonnement effort'!G96+'J) Plafonnement effort'!H96-'K) Plafonnement aide'!I96</f>
        <v>19.368501731289747</v>
      </c>
      <c r="O97" s="191">
        <f t="shared" si="9"/>
        <v>48.86572537644178</v>
      </c>
      <c r="P97" s="51">
        <f t="shared" si="10"/>
        <v>0</v>
      </c>
      <c r="Q97" s="67">
        <f t="shared" si="14"/>
        <v>0</v>
      </c>
      <c r="R97" s="222">
        <f t="shared" si="11"/>
        <v>48.86572537644178</v>
      </c>
      <c r="S97" s="191">
        <f t="shared" si="12"/>
        <v>-14.13427462355822</v>
      </c>
      <c r="T97" s="221"/>
    </row>
    <row r="98" spans="1:20" x14ac:dyDescent="0.25">
      <c r="A98" s="53">
        <f>'A) Base RI'!A99</f>
        <v>5554</v>
      </c>
      <c r="B98" s="65" t="str">
        <f>'A) Base RI'!B99</f>
        <v>Concise</v>
      </c>
      <c r="C98" s="495">
        <v>568024.10553860548</v>
      </c>
      <c r="D98" s="495">
        <v>187725.82664168597</v>
      </c>
      <c r="E98" s="230"/>
      <c r="F98" s="229"/>
      <c r="G98" s="229"/>
      <c r="H98" s="231">
        <f t="shared" si="15"/>
        <v>755749.93218029151</v>
      </c>
      <c r="I98" s="507">
        <v>29691.100933333331</v>
      </c>
      <c r="J98" s="127">
        <f>'B) D RI'!U99</f>
        <v>28986.7088</v>
      </c>
      <c r="K98" s="84">
        <f t="shared" si="13"/>
        <v>25.453752418181072</v>
      </c>
      <c r="L98" s="36">
        <f>'B) D RI'!S99</f>
        <v>75</v>
      </c>
      <c r="M98" s="36">
        <f t="shared" si="8"/>
        <v>49.546247581818932</v>
      </c>
      <c r="N98" s="498">
        <f>'J) Plafonnement effort'!G97+'J) Plafonnement effort'!H97-'K) Plafonnement aide'!I97</f>
        <v>18.860825043476126</v>
      </c>
      <c r="O98" s="191">
        <f t="shared" si="9"/>
        <v>68.407072625295058</v>
      </c>
      <c r="P98" s="51">
        <f t="shared" si="10"/>
        <v>0</v>
      </c>
      <c r="Q98" s="67">
        <f t="shared" si="14"/>
        <v>0</v>
      </c>
      <c r="R98" s="222">
        <f t="shared" si="11"/>
        <v>68.407072625295058</v>
      </c>
      <c r="S98" s="191">
        <f t="shared" si="12"/>
        <v>-6.5929273747049422</v>
      </c>
      <c r="T98" s="221"/>
    </row>
    <row r="99" spans="1:20" x14ac:dyDescent="0.25">
      <c r="A99" s="53">
        <f>'A) Base RI'!A100</f>
        <v>5555</v>
      </c>
      <c r="B99" s="65" t="str">
        <f>'A) Base RI'!B100</f>
        <v>Corcelles-près-Concise</v>
      </c>
      <c r="C99" s="495">
        <v>176876.33646093856</v>
      </c>
      <c r="D99" s="495">
        <v>48128.738945318881</v>
      </c>
      <c r="E99" s="230"/>
      <c r="F99" s="229"/>
      <c r="G99" s="229"/>
      <c r="H99" s="231">
        <f t="shared" si="15"/>
        <v>225005.07540625744</v>
      </c>
      <c r="I99" s="507">
        <v>9762.6867605633779</v>
      </c>
      <c r="J99" s="127">
        <f>'B) D RI'!U100</f>
        <v>11040.372394366199</v>
      </c>
      <c r="K99" s="84">
        <f t="shared" si="13"/>
        <v>23.047454140920632</v>
      </c>
      <c r="L99" s="36">
        <f>'B) D RI'!S100</f>
        <v>71</v>
      </c>
      <c r="M99" s="36">
        <f t="shared" si="8"/>
        <v>47.952545859079365</v>
      </c>
      <c r="N99" s="498">
        <f>'J) Plafonnement effort'!G98+'J) Plafonnement effort'!H98-'K) Plafonnement aide'!I98</f>
        <v>14.372145754542235</v>
      </c>
      <c r="O99" s="191">
        <f t="shared" si="9"/>
        <v>62.324691613621596</v>
      </c>
      <c r="P99" s="51">
        <f t="shared" si="10"/>
        <v>0</v>
      </c>
      <c r="Q99" s="67">
        <f t="shared" si="14"/>
        <v>0</v>
      </c>
      <c r="R99" s="222">
        <f t="shared" si="11"/>
        <v>62.324691613621596</v>
      </c>
      <c r="S99" s="191">
        <f t="shared" si="12"/>
        <v>-8.6753083863784042</v>
      </c>
      <c r="T99" s="221"/>
    </row>
    <row r="100" spans="1:20" x14ac:dyDescent="0.25">
      <c r="A100" s="53">
        <f>'A) Base RI'!A101</f>
        <v>5556</v>
      </c>
      <c r="B100" s="65" t="str">
        <f>'A) Base RI'!B101</f>
        <v>Fiez</v>
      </c>
      <c r="C100" s="495">
        <v>179099.02372170018</v>
      </c>
      <c r="D100" s="495">
        <v>14735.4399144708</v>
      </c>
      <c r="E100" s="230"/>
      <c r="F100" s="229"/>
      <c r="G100" s="229"/>
      <c r="H100" s="231">
        <f t="shared" si="15"/>
        <v>193834.46363617099</v>
      </c>
      <c r="I100" s="507">
        <v>10799.932053140095</v>
      </c>
      <c r="J100" s="127">
        <f>'B) D RI'!U101</f>
        <v>12472.754202898552</v>
      </c>
      <c r="K100" s="84">
        <f t="shared" si="13"/>
        <v>17.947748437899971</v>
      </c>
      <c r="L100" s="36">
        <f>'B) D RI'!S101</f>
        <v>69</v>
      </c>
      <c r="M100" s="36">
        <f t="shared" si="8"/>
        <v>51.052251562100025</v>
      </c>
      <c r="N100" s="498">
        <f>'J) Plafonnement effort'!G99+'J) Plafonnement effort'!H99-'K) Plafonnement aide'!I99</f>
        <v>19.163321713341329</v>
      </c>
      <c r="O100" s="191">
        <f t="shared" si="9"/>
        <v>70.215573275441358</v>
      </c>
      <c r="P100" s="51">
        <f t="shared" si="10"/>
        <v>0</v>
      </c>
      <c r="Q100" s="67">
        <f t="shared" si="14"/>
        <v>0</v>
      </c>
      <c r="R100" s="222">
        <f t="shared" si="11"/>
        <v>70.215573275441358</v>
      </c>
      <c r="S100" s="191">
        <f t="shared" si="12"/>
        <v>1.2155732754413577</v>
      </c>
      <c r="T100" s="221"/>
    </row>
    <row r="101" spans="1:20" x14ac:dyDescent="0.25">
      <c r="A101" s="53">
        <f>'A) Base RI'!A102</f>
        <v>5557</v>
      </c>
      <c r="B101" s="65" t="str">
        <f>'A) Base RI'!B102</f>
        <v>Fontaines-sur-Grandson</v>
      </c>
      <c r="C101" s="495">
        <v>69055.977036031196</v>
      </c>
      <c r="D101" s="495">
        <v>-19482.369063680715</v>
      </c>
      <c r="E101" s="230"/>
      <c r="F101" s="229"/>
      <c r="G101" s="229"/>
      <c r="H101" s="231">
        <f t="shared" si="15"/>
        <v>49573.607972350481</v>
      </c>
      <c r="I101" s="507">
        <v>4200.6523188405799</v>
      </c>
      <c r="J101" s="127">
        <f>'B) D RI'!U102</f>
        <v>4030.2872463768117</v>
      </c>
      <c r="K101" s="84">
        <f t="shared" si="13"/>
        <v>11.801407069565155</v>
      </c>
      <c r="L101" s="36">
        <f>'B) D RI'!S102</f>
        <v>69</v>
      </c>
      <c r="M101" s="36">
        <f t="shared" si="8"/>
        <v>57.198592930434842</v>
      </c>
      <c r="N101" s="498">
        <f>'J) Plafonnement effort'!G100+'J) Plafonnement effort'!H100-'K) Plafonnement aide'!I100</f>
        <v>1.461112960683062</v>
      </c>
      <c r="O101" s="191">
        <f t="shared" si="9"/>
        <v>58.659705891117902</v>
      </c>
      <c r="P101" s="51">
        <f t="shared" si="10"/>
        <v>0</v>
      </c>
      <c r="Q101" s="67">
        <f t="shared" si="14"/>
        <v>0</v>
      </c>
      <c r="R101" s="222">
        <f t="shared" si="11"/>
        <v>58.659705891117902</v>
      </c>
      <c r="S101" s="191">
        <f t="shared" si="12"/>
        <v>-10.340294108882098</v>
      </c>
      <c r="T101" s="221"/>
    </row>
    <row r="102" spans="1:20" x14ac:dyDescent="0.25">
      <c r="A102" s="53">
        <f>'A) Base RI'!A103</f>
        <v>5559</v>
      </c>
      <c r="B102" s="65" t="str">
        <f>'A) Base RI'!B103</f>
        <v>Giez</v>
      </c>
      <c r="C102" s="495">
        <v>268058.06648478686</v>
      </c>
      <c r="D102" s="495">
        <v>294292.23005119932</v>
      </c>
      <c r="E102" s="230"/>
      <c r="F102" s="229"/>
      <c r="G102" s="229"/>
      <c r="H102" s="231">
        <f t="shared" si="15"/>
        <v>562350.29653598624</v>
      </c>
      <c r="I102" s="507">
        <v>17998.483636363639</v>
      </c>
      <c r="J102" s="127">
        <f>'B) D RI'!U103</f>
        <v>18149.138484848489</v>
      </c>
      <c r="K102" s="84">
        <f t="shared" si="13"/>
        <v>31.244315237747543</v>
      </c>
      <c r="L102" s="36">
        <f>'B) D RI'!S103</f>
        <v>66</v>
      </c>
      <c r="M102" s="36">
        <f t="shared" si="8"/>
        <v>34.755684762252457</v>
      </c>
      <c r="N102" s="498">
        <f>'J) Plafonnement effort'!G101+'J) Plafonnement effort'!H101-'K) Plafonnement aide'!I101</f>
        <v>40.241857873720292</v>
      </c>
      <c r="O102" s="191">
        <f t="shared" si="9"/>
        <v>74.997542635972749</v>
      </c>
      <c r="P102" s="51">
        <f t="shared" si="10"/>
        <v>0</v>
      </c>
      <c r="Q102" s="67">
        <f t="shared" si="14"/>
        <v>0</v>
      </c>
      <c r="R102" s="222">
        <f t="shared" si="11"/>
        <v>74.997542635972749</v>
      </c>
      <c r="S102" s="191">
        <f t="shared" si="12"/>
        <v>8.9975426359727493</v>
      </c>
      <c r="T102" s="221"/>
    </row>
    <row r="103" spans="1:20" x14ac:dyDescent="0.25">
      <c r="A103" s="53">
        <f>'A) Base RI'!A104</f>
        <v>5560</v>
      </c>
      <c r="B103" s="65" t="str">
        <f>'A) Base RI'!B104</f>
        <v>Grandevent</v>
      </c>
      <c r="C103" s="495">
        <v>107523.7833365675</v>
      </c>
      <c r="D103" s="495">
        <v>26793.446276912218</v>
      </c>
      <c r="E103" s="230"/>
      <c r="F103" s="229"/>
      <c r="G103" s="229"/>
      <c r="H103" s="231">
        <f t="shared" si="15"/>
        <v>134317.22961347972</v>
      </c>
      <c r="I103" s="507">
        <v>6396.1444117647052</v>
      </c>
      <c r="J103" s="127">
        <f>'B) D RI'!U104</f>
        <v>6446.6273529411765</v>
      </c>
      <c r="K103" s="84">
        <f t="shared" si="13"/>
        <v>20.999718106180378</v>
      </c>
      <c r="L103" s="36">
        <f>'B) D RI'!S104</f>
        <v>68</v>
      </c>
      <c r="M103" s="36">
        <f t="shared" si="8"/>
        <v>47.000281893819619</v>
      </c>
      <c r="N103" s="498">
        <f>'J) Plafonnement effort'!G102+'J) Plafonnement effort'!H102-'K) Plafonnement aide'!I102</f>
        <v>16.948696270128597</v>
      </c>
      <c r="O103" s="191">
        <f t="shared" si="9"/>
        <v>63.948978163948212</v>
      </c>
      <c r="P103" s="51">
        <f t="shared" si="10"/>
        <v>0</v>
      </c>
      <c r="Q103" s="67">
        <f t="shared" si="14"/>
        <v>0</v>
      </c>
      <c r="R103" s="222">
        <f t="shared" si="11"/>
        <v>63.948978163948212</v>
      </c>
      <c r="S103" s="191">
        <f t="shared" si="12"/>
        <v>-4.0510218360517882</v>
      </c>
      <c r="T103" s="221"/>
    </row>
    <row r="104" spans="1:20" x14ac:dyDescent="0.25">
      <c r="A104" s="53">
        <f>'A) Base RI'!A105</f>
        <v>5561</v>
      </c>
      <c r="B104" s="65" t="str">
        <f>'A) Base RI'!B105</f>
        <v>Grandson</v>
      </c>
      <c r="C104" s="495">
        <v>1979819.6222693417</v>
      </c>
      <c r="D104" s="495">
        <v>315760.45357458247</v>
      </c>
      <c r="E104" s="230"/>
      <c r="F104" s="229"/>
      <c r="G104" s="229"/>
      <c r="H104" s="231">
        <f t="shared" si="15"/>
        <v>2295580.0758439242</v>
      </c>
      <c r="I104" s="507">
        <v>106507.86840579711</v>
      </c>
      <c r="J104" s="127">
        <f>'B) D RI'!U105</f>
        <v>115170.40130434782</v>
      </c>
      <c r="K104" s="84">
        <f t="shared" si="13"/>
        <v>21.553150111855757</v>
      </c>
      <c r="L104" s="36">
        <f>'B) D RI'!S105</f>
        <v>69</v>
      </c>
      <c r="M104" s="36">
        <f t="shared" si="8"/>
        <v>47.446849888144243</v>
      </c>
      <c r="N104" s="498">
        <f>'J) Plafonnement effort'!G103+'J) Plafonnement effort'!H103-'K) Plafonnement aide'!I103</f>
        <v>17.462799104457122</v>
      </c>
      <c r="O104" s="191">
        <f t="shared" si="9"/>
        <v>64.909648992601362</v>
      </c>
      <c r="P104" s="51">
        <f t="shared" si="10"/>
        <v>0</v>
      </c>
      <c r="Q104" s="67">
        <f t="shared" si="14"/>
        <v>0</v>
      </c>
      <c r="R104" s="222">
        <f t="shared" si="11"/>
        <v>64.909648992601362</v>
      </c>
      <c r="S104" s="191">
        <f t="shared" si="12"/>
        <v>-4.0903510073986382</v>
      </c>
      <c r="T104" s="221"/>
    </row>
    <row r="105" spans="1:20" x14ac:dyDescent="0.25">
      <c r="A105" s="53">
        <f>'A) Base RI'!A106</f>
        <v>5562</v>
      </c>
      <c r="B105" s="65" t="str">
        <f>'A) Base RI'!B106</f>
        <v>Mauborget</v>
      </c>
      <c r="C105" s="495">
        <v>61088.71286908519</v>
      </c>
      <c r="D105" s="495">
        <v>35809.599381011547</v>
      </c>
      <c r="E105" s="230"/>
      <c r="F105" s="229"/>
      <c r="G105" s="229"/>
      <c r="H105" s="231">
        <f t="shared" si="15"/>
        <v>96898.312250096729</v>
      </c>
      <c r="I105" s="507">
        <v>3916.9319285714282</v>
      </c>
      <c r="J105" s="127">
        <f>'B) D RI'!U106</f>
        <v>3662.5545714285713</v>
      </c>
      <c r="K105" s="84">
        <f t="shared" si="13"/>
        <v>24.738319178663183</v>
      </c>
      <c r="L105" s="36">
        <f>'B) D RI'!S106</f>
        <v>70</v>
      </c>
      <c r="M105" s="36">
        <f t="shared" si="8"/>
        <v>45.261680821336817</v>
      </c>
      <c r="N105" s="498">
        <f>'J) Plafonnement effort'!G104+'J) Plafonnement effort'!H104-'K) Plafonnement aide'!I104</f>
        <v>17.42416075285638</v>
      </c>
      <c r="O105" s="191">
        <f t="shared" si="9"/>
        <v>62.685841574193198</v>
      </c>
      <c r="P105" s="51">
        <f t="shared" si="10"/>
        <v>0</v>
      </c>
      <c r="Q105" s="67">
        <f t="shared" si="14"/>
        <v>0</v>
      </c>
      <c r="R105" s="222">
        <f t="shared" si="11"/>
        <v>62.685841574193198</v>
      </c>
      <c r="S105" s="191">
        <f t="shared" si="12"/>
        <v>-7.3141584258068022</v>
      </c>
      <c r="T105" s="221"/>
    </row>
    <row r="106" spans="1:20" x14ac:dyDescent="0.25">
      <c r="A106" s="53">
        <f>'A) Base RI'!A107</f>
        <v>5563</v>
      </c>
      <c r="B106" s="65" t="str">
        <f>'A) Base RI'!B107</f>
        <v>Mutrux</v>
      </c>
      <c r="C106" s="495">
        <v>65235.350876548015</v>
      </c>
      <c r="D106" s="495">
        <v>-2345.7885364520334</v>
      </c>
      <c r="E106" s="230"/>
      <c r="F106" s="229"/>
      <c r="G106" s="229"/>
      <c r="H106" s="231">
        <f t="shared" si="15"/>
        <v>62889.562340095981</v>
      </c>
      <c r="I106" s="507">
        <v>4102.2142675159239</v>
      </c>
      <c r="J106" s="127">
        <f>'B) D RI'!U107</f>
        <v>4275.1686624203812</v>
      </c>
      <c r="K106" s="84">
        <f t="shared" si="13"/>
        <v>15.330638099062156</v>
      </c>
      <c r="L106" s="36">
        <f>'B) D RI'!S107</f>
        <v>78.5</v>
      </c>
      <c r="M106" s="36">
        <f t="shared" si="8"/>
        <v>63.169361900937844</v>
      </c>
      <c r="N106" s="498">
        <f>'J) Plafonnement effort'!G105+'J) Plafonnement effort'!H105-'K) Plafonnement aide'!I105</f>
        <v>11.190807301288135</v>
      </c>
      <c r="O106" s="191">
        <f t="shared" si="9"/>
        <v>74.360169202225975</v>
      </c>
      <c r="P106" s="51">
        <f t="shared" si="10"/>
        <v>0</v>
      </c>
      <c r="Q106" s="67">
        <f t="shared" si="14"/>
        <v>0</v>
      </c>
      <c r="R106" s="222">
        <f t="shared" si="11"/>
        <v>74.360169202225975</v>
      </c>
      <c r="S106" s="191">
        <f t="shared" si="12"/>
        <v>-4.1398307977740245</v>
      </c>
      <c r="T106" s="221"/>
    </row>
    <row r="107" spans="1:20" x14ac:dyDescent="0.25">
      <c r="A107" s="53">
        <f>'A) Base RI'!A108</f>
        <v>5564</v>
      </c>
      <c r="B107" s="65" t="str">
        <f>'A) Base RI'!B108</f>
        <v>Novalles</v>
      </c>
      <c r="C107" s="495">
        <v>30467.590957777302</v>
      </c>
      <c r="D107" s="495">
        <v>-24416.795119984665</v>
      </c>
      <c r="E107" s="230"/>
      <c r="F107" s="229"/>
      <c r="G107" s="229"/>
      <c r="H107" s="231">
        <f t="shared" si="15"/>
        <v>6050.795837792637</v>
      </c>
      <c r="I107" s="507">
        <v>2120.1975328947365</v>
      </c>
      <c r="J107" s="127">
        <f>'B) D RI'!U108</f>
        <v>2063.0078618421053</v>
      </c>
      <c r="K107" s="84">
        <f t="shared" si="13"/>
        <v>2.8538830669854605</v>
      </c>
      <c r="L107" s="36">
        <f>'B) D RI'!S108</f>
        <v>76</v>
      </c>
      <c r="M107" s="36">
        <f t="shared" si="8"/>
        <v>73.14611693301454</v>
      </c>
      <c r="N107" s="498">
        <f>'J) Plafonnement effort'!G106+'J) Plafonnement effort'!H106-'K) Plafonnement aide'!I106</f>
        <v>4.333967844392788</v>
      </c>
      <c r="O107" s="191">
        <f t="shared" si="9"/>
        <v>77.480084777407328</v>
      </c>
      <c r="P107" s="51">
        <f t="shared" si="10"/>
        <v>0</v>
      </c>
      <c r="Q107" s="67">
        <f t="shared" si="14"/>
        <v>0</v>
      </c>
      <c r="R107" s="222">
        <f t="shared" si="11"/>
        <v>77.480084777407328</v>
      </c>
      <c r="S107" s="191">
        <f t="shared" si="12"/>
        <v>1.4800847774073276</v>
      </c>
      <c r="T107" s="221"/>
    </row>
    <row r="108" spans="1:20" x14ac:dyDescent="0.25">
      <c r="A108" s="53">
        <f>'A) Base RI'!A109</f>
        <v>5565</v>
      </c>
      <c r="B108" s="65" t="str">
        <f>'A) Base RI'!B109</f>
        <v>Onnens</v>
      </c>
      <c r="C108" s="495">
        <v>364883.75474683056</v>
      </c>
      <c r="D108" s="495">
        <v>366371.11200904322</v>
      </c>
      <c r="E108" s="230"/>
      <c r="F108" s="229"/>
      <c r="G108" s="229"/>
      <c r="H108" s="231">
        <f t="shared" si="15"/>
        <v>731254.86675587378</v>
      </c>
      <c r="I108" s="507">
        <v>22453.434769230771</v>
      </c>
      <c r="J108" s="127">
        <f>'B) D RI'!U109</f>
        <v>17902.806410256413</v>
      </c>
      <c r="K108" s="84">
        <f t="shared" si="13"/>
        <v>32.567617127244795</v>
      </c>
      <c r="L108" s="36">
        <f>'B) D RI'!S109</f>
        <v>65</v>
      </c>
      <c r="M108" s="36">
        <f t="shared" si="8"/>
        <v>32.432382872755205</v>
      </c>
      <c r="N108" s="498">
        <f>'J) Plafonnement effort'!G107+'J) Plafonnement effort'!H107-'K) Plafonnement aide'!I107</f>
        <v>24.339004795832558</v>
      </c>
      <c r="O108" s="191">
        <f t="shared" si="9"/>
        <v>56.771387668587764</v>
      </c>
      <c r="P108" s="51">
        <f t="shared" si="10"/>
        <v>0</v>
      </c>
      <c r="Q108" s="67">
        <f t="shared" si="14"/>
        <v>0</v>
      </c>
      <c r="R108" s="222">
        <f t="shared" si="11"/>
        <v>56.771387668587764</v>
      </c>
      <c r="S108" s="191">
        <f t="shared" si="12"/>
        <v>-8.2286123314122364</v>
      </c>
      <c r="T108" s="221"/>
    </row>
    <row r="109" spans="1:20" x14ac:dyDescent="0.25">
      <c r="A109" s="53">
        <f>'A) Base RI'!A110</f>
        <v>5566</v>
      </c>
      <c r="B109" s="65" t="str">
        <f>'A) Base RI'!B110</f>
        <v>Provence</v>
      </c>
      <c r="C109" s="495">
        <v>132672.8303164645</v>
      </c>
      <c r="D109" s="495">
        <v>-128026.78924179918</v>
      </c>
      <c r="E109" s="230"/>
      <c r="F109" s="229"/>
      <c r="G109" s="229"/>
      <c r="H109" s="231">
        <f t="shared" si="15"/>
        <v>4646.0410746653215</v>
      </c>
      <c r="I109" s="507">
        <v>7814.1319753086409</v>
      </c>
      <c r="J109" s="127">
        <f>'B) D RI'!U110</f>
        <v>8605.0976954732487</v>
      </c>
      <c r="K109" s="84">
        <f t="shared" si="13"/>
        <v>0.59456905633870016</v>
      </c>
      <c r="L109" s="36">
        <f>'B) D RI'!S110</f>
        <v>81</v>
      </c>
      <c r="M109" s="36">
        <f t="shared" si="8"/>
        <v>80.405430943661301</v>
      </c>
      <c r="N109" s="498">
        <f>'J) Plafonnement effort'!G108+'J) Plafonnement effort'!H108-'K) Plafonnement aide'!I108</f>
        <v>-6.356785313445533</v>
      </c>
      <c r="O109" s="191">
        <f t="shared" si="9"/>
        <v>74.048645630215773</v>
      </c>
      <c r="P109" s="51">
        <f t="shared" si="10"/>
        <v>0</v>
      </c>
      <c r="Q109" s="67">
        <f t="shared" si="14"/>
        <v>0</v>
      </c>
      <c r="R109" s="222">
        <f t="shared" si="11"/>
        <v>74.048645630215773</v>
      </c>
      <c r="S109" s="191">
        <f t="shared" si="12"/>
        <v>-6.9513543697842266</v>
      </c>
      <c r="T109" s="221"/>
    </row>
    <row r="110" spans="1:20" x14ac:dyDescent="0.25">
      <c r="A110" s="53">
        <f>'A) Base RI'!A111</f>
        <v>5568</v>
      </c>
      <c r="B110" s="65" t="str">
        <f>'A) Base RI'!B111</f>
        <v>Sainte-Croix</v>
      </c>
      <c r="C110" s="495">
        <v>2264009.0673615178</v>
      </c>
      <c r="D110" s="495">
        <v>-2165762.2582440339</v>
      </c>
      <c r="E110" s="230"/>
      <c r="F110" s="229"/>
      <c r="G110" s="229"/>
      <c r="H110" s="231">
        <f t="shared" si="15"/>
        <v>98246.809117483906</v>
      </c>
      <c r="I110" s="507">
        <v>93435.029714285716</v>
      </c>
      <c r="J110" s="127">
        <f>'B) D RI'!U111</f>
        <v>96229.339714285714</v>
      </c>
      <c r="K110" s="84">
        <f t="shared" si="13"/>
        <v>1.0514986661631307</v>
      </c>
      <c r="L110" s="36">
        <f>'B) D RI'!S111</f>
        <v>70</v>
      </c>
      <c r="M110" s="36">
        <f t="shared" si="8"/>
        <v>68.948501333836873</v>
      </c>
      <c r="N110" s="498">
        <f>'J) Plafonnement effort'!G109+'J) Plafonnement effort'!H109-'K) Plafonnement aide'!I109</f>
        <v>-9.5388714618306683</v>
      </c>
      <c r="O110" s="191">
        <f t="shared" si="9"/>
        <v>59.409629872006207</v>
      </c>
      <c r="P110" s="51">
        <f t="shared" si="10"/>
        <v>0</v>
      </c>
      <c r="Q110" s="67">
        <f t="shared" si="14"/>
        <v>0</v>
      </c>
      <c r="R110" s="222">
        <f t="shared" si="11"/>
        <v>59.409629872006207</v>
      </c>
      <c r="S110" s="191">
        <f t="shared" si="12"/>
        <v>-10.590370127993793</v>
      </c>
      <c r="T110" s="221"/>
    </row>
    <row r="111" spans="1:20" x14ac:dyDescent="0.25">
      <c r="A111" s="53">
        <f>'A) Base RI'!A112</f>
        <v>5571</v>
      </c>
      <c r="B111" s="65" t="str">
        <f>'A) Base RI'!B112</f>
        <v>Tévenon</v>
      </c>
      <c r="C111" s="495">
        <v>364556.74869806797</v>
      </c>
      <c r="D111" s="495">
        <v>-6069.4289515038254</v>
      </c>
      <c r="E111" s="230"/>
      <c r="F111" s="229"/>
      <c r="G111" s="229"/>
      <c r="H111" s="231">
        <f t="shared" si="15"/>
        <v>358487.31974656414</v>
      </c>
      <c r="I111" s="507">
        <v>20766.182465753427</v>
      </c>
      <c r="J111" s="127">
        <f>'B) D RI'!U112</f>
        <v>20963.465799086756</v>
      </c>
      <c r="K111" s="84">
        <f t="shared" si="13"/>
        <v>17.263034278821536</v>
      </c>
      <c r="L111" s="36">
        <f>'B) D RI'!S112</f>
        <v>73</v>
      </c>
      <c r="M111" s="36">
        <f t="shared" si="8"/>
        <v>55.736965721178464</v>
      </c>
      <c r="N111" s="498">
        <f>'J) Plafonnement effort'!G110+'J) Plafonnement effort'!H110-'K) Plafonnement aide'!I110</f>
        <v>18.766208519815287</v>
      </c>
      <c r="O111" s="191">
        <f t="shared" si="9"/>
        <v>74.503174240993758</v>
      </c>
      <c r="P111" s="51">
        <f t="shared" si="10"/>
        <v>0</v>
      </c>
      <c r="Q111" s="67">
        <f t="shared" si="14"/>
        <v>0</v>
      </c>
      <c r="R111" s="222">
        <f t="shared" si="11"/>
        <v>74.503174240993758</v>
      </c>
      <c r="S111" s="191">
        <f t="shared" si="12"/>
        <v>1.5031742409937578</v>
      </c>
      <c r="T111" s="221"/>
    </row>
    <row r="112" spans="1:20" x14ac:dyDescent="0.25">
      <c r="A112" s="53">
        <f>'A) Base RI'!A113</f>
        <v>5581</v>
      </c>
      <c r="B112" s="65" t="str">
        <f>'A) Base RI'!B113</f>
        <v>Belmont-sur-Lausanne</v>
      </c>
      <c r="C112" s="495">
        <v>2891488.6213682019</v>
      </c>
      <c r="D112" s="495">
        <v>2109567.3743124576</v>
      </c>
      <c r="E112" s="230"/>
      <c r="F112" s="229"/>
      <c r="G112" s="229"/>
      <c r="H112" s="231">
        <f t="shared" si="15"/>
        <v>5001055.99568066</v>
      </c>
      <c r="I112" s="507">
        <v>173034.35179856114</v>
      </c>
      <c r="J112" s="127">
        <f>'B) D RI'!U113</f>
        <v>187042.91923261393</v>
      </c>
      <c r="K112" s="84">
        <f t="shared" si="13"/>
        <v>28.902099171051688</v>
      </c>
      <c r="L112" s="36">
        <f>'B) D RI'!S113</f>
        <v>69.5</v>
      </c>
      <c r="M112" s="36">
        <f t="shared" si="8"/>
        <v>40.597900828948312</v>
      </c>
      <c r="N112" s="498">
        <f>'J) Plafonnement effort'!G111+'J) Plafonnement effort'!H111-'K) Plafonnement aide'!I111</f>
        <v>26.136277804895226</v>
      </c>
      <c r="O112" s="191">
        <f t="shared" si="9"/>
        <v>66.734178633843541</v>
      </c>
      <c r="P112" s="51">
        <f t="shared" si="10"/>
        <v>0</v>
      </c>
      <c r="Q112" s="67">
        <f t="shared" si="14"/>
        <v>0</v>
      </c>
      <c r="R112" s="222">
        <f t="shared" si="11"/>
        <v>66.734178633843541</v>
      </c>
      <c r="S112" s="191">
        <f t="shared" si="12"/>
        <v>-2.7658213661564588</v>
      </c>
      <c r="T112" s="221"/>
    </row>
    <row r="113" spans="1:20" x14ac:dyDescent="0.25">
      <c r="A113" s="53">
        <f>'A) Base RI'!A114</f>
        <v>5582</v>
      </c>
      <c r="B113" s="65" t="str">
        <f>'A) Base RI'!B114</f>
        <v>Cheseaux-sur-Lausanne</v>
      </c>
      <c r="C113" s="495">
        <v>2937664.7813486606</v>
      </c>
      <c r="D113" s="495">
        <v>1135517.6085362667</v>
      </c>
      <c r="E113" s="230"/>
      <c r="F113" s="229"/>
      <c r="G113" s="229"/>
      <c r="H113" s="231">
        <f t="shared" si="15"/>
        <v>4073182.3898849273</v>
      </c>
      <c r="I113" s="507">
        <v>165346.44872483221</v>
      </c>
      <c r="J113" s="127">
        <f>'B) D RI'!U114</f>
        <v>203617.184295302</v>
      </c>
      <c r="K113" s="84">
        <f t="shared" si="13"/>
        <v>24.63422965112165</v>
      </c>
      <c r="L113" s="36">
        <f>'B) D RI'!S114</f>
        <v>74.5</v>
      </c>
      <c r="M113" s="36">
        <f t="shared" si="8"/>
        <v>49.86577034887835</v>
      </c>
      <c r="N113" s="498">
        <f>'J) Plafonnement effort'!G112+'J) Plafonnement effort'!H112-'K) Plafonnement aide'!I112</f>
        <v>28.012977306428564</v>
      </c>
      <c r="O113" s="191">
        <f t="shared" si="9"/>
        <v>77.87874765530691</v>
      </c>
      <c r="P113" s="51">
        <f t="shared" si="10"/>
        <v>0</v>
      </c>
      <c r="Q113" s="67">
        <f t="shared" si="14"/>
        <v>0</v>
      </c>
      <c r="R113" s="222">
        <f t="shared" si="11"/>
        <v>77.87874765530691</v>
      </c>
      <c r="S113" s="191">
        <f t="shared" si="12"/>
        <v>3.3787476553069098</v>
      </c>
      <c r="T113" s="221"/>
    </row>
    <row r="114" spans="1:20" x14ac:dyDescent="0.25">
      <c r="A114" s="53">
        <f>'A) Base RI'!A115</f>
        <v>5583</v>
      </c>
      <c r="B114" s="65" t="str">
        <f>'A) Base RI'!B115</f>
        <v>Crissier</v>
      </c>
      <c r="C114" s="495">
        <v>5806289.2735130358</v>
      </c>
      <c r="D114" s="495">
        <v>2612603.8974811104</v>
      </c>
      <c r="E114" s="230"/>
      <c r="F114" s="229"/>
      <c r="G114" s="229"/>
      <c r="H114" s="231">
        <f t="shared" si="15"/>
        <v>8418893.1709941458</v>
      </c>
      <c r="I114" s="507">
        <v>323925.7196923077</v>
      </c>
      <c r="J114" s="127">
        <f>'B) D RI'!U115</f>
        <v>311741.22092307697</v>
      </c>
      <c r="K114" s="84">
        <f t="shared" si="13"/>
        <v>25.990196700006191</v>
      </c>
      <c r="L114" s="36">
        <f>'B) D RI'!S115</f>
        <v>65</v>
      </c>
      <c r="M114" s="36">
        <f t="shared" si="8"/>
        <v>39.009803299993806</v>
      </c>
      <c r="N114" s="498">
        <f>'J) Plafonnement effort'!G113+'J) Plafonnement effort'!H113-'K) Plafonnement aide'!I113</f>
        <v>17.138263963647258</v>
      </c>
      <c r="O114" s="191">
        <f t="shared" si="9"/>
        <v>56.148067263641067</v>
      </c>
      <c r="P114" s="51">
        <f t="shared" si="10"/>
        <v>0</v>
      </c>
      <c r="Q114" s="67">
        <f t="shared" si="14"/>
        <v>0</v>
      </c>
      <c r="R114" s="222">
        <f t="shared" si="11"/>
        <v>56.148067263641067</v>
      </c>
      <c r="S114" s="191">
        <f t="shared" si="12"/>
        <v>-8.8519327363589326</v>
      </c>
      <c r="T114" s="221"/>
    </row>
    <row r="115" spans="1:20" x14ac:dyDescent="0.25">
      <c r="A115" s="53">
        <f>'A) Base RI'!A116</f>
        <v>5584</v>
      </c>
      <c r="B115" s="65" t="str">
        <f>'A) Base RI'!B116</f>
        <v>Epalinges</v>
      </c>
      <c r="C115" s="495">
        <v>8222136.0238080407</v>
      </c>
      <c r="D115" s="495">
        <v>4116838.9484601794</v>
      </c>
      <c r="E115" s="230"/>
      <c r="F115" s="229"/>
      <c r="G115" s="229"/>
      <c r="H115" s="231">
        <f t="shared" si="15"/>
        <v>12338974.97226822</v>
      </c>
      <c r="I115" s="507">
        <v>455923.60696969699</v>
      </c>
      <c r="J115" s="127">
        <f>'B) D RI'!U116</f>
        <v>455692.51</v>
      </c>
      <c r="K115" s="84">
        <f t="shared" si="13"/>
        <v>27.063689582295158</v>
      </c>
      <c r="L115" s="36">
        <f>'B) D RI'!S116</f>
        <v>66</v>
      </c>
      <c r="M115" s="36">
        <f t="shared" ref="M115:M169" si="16">L115-K115</f>
        <v>38.936310417704846</v>
      </c>
      <c r="N115" s="498">
        <f>'J) Plafonnement effort'!G114+'J) Plafonnement effort'!H114-'K) Plafonnement aide'!I114</f>
        <v>22.192127944157285</v>
      </c>
      <c r="O115" s="191">
        <f t="shared" ref="O115:O169" si="17">M115+N115</f>
        <v>61.128438361862131</v>
      </c>
      <c r="P115" s="51">
        <f t="shared" ref="P115:P169" si="18">IF(O115&gt;$P$5,$P$5-O115,0)</f>
        <v>0</v>
      </c>
      <c r="Q115" s="67">
        <f t="shared" si="14"/>
        <v>0</v>
      </c>
      <c r="R115" s="222">
        <f t="shared" ref="R115:R169" si="19">O115+P115</f>
        <v>61.128438361862131</v>
      </c>
      <c r="S115" s="191">
        <f t="shared" ref="S115:S169" si="20">R115-L115</f>
        <v>-4.8715616381378695</v>
      </c>
      <c r="T115" s="221"/>
    </row>
    <row r="116" spans="1:20" x14ac:dyDescent="0.25">
      <c r="A116" s="53">
        <f>'A) Base RI'!A117</f>
        <v>5585</v>
      </c>
      <c r="B116" s="65" t="str">
        <f>'A) Base RI'!B117</f>
        <v>Jouxtens-Mézery</v>
      </c>
      <c r="C116" s="495">
        <v>4059250.9042094583</v>
      </c>
      <c r="D116" s="495">
        <v>1986884.4454449699</v>
      </c>
      <c r="E116" s="230"/>
      <c r="F116" s="229"/>
      <c r="G116" s="229"/>
      <c r="H116" s="231">
        <f t="shared" si="15"/>
        <v>6046135.3496544287</v>
      </c>
      <c r="I116" s="507">
        <v>159177.88018867921</v>
      </c>
      <c r="J116" s="127">
        <f>'B) D RI'!U117</f>
        <v>201546.16339622639</v>
      </c>
      <c r="K116" s="84">
        <f t="shared" si="13"/>
        <v>37.983514684877882</v>
      </c>
      <c r="L116" s="36">
        <f>'B) D RI'!S117</f>
        <v>53</v>
      </c>
      <c r="M116" s="36">
        <f t="shared" si="16"/>
        <v>15.016485315122118</v>
      </c>
      <c r="N116" s="498">
        <f>'J) Plafonnement effort'!G115+'J) Plafonnement effort'!H115-'K) Plafonnement aide'!I115</f>
        <v>40.892668453284124</v>
      </c>
      <c r="O116" s="191">
        <f t="shared" si="17"/>
        <v>55.909153768406242</v>
      </c>
      <c r="P116" s="51">
        <f t="shared" si="18"/>
        <v>0</v>
      </c>
      <c r="Q116" s="67">
        <f t="shared" si="14"/>
        <v>0</v>
      </c>
      <c r="R116" s="222">
        <f t="shared" si="19"/>
        <v>55.909153768406242</v>
      </c>
      <c r="S116" s="191">
        <f t="shared" si="20"/>
        <v>2.9091537684062416</v>
      </c>
      <c r="T116" s="221"/>
    </row>
    <row r="117" spans="1:20" x14ac:dyDescent="0.25">
      <c r="A117" s="53">
        <f>'A) Base RI'!A118</f>
        <v>5586</v>
      </c>
      <c r="B117" s="65" t="str">
        <f>'A) Base RI'!B118</f>
        <v>Lausanne</v>
      </c>
      <c r="C117" s="495">
        <v>101995126.64721054</v>
      </c>
      <c r="D117" s="495">
        <v>-25271510.063607156</v>
      </c>
      <c r="E117" s="230"/>
      <c r="F117" s="229"/>
      <c r="G117" s="229"/>
      <c r="H117" s="231">
        <f t="shared" si="15"/>
        <v>76723616.583603382</v>
      </c>
      <c r="I117" s="507">
        <v>5897479.10464135</v>
      </c>
      <c r="J117" s="127">
        <f>'B) D RI'!U118</f>
        <v>6075429.3645991571</v>
      </c>
      <c r="K117" s="84">
        <f t="shared" ref="K117:K170" si="21">H117/I117</f>
        <v>13.009561411285281</v>
      </c>
      <c r="L117" s="36">
        <f>'B) D RI'!S118</f>
        <v>79</v>
      </c>
      <c r="M117" s="36">
        <f t="shared" si="16"/>
        <v>65.990438588714724</v>
      </c>
      <c r="N117" s="498">
        <f>'J) Plafonnement effort'!G116+'J) Plafonnement effort'!H116-'K) Plafonnement aide'!I116</f>
        <v>6.2205880541688598</v>
      </c>
      <c r="O117" s="191">
        <f t="shared" si="17"/>
        <v>72.211026642883581</v>
      </c>
      <c r="P117" s="51">
        <f t="shared" si="18"/>
        <v>0</v>
      </c>
      <c r="Q117" s="67">
        <f t="shared" si="14"/>
        <v>0</v>
      </c>
      <c r="R117" s="222">
        <f t="shared" si="19"/>
        <v>72.211026642883581</v>
      </c>
      <c r="S117" s="191">
        <f t="shared" si="20"/>
        <v>-6.7889733571164186</v>
      </c>
      <c r="T117" s="221"/>
    </row>
    <row r="118" spans="1:20" x14ac:dyDescent="0.25">
      <c r="A118" s="53">
        <f>'A) Base RI'!A119</f>
        <v>5587</v>
      </c>
      <c r="B118" s="65" t="str">
        <f>'A) Base RI'!B119</f>
        <v>Le Mont-sur-Lausanne</v>
      </c>
      <c r="C118" s="495">
        <v>7095474.9417261006</v>
      </c>
      <c r="D118" s="495">
        <v>3903907.5154062593</v>
      </c>
      <c r="E118" s="230"/>
      <c r="F118" s="229"/>
      <c r="G118" s="229"/>
      <c r="H118" s="231">
        <f t="shared" si="15"/>
        <v>10999382.45713236</v>
      </c>
      <c r="I118" s="507">
        <v>380449.00348888891</v>
      </c>
      <c r="J118" s="127">
        <f>'B) D RI'!U119</f>
        <v>413343.80273333337</v>
      </c>
      <c r="K118" s="84">
        <f t="shared" si="21"/>
        <v>28.911581726494386</v>
      </c>
      <c r="L118" s="36">
        <f>'B) D RI'!S119</f>
        <v>75</v>
      </c>
      <c r="M118" s="36">
        <f t="shared" si="16"/>
        <v>46.08841827350561</v>
      </c>
      <c r="N118" s="498">
        <f>'J) Plafonnement effort'!G117+'J) Plafonnement effort'!H117-'K) Plafonnement aide'!I117</f>
        <v>22.381856699527102</v>
      </c>
      <c r="O118" s="191">
        <f t="shared" si="17"/>
        <v>68.470274973032716</v>
      </c>
      <c r="P118" s="51">
        <f t="shared" si="18"/>
        <v>0</v>
      </c>
      <c r="Q118" s="67">
        <f t="shared" ref="Q118:Q171" si="22">P118*J118</f>
        <v>0</v>
      </c>
      <c r="R118" s="222">
        <f t="shared" si="19"/>
        <v>68.470274973032716</v>
      </c>
      <c r="S118" s="191">
        <f t="shared" si="20"/>
        <v>-6.5297250269672844</v>
      </c>
      <c r="T118" s="221"/>
    </row>
    <row r="119" spans="1:20" x14ac:dyDescent="0.25">
      <c r="A119" s="53">
        <f>'A) Base RI'!A120</f>
        <v>5588</v>
      </c>
      <c r="B119" s="65" t="str">
        <f>'A) Base RI'!B120</f>
        <v>Paudex</v>
      </c>
      <c r="C119" s="495">
        <v>3744040.3754528537</v>
      </c>
      <c r="D119" s="495">
        <v>1960213.6060597191</v>
      </c>
      <c r="E119" s="230"/>
      <c r="F119" s="229"/>
      <c r="G119" s="229"/>
      <c r="H119" s="231">
        <f t="shared" si="15"/>
        <v>5704253.9815125726</v>
      </c>
      <c r="I119" s="507">
        <v>152789.79231126595</v>
      </c>
      <c r="J119" s="127">
        <f>'B) D RI'!U120</f>
        <v>160000.57716608592</v>
      </c>
      <c r="K119" s="84">
        <f t="shared" si="21"/>
        <v>37.333999184263369</v>
      </c>
      <c r="L119" s="36">
        <f>'B) D RI'!S120</f>
        <v>61.5</v>
      </c>
      <c r="M119" s="36">
        <f t="shared" si="16"/>
        <v>24.166000815736631</v>
      </c>
      <c r="N119" s="498">
        <f>'J) Plafonnement effort'!G118+'J) Plafonnement effort'!H118-'K) Plafonnement aide'!I118</f>
        <v>39.65912406441894</v>
      </c>
      <c r="O119" s="191">
        <f t="shared" si="17"/>
        <v>63.82512488015557</v>
      </c>
      <c r="P119" s="51">
        <f t="shared" si="18"/>
        <v>0</v>
      </c>
      <c r="Q119" s="67">
        <f t="shared" si="22"/>
        <v>0</v>
      </c>
      <c r="R119" s="222">
        <f t="shared" si="19"/>
        <v>63.82512488015557</v>
      </c>
      <c r="S119" s="191">
        <f t="shared" si="20"/>
        <v>2.3251248801555704</v>
      </c>
      <c r="T119" s="221"/>
    </row>
    <row r="120" spans="1:20" x14ac:dyDescent="0.25">
      <c r="A120" s="53">
        <f>'A) Base RI'!A121</f>
        <v>5589</v>
      </c>
      <c r="B120" s="65" t="str">
        <f>'A) Base RI'!B121</f>
        <v>Prilly</v>
      </c>
      <c r="C120" s="495">
        <v>8387220.6035101367</v>
      </c>
      <c r="D120" s="495">
        <v>944028.84666566085</v>
      </c>
      <c r="E120" s="230"/>
      <c r="F120" s="229"/>
      <c r="G120" s="229"/>
      <c r="H120" s="231">
        <f t="shared" si="15"/>
        <v>9331249.4501757976</v>
      </c>
      <c r="I120" s="507">
        <v>462414.97306122456</v>
      </c>
      <c r="J120" s="127">
        <f>'B) D RI'!U121</f>
        <v>437574.2323809524</v>
      </c>
      <c r="K120" s="84">
        <f t="shared" si="21"/>
        <v>20.179384305837182</v>
      </c>
      <c r="L120" s="36">
        <f>'B) D RI'!S121</f>
        <v>73.5</v>
      </c>
      <c r="M120" s="36">
        <f t="shared" si="16"/>
        <v>53.320615694162818</v>
      </c>
      <c r="N120" s="498">
        <f>'J) Plafonnement effort'!G119+'J) Plafonnement effort'!H119-'K) Plafonnement aide'!I119</f>
        <v>13.617032507041237</v>
      </c>
      <c r="O120" s="191">
        <f t="shared" si="17"/>
        <v>66.937648201204055</v>
      </c>
      <c r="P120" s="51">
        <f t="shared" si="18"/>
        <v>0</v>
      </c>
      <c r="Q120" s="67">
        <f t="shared" si="22"/>
        <v>0</v>
      </c>
      <c r="R120" s="222">
        <f t="shared" si="19"/>
        <v>66.937648201204055</v>
      </c>
      <c r="S120" s="191">
        <f t="shared" si="20"/>
        <v>-6.5623517987959445</v>
      </c>
      <c r="T120" s="221"/>
    </row>
    <row r="121" spans="1:20" x14ac:dyDescent="0.25">
      <c r="A121" s="53">
        <f>'A) Base RI'!A122</f>
        <v>5590</v>
      </c>
      <c r="B121" s="65" t="str">
        <f>'A) Base RI'!B122</f>
        <v>Pully</v>
      </c>
      <c r="C121" s="495">
        <v>32757066.553534891</v>
      </c>
      <c r="D121" s="495">
        <v>9857603.6342754625</v>
      </c>
      <c r="E121" s="230"/>
      <c r="F121" s="229"/>
      <c r="G121" s="229"/>
      <c r="H121" s="231">
        <f t="shared" si="15"/>
        <v>42614670.187810354</v>
      </c>
      <c r="I121" s="507">
        <v>1366683.426371882</v>
      </c>
      <c r="J121" s="127">
        <f>'B) D RI'!U122</f>
        <v>1422298.2200936768</v>
      </c>
      <c r="K121" s="84">
        <f t="shared" si="21"/>
        <v>31.181083611249317</v>
      </c>
      <c r="L121" s="36">
        <f>'B) D RI'!S122</f>
        <v>61</v>
      </c>
      <c r="M121" s="36">
        <f t="shared" si="16"/>
        <v>29.818916388750683</v>
      </c>
      <c r="N121" s="498">
        <f>'J) Plafonnement effort'!G120+'J) Plafonnement effort'!H120-'K) Plafonnement aide'!I120</f>
        <v>29.067149317798414</v>
      </c>
      <c r="O121" s="191">
        <f t="shared" si="17"/>
        <v>58.886065706549097</v>
      </c>
      <c r="P121" s="51">
        <f t="shared" si="18"/>
        <v>0</v>
      </c>
      <c r="Q121" s="67">
        <f t="shared" si="22"/>
        <v>0</v>
      </c>
      <c r="R121" s="222">
        <f t="shared" si="19"/>
        <v>58.886065706549097</v>
      </c>
      <c r="S121" s="191">
        <f t="shared" si="20"/>
        <v>-2.1139342934509031</v>
      </c>
      <c r="T121" s="221"/>
    </row>
    <row r="122" spans="1:20" x14ac:dyDescent="0.25">
      <c r="A122" s="53">
        <f>'A) Base RI'!A123</f>
        <v>5591</v>
      </c>
      <c r="B122" s="65" t="str">
        <f>'A) Base RI'!B123</f>
        <v>Renens</v>
      </c>
      <c r="C122" s="495">
        <v>9029347.8430259377</v>
      </c>
      <c r="D122" s="495">
        <v>-13480892.806205964</v>
      </c>
      <c r="E122" s="230">
        <v>1443621</v>
      </c>
      <c r="F122" s="229"/>
      <c r="G122" s="229"/>
      <c r="H122" s="231">
        <f t="shared" si="15"/>
        <v>-3007923.963180026</v>
      </c>
      <c r="I122" s="507">
        <v>546895.28569608741</v>
      </c>
      <c r="J122" s="127">
        <f>'B) D RI'!U123</f>
        <v>529647.11015468603</v>
      </c>
      <c r="K122" s="84">
        <f t="shared" si="21"/>
        <v>-5.4999998022501613</v>
      </c>
      <c r="L122" s="36">
        <f>'B) D RI'!S123</f>
        <v>78.5</v>
      </c>
      <c r="M122" s="36">
        <f t="shared" si="16"/>
        <v>83.999999802250159</v>
      </c>
      <c r="N122" s="498">
        <f>'J) Plafonnement effort'!G121+'J) Plafonnement effort'!H121-'K) Plafonnement aide'!I121</f>
        <v>-15.464507516313109</v>
      </c>
      <c r="O122" s="191">
        <f t="shared" si="17"/>
        <v>68.535492285937053</v>
      </c>
      <c r="P122" s="51">
        <f t="shared" si="18"/>
        <v>0</v>
      </c>
      <c r="Q122" s="67">
        <f t="shared" si="22"/>
        <v>0</v>
      </c>
      <c r="R122" s="222">
        <f t="shared" si="19"/>
        <v>68.535492285937053</v>
      </c>
      <c r="S122" s="191">
        <f t="shared" si="20"/>
        <v>-9.9645077140629468</v>
      </c>
      <c r="T122" s="221"/>
    </row>
    <row r="123" spans="1:20" x14ac:dyDescent="0.25">
      <c r="A123" s="53">
        <f>'A) Base RI'!A124</f>
        <v>5592</v>
      </c>
      <c r="B123" s="65" t="str">
        <f>'A) Base RI'!B124</f>
        <v>Romanel-sur-Lausanne</v>
      </c>
      <c r="C123" s="495">
        <v>2081637.9154070055</v>
      </c>
      <c r="D123" s="495">
        <v>373454.70424453774</v>
      </c>
      <c r="E123" s="230"/>
      <c r="F123" s="229"/>
      <c r="G123" s="229"/>
      <c r="H123" s="231">
        <f t="shared" si="15"/>
        <v>2455092.619651543</v>
      </c>
      <c r="I123" s="507">
        <v>110273.83828571429</v>
      </c>
      <c r="J123" s="127">
        <f>'B) D RI'!U124</f>
        <v>116555.94314285714</v>
      </c>
      <c r="K123" s="84">
        <f t="shared" si="21"/>
        <v>22.263599941905664</v>
      </c>
      <c r="L123" s="36">
        <f>'B) D RI'!S124</f>
        <v>70</v>
      </c>
      <c r="M123" s="36">
        <f t="shared" si="16"/>
        <v>47.736400058094333</v>
      </c>
      <c r="N123" s="498">
        <f>'J) Plafonnement effort'!G122+'J) Plafonnement effort'!H122-'K) Plafonnement aide'!I122</f>
        <v>19.789101441016481</v>
      </c>
      <c r="O123" s="191">
        <f t="shared" si="17"/>
        <v>67.525501499110817</v>
      </c>
      <c r="P123" s="51">
        <f t="shared" si="18"/>
        <v>0</v>
      </c>
      <c r="Q123" s="67">
        <f t="shared" si="22"/>
        <v>0</v>
      </c>
      <c r="R123" s="222">
        <f t="shared" si="19"/>
        <v>67.525501499110817</v>
      </c>
      <c r="S123" s="191">
        <f t="shared" si="20"/>
        <v>-2.4744985008891831</v>
      </c>
      <c r="T123" s="221"/>
    </row>
    <row r="124" spans="1:20" x14ac:dyDescent="0.25">
      <c r="A124" s="53">
        <f>'A) Base RI'!A125</f>
        <v>5601</v>
      </c>
      <c r="B124" s="65" t="str">
        <f>'A) Base RI'!B125</f>
        <v>Chexbres</v>
      </c>
      <c r="C124" s="495">
        <v>1827309.851803472</v>
      </c>
      <c r="D124" s="495">
        <v>1410788.5682164389</v>
      </c>
      <c r="E124" s="230"/>
      <c r="F124" s="229"/>
      <c r="G124" s="229"/>
      <c r="H124" s="231">
        <f t="shared" si="15"/>
        <v>3238098.4200199107</v>
      </c>
      <c r="I124" s="507">
        <v>104474.96078125002</v>
      </c>
      <c r="J124" s="127">
        <f>'B) D RI'!U125</f>
        <v>99746.160000000018</v>
      </c>
      <c r="K124" s="84">
        <f t="shared" si="21"/>
        <v>30.99401421934822</v>
      </c>
      <c r="L124" s="36">
        <f>'B) D RI'!S125</f>
        <v>64</v>
      </c>
      <c r="M124" s="36">
        <f t="shared" si="16"/>
        <v>33.005985780651784</v>
      </c>
      <c r="N124" s="498">
        <f>'J) Plafonnement effort'!G123+'J) Plafonnement effort'!H123-'K) Plafonnement aide'!I123</f>
        <v>28.747010585748171</v>
      </c>
      <c r="O124" s="191">
        <f t="shared" si="17"/>
        <v>61.752996366399955</v>
      </c>
      <c r="P124" s="51">
        <f t="shared" si="18"/>
        <v>0</v>
      </c>
      <c r="Q124" s="67">
        <f t="shared" si="22"/>
        <v>0</v>
      </c>
      <c r="R124" s="222">
        <f t="shared" si="19"/>
        <v>61.752996366399955</v>
      </c>
      <c r="S124" s="191">
        <f t="shared" si="20"/>
        <v>-2.2470036336000447</v>
      </c>
      <c r="T124" s="221"/>
    </row>
    <row r="125" spans="1:20" x14ac:dyDescent="0.25">
      <c r="A125" s="53">
        <f>'A) Base RI'!A126</f>
        <v>5604</v>
      </c>
      <c r="B125" s="65" t="str">
        <f>'A) Base RI'!B126</f>
        <v>Forel (Lavaux)</v>
      </c>
      <c r="C125" s="495">
        <v>1082595.2414573138</v>
      </c>
      <c r="D125" s="495">
        <v>268549.3035738914</v>
      </c>
      <c r="E125" s="230"/>
      <c r="F125" s="229"/>
      <c r="G125" s="229"/>
      <c r="H125" s="231">
        <f t="shared" si="15"/>
        <v>1351144.5450312053</v>
      </c>
      <c r="I125" s="507">
        <v>65514.699852941172</v>
      </c>
      <c r="J125" s="127">
        <f>'B) D RI'!U126</f>
        <v>71240.347352941171</v>
      </c>
      <c r="K125" s="84">
        <f t="shared" si="21"/>
        <v>20.623532551688061</v>
      </c>
      <c r="L125" s="36">
        <f>'B) D RI'!S126</f>
        <v>68</v>
      </c>
      <c r="M125" s="36">
        <f t="shared" si="16"/>
        <v>47.376467448311942</v>
      </c>
      <c r="N125" s="498">
        <f>'J) Plafonnement effort'!G124+'J) Plafonnement effort'!H124-'K) Plafonnement aide'!I124</f>
        <v>20.051608343673937</v>
      </c>
      <c r="O125" s="191">
        <f t="shared" si="17"/>
        <v>67.428075791985876</v>
      </c>
      <c r="P125" s="51">
        <f t="shared" si="18"/>
        <v>0</v>
      </c>
      <c r="Q125" s="67">
        <f t="shared" si="22"/>
        <v>0</v>
      </c>
      <c r="R125" s="222">
        <f t="shared" si="19"/>
        <v>67.428075791985876</v>
      </c>
      <c r="S125" s="191">
        <f t="shared" si="20"/>
        <v>-0.57192420801412425</v>
      </c>
      <c r="T125" s="221"/>
    </row>
    <row r="126" spans="1:20" x14ac:dyDescent="0.25">
      <c r="A126" s="53">
        <f>'A) Base RI'!A127</f>
        <v>5606</v>
      </c>
      <c r="B126" s="65" t="str">
        <f>'A) Base RI'!B127</f>
        <v>Lutry</v>
      </c>
      <c r="C126" s="495">
        <v>17859495.329076208</v>
      </c>
      <c r="D126" s="495">
        <v>7437624.5359860919</v>
      </c>
      <c r="E126" s="230"/>
      <c r="F126" s="229"/>
      <c r="G126" s="229"/>
      <c r="H126" s="231">
        <f t="shared" si="15"/>
        <v>25297119.8650623</v>
      </c>
      <c r="I126" s="507">
        <v>742470.65823979594</v>
      </c>
      <c r="J126" s="127">
        <f>'B) D RI'!U127</f>
        <v>770648.37755469768</v>
      </c>
      <c r="K126" s="84">
        <f t="shared" si="21"/>
        <v>34.071541527358356</v>
      </c>
      <c r="L126" s="36">
        <f>'B) D RI'!S127</f>
        <v>55.5</v>
      </c>
      <c r="M126" s="36">
        <f t="shared" si="16"/>
        <v>21.428458472641644</v>
      </c>
      <c r="N126" s="498">
        <f>'J) Plafonnement effort'!G125+'J) Plafonnement effort'!H125-'K) Plafonnement aide'!I125</f>
        <v>30.822733596772419</v>
      </c>
      <c r="O126" s="191">
        <f t="shared" si="17"/>
        <v>52.25119206941406</v>
      </c>
      <c r="P126" s="51">
        <f t="shared" si="18"/>
        <v>0</v>
      </c>
      <c r="Q126" s="67">
        <f t="shared" si="22"/>
        <v>0</v>
      </c>
      <c r="R126" s="222">
        <f t="shared" si="19"/>
        <v>52.25119206941406</v>
      </c>
      <c r="S126" s="191">
        <f t="shared" si="20"/>
        <v>-3.2488079305859401</v>
      </c>
      <c r="T126" s="221"/>
    </row>
    <row r="127" spans="1:20" x14ac:dyDescent="0.25">
      <c r="A127" s="53">
        <f>'A) Base RI'!A128</f>
        <v>5607</v>
      </c>
      <c r="B127" s="65" t="str">
        <f>'A) Base RI'!B128</f>
        <v>Puidoux</v>
      </c>
      <c r="C127" s="495">
        <v>1707409.0740650967</v>
      </c>
      <c r="D127" s="495">
        <v>684271.85281808302</v>
      </c>
      <c r="E127" s="230"/>
      <c r="F127" s="229"/>
      <c r="G127" s="229"/>
      <c r="H127" s="231">
        <f t="shared" si="15"/>
        <v>2391680.9268831797</v>
      </c>
      <c r="I127" s="507">
        <v>100862.46201406649</v>
      </c>
      <c r="J127" s="127">
        <f>'B) D RI'!U128</f>
        <v>97147.534937888209</v>
      </c>
      <c r="K127" s="84">
        <f t="shared" si="21"/>
        <v>23.712299691332447</v>
      </c>
      <c r="L127" s="36">
        <f>'B) D RI'!S128</f>
        <v>70</v>
      </c>
      <c r="M127" s="36">
        <f t="shared" si="16"/>
        <v>46.287700308667553</v>
      </c>
      <c r="N127" s="498">
        <f>'J) Plafonnement effort'!G126+'J) Plafonnement effort'!H126-'K) Plafonnement aide'!I126</f>
        <v>15.779248495491366</v>
      </c>
      <c r="O127" s="191">
        <f t="shared" si="17"/>
        <v>62.066948804158919</v>
      </c>
      <c r="P127" s="51">
        <f t="shared" si="18"/>
        <v>0</v>
      </c>
      <c r="Q127" s="67">
        <f t="shared" si="22"/>
        <v>0</v>
      </c>
      <c r="R127" s="222">
        <f t="shared" si="19"/>
        <v>62.066948804158919</v>
      </c>
      <c r="S127" s="191">
        <f t="shared" si="20"/>
        <v>-7.933051195841081</v>
      </c>
      <c r="T127" s="221"/>
    </row>
    <row r="128" spans="1:20" x14ac:dyDescent="0.25">
      <c r="A128" s="53">
        <f>'A) Base RI'!A129</f>
        <v>5609</v>
      </c>
      <c r="B128" s="65" t="str">
        <f>'A) Base RI'!B129</f>
        <v>Rivaz</v>
      </c>
      <c r="C128" s="495">
        <v>283018.75693363725</v>
      </c>
      <c r="D128" s="495">
        <v>262470.46188551653</v>
      </c>
      <c r="E128" s="230"/>
      <c r="F128" s="229"/>
      <c r="G128" s="229"/>
      <c r="H128" s="231">
        <f t="shared" si="15"/>
        <v>545489.21881915373</v>
      </c>
      <c r="I128" s="507">
        <v>16122.244409448818</v>
      </c>
      <c r="J128" s="127">
        <f>'B) D RI'!U129</f>
        <v>16888.91165354331</v>
      </c>
      <c r="K128" s="84">
        <f t="shared" si="21"/>
        <v>33.834570731321811</v>
      </c>
      <c r="L128" s="36">
        <f>'B) D RI'!S129</f>
        <v>63.5</v>
      </c>
      <c r="M128" s="36">
        <f t="shared" si="16"/>
        <v>29.665429268678189</v>
      </c>
      <c r="N128" s="498">
        <f>'J) Plafonnement effort'!G127+'J) Plafonnement effort'!H127-'K) Plafonnement aide'!I127</f>
        <v>38.124399474381079</v>
      </c>
      <c r="O128" s="191">
        <f t="shared" si="17"/>
        <v>67.789828743059275</v>
      </c>
      <c r="P128" s="51">
        <f t="shared" si="18"/>
        <v>0</v>
      </c>
      <c r="Q128" s="67">
        <f t="shared" si="22"/>
        <v>0</v>
      </c>
      <c r="R128" s="222">
        <f t="shared" si="19"/>
        <v>67.789828743059275</v>
      </c>
      <c r="S128" s="191">
        <f t="shared" si="20"/>
        <v>4.2898287430592745</v>
      </c>
      <c r="T128" s="221"/>
    </row>
    <row r="129" spans="1:20" x14ac:dyDescent="0.25">
      <c r="A129" s="53">
        <f>'A) Base RI'!A130</f>
        <v>5610</v>
      </c>
      <c r="B129" s="65" t="str">
        <f>'A) Base RI'!B130</f>
        <v>St-Saphorin (Lavaux)</v>
      </c>
      <c r="C129" s="495">
        <v>327368.44086933276</v>
      </c>
      <c r="D129" s="495">
        <v>349913.97263785952</v>
      </c>
      <c r="E129" s="230"/>
      <c r="F129" s="229"/>
      <c r="G129" s="229"/>
      <c r="H129" s="231">
        <f t="shared" si="15"/>
        <v>677282.41350719228</v>
      </c>
      <c r="I129" s="507">
        <v>20974.487096774192</v>
      </c>
      <c r="J129" s="127">
        <f>'B) D RI'!U130</f>
        <v>20007.714179104478</v>
      </c>
      <c r="K129" s="84">
        <f t="shared" si="21"/>
        <v>32.290773566108136</v>
      </c>
      <c r="L129" s="36">
        <f>'B) D RI'!S130</f>
        <v>67</v>
      </c>
      <c r="M129" s="36">
        <f t="shared" si="16"/>
        <v>34.709226433891864</v>
      </c>
      <c r="N129" s="498">
        <f>'J) Plafonnement effort'!G128+'J) Plafonnement effort'!H128-'K) Plafonnement aide'!I128</f>
        <v>30.951294814664781</v>
      </c>
      <c r="O129" s="191">
        <f t="shared" si="17"/>
        <v>65.660521248556648</v>
      </c>
      <c r="P129" s="51">
        <f t="shared" si="18"/>
        <v>0</v>
      </c>
      <c r="Q129" s="67">
        <f t="shared" si="22"/>
        <v>0</v>
      </c>
      <c r="R129" s="222">
        <f t="shared" si="19"/>
        <v>65.660521248556648</v>
      </c>
      <c r="S129" s="191">
        <f t="shared" si="20"/>
        <v>-1.3394787514433517</v>
      </c>
      <c r="T129" s="221"/>
    </row>
    <row r="130" spans="1:20" x14ac:dyDescent="0.25">
      <c r="A130" s="53">
        <f>'A) Base RI'!A131</f>
        <v>5611</v>
      </c>
      <c r="B130" s="65" t="str">
        <f>'A) Base RI'!B131</f>
        <v>Savigny</v>
      </c>
      <c r="C130" s="495">
        <v>2309941.9094805443</v>
      </c>
      <c r="D130" s="495">
        <v>1220425.9047019051</v>
      </c>
      <c r="E130" s="230"/>
      <c r="F130" s="229"/>
      <c r="G130" s="229"/>
      <c r="H130" s="231">
        <f t="shared" si="15"/>
        <v>3530367.8141824491</v>
      </c>
      <c r="I130" s="507">
        <v>130312.40671641791</v>
      </c>
      <c r="J130" s="127">
        <f>'B) D RI'!U131</f>
        <v>115537.42516908211</v>
      </c>
      <c r="K130" s="84">
        <f t="shared" si="21"/>
        <v>27.091570965035842</v>
      </c>
      <c r="L130" s="36">
        <f>'B) D RI'!S131</f>
        <v>69</v>
      </c>
      <c r="M130" s="36">
        <f t="shared" si="16"/>
        <v>41.908429034964158</v>
      </c>
      <c r="N130" s="498">
        <f>'J) Plafonnement effort'!G129+'J) Plafonnement effort'!H129-'K) Plafonnement aide'!I129</f>
        <v>19.215261690504686</v>
      </c>
      <c r="O130" s="191">
        <f t="shared" si="17"/>
        <v>61.123690725468848</v>
      </c>
      <c r="P130" s="51">
        <f t="shared" si="18"/>
        <v>0</v>
      </c>
      <c r="Q130" s="67">
        <f t="shared" si="22"/>
        <v>0</v>
      </c>
      <c r="R130" s="222">
        <f t="shared" si="19"/>
        <v>61.123690725468848</v>
      </c>
      <c r="S130" s="191">
        <f t="shared" si="20"/>
        <v>-7.8763092745311525</v>
      </c>
      <c r="T130" s="221"/>
    </row>
    <row r="131" spans="1:20" x14ac:dyDescent="0.25">
      <c r="A131" s="53">
        <f>'A) Base RI'!A132</f>
        <v>5613</v>
      </c>
      <c r="B131" s="65" t="str">
        <f>'A) Base RI'!B132</f>
        <v>Bourg-en-Lavaux</v>
      </c>
      <c r="C131" s="495">
        <v>5690248.8023414351</v>
      </c>
      <c r="D131" s="495">
        <v>3491240.9674861813</v>
      </c>
      <c r="E131" s="230"/>
      <c r="F131" s="229"/>
      <c r="G131" s="229"/>
      <c r="H131" s="231">
        <f t="shared" si="15"/>
        <v>9181489.7698276155</v>
      </c>
      <c r="I131" s="507">
        <v>295658.88923497271</v>
      </c>
      <c r="J131" s="127">
        <f>'B) D RI'!U132</f>
        <v>301872.13311475411</v>
      </c>
      <c r="K131" s="84">
        <f t="shared" si="21"/>
        <v>31.054333571992469</v>
      </c>
      <c r="L131" s="36">
        <f>'B) D RI'!S132</f>
        <v>61</v>
      </c>
      <c r="M131" s="36">
        <f t="shared" si="16"/>
        <v>29.945666428007531</v>
      </c>
      <c r="N131" s="498">
        <f>'J) Plafonnement effort'!G130+'J) Plafonnement effort'!H130-'K) Plafonnement aide'!I130</f>
        <v>29.125004343036206</v>
      </c>
      <c r="O131" s="191">
        <f t="shared" si="17"/>
        <v>59.070670771043737</v>
      </c>
      <c r="P131" s="51">
        <f t="shared" si="18"/>
        <v>0</v>
      </c>
      <c r="Q131" s="67">
        <f t="shared" si="22"/>
        <v>0</v>
      </c>
      <c r="R131" s="222">
        <f t="shared" si="19"/>
        <v>59.070670771043737</v>
      </c>
      <c r="S131" s="191">
        <f t="shared" si="20"/>
        <v>-1.9293292289562629</v>
      </c>
      <c r="T131" s="221"/>
    </row>
    <row r="132" spans="1:20" x14ac:dyDescent="0.25">
      <c r="A132" s="53">
        <f>'A) Base RI'!A133</f>
        <v>5621</v>
      </c>
      <c r="B132" s="65" t="str">
        <f>'A) Base RI'!B133</f>
        <v>Aclens</v>
      </c>
      <c r="C132" s="495">
        <v>690192.18365876004</v>
      </c>
      <c r="D132" s="495">
        <v>540548.46621344483</v>
      </c>
      <c r="E132" s="230"/>
      <c r="F132" s="229"/>
      <c r="G132" s="229"/>
      <c r="H132" s="231">
        <f t="shared" si="15"/>
        <v>1230740.6498722048</v>
      </c>
      <c r="I132" s="507">
        <v>33759.339076246331</v>
      </c>
      <c r="J132" s="127">
        <f>'B) D RI'!U133</f>
        <v>26820.105850439882</v>
      </c>
      <c r="K132" s="84">
        <f t="shared" si="21"/>
        <v>36.456301679738026</v>
      </c>
      <c r="L132" s="36">
        <f>'B) D RI'!S133</f>
        <v>62</v>
      </c>
      <c r="M132" s="36">
        <f t="shared" si="16"/>
        <v>25.543698320261974</v>
      </c>
      <c r="N132" s="498">
        <f>'J) Plafonnement effort'!G131+'J) Plafonnement effort'!H131-'K) Plafonnement aide'!I131</f>
        <v>33.351469191918639</v>
      </c>
      <c r="O132" s="191">
        <f t="shared" si="17"/>
        <v>58.895167512180613</v>
      </c>
      <c r="P132" s="51">
        <f t="shared" si="18"/>
        <v>0</v>
      </c>
      <c r="Q132" s="67">
        <f t="shared" si="22"/>
        <v>0</v>
      </c>
      <c r="R132" s="222">
        <f t="shared" si="19"/>
        <v>58.895167512180613</v>
      </c>
      <c r="S132" s="191">
        <f t="shared" si="20"/>
        <v>-3.1048324878193867</v>
      </c>
      <c r="T132" s="221"/>
    </row>
    <row r="133" spans="1:20" x14ac:dyDescent="0.25">
      <c r="A133" s="53">
        <f>'A) Base RI'!A134</f>
        <v>5622</v>
      </c>
      <c r="B133" s="65" t="str">
        <f>'A) Base RI'!B134</f>
        <v>Bremblens</v>
      </c>
      <c r="C133" s="495">
        <v>442104.57335215982</v>
      </c>
      <c r="D133" s="495">
        <v>469346.24886532489</v>
      </c>
      <c r="E133" s="230"/>
      <c r="F133" s="229"/>
      <c r="G133" s="229"/>
      <c r="H133" s="231">
        <f t="shared" si="15"/>
        <v>911450.8222174847</v>
      </c>
      <c r="I133" s="507">
        <v>28126.288636363635</v>
      </c>
      <c r="J133" s="127">
        <f>'B) D RI'!U134</f>
        <v>32681.756515151512</v>
      </c>
      <c r="K133" s="84">
        <f t="shared" si="21"/>
        <v>32.405655577291391</v>
      </c>
      <c r="L133" s="36">
        <f>'B) D RI'!S134</f>
        <v>66</v>
      </c>
      <c r="M133" s="36">
        <f t="shared" si="16"/>
        <v>33.594344422708609</v>
      </c>
      <c r="N133" s="498">
        <f>'J) Plafonnement effort'!G132+'J) Plafonnement effort'!H132-'K) Plafonnement aide'!I132</f>
        <v>37.681220632554528</v>
      </c>
      <c r="O133" s="191">
        <f t="shared" si="17"/>
        <v>71.275565055263144</v>
      </c>
      <c r="P133" s="51">
        <f t="shared" si="18"/>
        <v>0</v>
      </c>
      <c r="Q133" s="67">
        <f t="shared" si="22"/>
        <v>0</v>
      </c>
      <c r="R133" s="222">
        <f t="shared" si="19"/>
        <v>71.275565055263144</v>
      </c>
      <c r="S133" s="191">
        <f t="shared" si="20"/>
        <v>5.2755650552631437</v>
      </c>
      <c r="T133" s="221"/>
    </row>
    <row r="134" spans="1:20" x14ac:dyDescent="0.25">
      <c r="A134" s="53">
        <f>'A) Base RI'!A135</f>
        <v>5623</v>
      </c>
      <c r="B134" s="65" t="str">
        <f>'A) Base RI'!B135</f>
        <v>Buchillon</v>
      </c>
      <c r="C134" s="495">
        <v>2541677.2188037364</v>
      </c>
      <c r="D134" s="495">
        <v>1051383.1598714821</v>
      </c>
      <c r="E134" s="230"/>
      <c r="F134" s="229"/>
      <c r="G134" s="229"/>
      <c r="H134" s="231">
        <f t="shared" si="15"/>
        <v>3593060.3786752187</v>
      </c>
      <c r="I134" s="507">
        <v>86045.549622641513</v>
      </c>
      <c r="J134" s="127">
        <f>'B) D RI'!U135</f>
        <v>82402.410188679249</v>
      </c>
      <c r="K134" s="84">
        <f t="shared" si="21"/>
        <v>41.757655037742502</v>
      </c>
      <c r="L134" s="36">
        <f>'B) D RI'!S135</f>
        <v>53</v>
      </c>
      <c r="M134" s="36">
        <f t="shared" si="16"/>
        <v>11.242344962257498</v>
      </c>
      <c r="N134" s="498">
        <f>'J) Plafonnement effort'!G133+'J) Plafonnement effort'!H133-'K) Plafonnement aide'!I133</f>
        <v>49.974115990481522</v>
      </c>
      <c r="O134" s="191">
        <f t="shared" si="17"/>
        <v>61.21646095273902</v>
      </c>
      <c r="P134" s="51">
        <f t="shared" si="18"/>
        <v>0</v>
      </c>
      <c r="Q134" s="67">
        <f t="shared" si="22"/>
        <v>0</v>
      </c>
      <c r="R134" s="222">
        <f t="shared" si="19"/>
        <v>61.21646095273902</v>
      </c>
      <c r="S134" s="191">
        <f t="shared" si="20"/>
        <v>8.2164609527390198</v>
      </c>
      <c r="T134" s="221"/>
    </row>
    <row r="135" spans="1:20" x14ac:dyDescent="0.25">
      <c r="A135" s="53">
        <f>'A) Base RI'!A136</f>
        <v>5624</v>
      </c>
      <c r="B135" s="65" t="str">
        <f>'A) Base RI'!B136</f>
        <v>Bussigny</v>
      </c>
      <c r="C135" s="495">
        <v>7105729.4667053223</v>
      </c>
      <c r="D135" s="495">
        <v>1374608.5205105059</v>
      </c>
      <c r="E135" s="230"/>
      <c r="F135" s="229"/>
      <c r="G135" s="229"/>
      <c r="H135" s="231">
        <f t="shared" ref="H135:H198" si="23">SUM(C135:G135)</f>
        <v>8480337.9872158282</v>
      </c>
      <c r="I135" s="507">
        <v>312174.83774193545</v>
      </c>
      <c r="J135" s="127">
        <f>'B) D RI'!U136</f>
        <v>334130.13322580641</v>
      </c>
      <c r="K135" s="84">
        <f t="shared" si="21"/>
        <v>27.165347625570774</v>
      </c>
      <c r="L135" s="36">
        <f>'B) D RI'!S136</f>
        <v>62</v>
      </c>
      <c r="M135" s="36">
        <f t="shared" si="16"/>
        <v>34.834652374429226</v>
      </c>
      <c r="N135" s="498">
        <f>'J) Plafonnement effort'!G134+'J) Plafonnement effort'!H134-'K) Plafonnement aide'!I134</f>
        <v>21.23233940303362</v>
      </c>
      <c r="O135" s="191">
        <f t="shared" si="17"/>
        <v>56.066991777462846</v>
      </c>
      <c r="P135" s="51">
        <f t="shared" si="18"/>
        <v>0</v>
      </c>
      <c r="Q135" s="67">
        <f t="shared" si="22"/>
        <v>0</v>
      </c>
      <c r="R135" s="222">
        <f t="shared" si="19"/>
        <v>56.066991777462846</v>
      </c>
      <c r="S135" s="191">
        <f t="shared" si="20"/>
        <v>-5.9330082225371541</v>
      </c>
      <c r="T135" s="221"/>
    </row>
    <row r="136" spans="1:20" x14ac:dyDescent="0.25">
      <c r="A136" s="53">
        <f>'A) Base RI'!A137</f>
        <v>5625</v>
      </c>
      <c r="B136" s="65" t="str">
        <f>'A) Base RI'!B137</f>
        <v>Bussy-Chardonney</v>
      </c>
      <c r="C136" s="495">
        <v>284011.04731888772</v>
      </c>
      <c r="D136" s="495">
        <v>255117.57309324128</v>
      </c>
      <c r="E136" s="230"/>
      <c r="F136" s="229"/>
      <c r="G136" s="229"/>
      <c r="H136" s="231">
        <f t="shared" si="23"/>
        <v>539128.62041212898</v>
      </c>
      <c r="I136" s="507">
        <v>16172.617200854704</v>
      </c>
      <c r="J136" s="127">
        <f>'B) D RI'!U137</f>
        <v>13745.926324786325</v>
      </c>
      <c r="K136" s="84">
        <f t="shared" si="21"/>
        <v>33.335892002911976</v>
      </c>
      <c r="L136" s="36">
        <f>'B) D RI'!S137</f>
        <v>78</v>
      </c>
      <c r="M136" s="36">
        <f t="shared" si="16"/>
        <v>44.664107997088024</v>
      </c>
      <c r="N136" s="498">
        <f>'J) Plafonnement effort'!G135+'J) Plafonnement effort'!H135-'K) Plafonnement aide'!I135</f>
        <v>26.94573217151801</v>
      </c>
      <c r="O136" s="191">
        <f t="shared" si="17"/>
        <v>71.609840168606041</v>
      </c>
      <c r="P136" s="51">
        <f t="shared" si="18"/>
        <v>0</v>
      </c>
      <c r="Q136" s="67">
        <f t="shared" si="22"/>
        <v>0</v>
      </c>
      <c r="R136" s="222">
        <f t="shared" si="19"/>
        <v>71.609840168606041</v>
      </c>
      <c r="S136" s="191">
        <f t="shared" si="20"/>
        <v>-6.3901598313939587</v>
      </c>
      <c r="T136" s="221"/>
    </row>
    <row r="137" spans="1:20" x14ac:dyDescent="0.25">
      <c r="A137" s="53">
        <f>'A) Base RI'!A138</f>
        <v>5627</v>
      </c>
      <c r="B137" s="65" t="str">
        <f>'A) Base RI'!B138</f>
        <v>Chavannes-près-Renens</v>
      </c>
      <c r="C137" s="495">
        <v>2655060.6375971902</v>
      </c>
      <c r="D137" s="495">
        <v>-4138661.3675534148</v>
      </c>
      <c r="E137" s="230">
        <v>589785</v>
      </c>
      <c r="F137" s="229"/>
      <c r="G137" s="229"/>
      <c r="H137" s="231">
        <f t="shared" si="23"/>
        <v>-893815.72995622456</v>
      </c>
      <c r="I137" s="507">
        <v>162511.92244725736</v>
      </c>
      <c r="J137" s="127">
        <f>'B) D RI'!U138</f>
        <v>171770.86046413501</v>
      </c>
      <c r="K137" s="84">
        <f t="shared" si="21"/>
        <v>-5.5000009629835569</v>
      </c>
      <c r="L137" s="36">
        <f>'B) D RI'!S138</f>
        <v>79</v>
      </c>
      <c r="M137" s="36">
        <f t="shared" si="16"/>
        <v>84.500000962983563</v>
      </c>
      <c r="N137" s="498">
        <f>'J) Plafonnement effort'!G136+'J) Plafonnement effort'!H136-'K) Plafonnement aide'!I136</f>
        <v>-12.925521006843319</v>
      </c>
      <c r="O137" s="191">
        <f t="shared" si="17"/>
        <v>71.574479956140237</v>
      </c>
      <c r="P137" s="51">
        <f t="shared" si="18"/>
        <v>0</v>
      </c>
      <c r="Q137" s="67">
        <f t="shared" si="22"/>
        <v>0</v>
      </c>
      <c r="R137" s="222">
        <f t="shared" si="19"/>
        <v>71.574479956140237</v>
      </c>
      <c r="S137" s="191">
        <f t="shared" si="20"/>
        <v>-7.4255200438597626</v>
      </c>
      <c r="T137" s="221"/>
    </row>
    <row r="138" spans="1:20" x14ac:dyDescent="0.25">
      <c r="A138" s="53">
        <f>'A) Base RI'!A139</f>
        <v>5628</v>
      </c>
      <c r="B138" s="65" t="str">
        <f>'A) Base RI'!B139</f>
        <v>Chigny</v>
      </c>
      <c r="C138" s="495">
        <v>290073.49975070159</v>
      </c>
      <c r="D138" s="495">
        <v>314024.24564645765</v>
      </c>
      <c r="E138" s="230"/>
      <c r="F138" s="229"/>
      <c r="G138" s="229"/>
      <c r="H138" s="231">
        <f t="shared" si="23"/>
        <v>604097.74539715925</v>
      </c>
      <c r="I138" s="507">
        <v>19064.278346774194</v>
      </c>
      <c r="J138" s="127">
        <f>'B) D RI'!U139</f>
        <v>19361.666733870967</v>
      </c>
      <c r="K138" s="84">
        <f t="shared" si="21"/>
        <v>31.687417399640346</v>
      </c>
      <c r="L138" s="36">
        <f>'B) D RI'!S139</f>
        <v>62</v>
      </c>
      <c r="M138" s="36">
        <f t="shared" si="16"/>
        <v>30.312582600359654</v>
      </c>
      <c r="N138" s="498">
        <f>'J) Plafonnement effort'!G137+'J) Plafonnement effort'!H137-'K) Plafonnement aide'!I137</f>
        <v>33.745910252458934</v>
      </c>
      <c r="O138" s="191">
        <f t="shared" si="17"/>
        <v>64.058492852818588</v>
      </c>
      <c r="P138" s="51">
        <f t="shared" si="18"/>
        <v>0</v>
      </c>
      <c r="Q138" s="67">
        <f t="shared" si="22"/>
        <v>0</v>
      </c>
      <c r="R138" s="222">
        <f t="shared" si="19"/>
        <v>64.058492852818588</v>
      </c>
      <c r="S138" s="191">
        <f t="shared" si="20"/>
        <v>2.0584928528185884</v>
      </c>
      <c r="T138" s="221"/>
    </row>
    <row r="139" spans="1:20" x14ac:dyDescent="0.25">
      <c r="A139" s="53">
        <f>'A) Base RI'!A140</f>
        <v>5629</v>
      </c>
      <c r="B139" s="65" t="str">
        <f>'A) Base RI'!B140</f>
        <v>Clarmont</v>
      </c>
      <c r="C139" s="495">
        <v>119571.14981852791</v>
      </c>
      <c r="D139" s="495">
        <v>124354.03690664089</v>
      </c>
      <c r="E139" s="230"/>
      <c r="F139" s="229"/>
      <c r="G139" s="229"/>
      <c r="H139" s="231">
        <f t="shared" si="23"/>
        <v>243925.18672516878</v>
      </c>
      <c r="I139" s="507">
        <v>7581.8990666666659</v>
      </c>
      <c r="J139" s="127">
        <f>'B) D RI'!U140</f>
        <v>7536.1791999999996</v>
      </c>
      <c r="K139" s="84">
        <f t="shared" si="21"/>
        <v>32.172043518433298</v>
      </c>
      <c r="L139" s="36">
        <f>'B) D RI'!S140</f>
        <v>75</v>
      </c>
      <c r="M139" s="36">
        <f t="shared" si="16"/>
        <v>42.827956481566702</v>
      </c>
      <c r="N139" s="498">
        <f>'J) Plafonnement effort'!G138+'J) Plafonnement effort'!H138-'K) Plafonnement aide'!I138</f>
        <v>27.965360356271155</v>
      </c>
      <c r="O139" s="191">
        <f t="shared" si="17"/>
        <v>70.793316837837864</v>
      </c>
      <c r="P139" s="51">
        <f t="shared" si="18"/>
        <v>0</v>
      </c>
      <c r="Q139" s="67">
        <f t="shared" si="22"/>
        <v>0</v>
      </c>
      <c r="R139" s="222">
        <f t="shared" si="19"/>
        <v>70.793316837837864</v>
      </c>
      <c r="S139" s="191">
        <f t="shared" si="20"/>
        <v>-4.2066831621621361</v>
      </c>
      <c r="T139" s="221"/>
    </row>
    <row r="140" spans="1:20" x14ac:dyDescent="0.25">
      <c r="A140" s="53">
        <f>'A) Base RI'!A141</f>
        <v>5631</v>
      </c>
      <c r="B140" s="65" t="str">
        <f>'A) Base RI'!B141</f>
        <v>Denens</v>
      </c>
      <c r="C140" s="495">
        <v>765798.73948828201</v>
      </c>
      <c r="D140" s="495">
        <v>562032.73572803056</v>
      </c>
      <c r="E140" s="230"/>
      <c r="F140" s="229"/>
      <c r="G140" s="229"/>
      <c r="H140" s="231">
        <f t="shared" si="23"/>
        <v>1327831.4752163126</v>
      </c>
      <c r="I140" s="507">
        <v>34218.35955882354</v>
      </c>
      <c r="J140" s="127">
        <f>'B) D RI'!U141</f>
        <v>42221.936176470583</v>
      </c>
      <c r="K140" s="84">
        <f t="shared" si="21"/>
        <v>38.804650261906495</v>
      </c>
      <c r="L140" s="36">
        <f>'B) D RI'!S141</f>
        <v>68</v>
      </c>
      <c r="M140" s="36">
        <f t="shared" si="16"/>
        <v>29.195349738093505</v>
      </c>
      <c r="N140" s="498">
        <f>'J) Plafonnement effort'!G139+'J) Plafonnement effort'!H139-'K) Plafonnement aide'!I139</f>
        <v>38.606036134830873</v>
      </c>
      <c r="O140" s="191">
        <f t="shared" si="17"/>
        <v>67.801385872924385</v>
      </c>
      <c r="P140" s="51">
        <f t="shared" si="18"/>
        <v>0</v>
      </c>
      <c r="Q140" s="67">
        <f t="shared" si="22"/>
        <v>0</v>
      </c>
      <c r="R140" s="222">
        <f t="shared" si="19"/>
        <v>67.801385872924385</v>
      </c>
      <c r="S140" s="191">
        <f t="shared" si="20"/>
        <v>-0.19861412707561499</v>
      </c>
      <c r="T140" s="221"/>
    </row>
    <row r="141" spans="1:20" x14ac:dyDescent="0.25">
      <c r="A141" s="53">
        <f>'A) Base RI'!A142</f>
        <v>5632</v>
      </c>
      <c r="B141" s="65" t="str">
        <f>'A) Base RI'!B142</f>
        <v>Denges</v>
      </c>
      <c r="C141" s="495">
        <v>1159419.6351718535</v>
      </c>
      <c r="D141" s="495">
        <v>959158.52131281223</v>
      </c>
      <c r="E141" s="230"/>
      <c r="F141" s="229"/>
      <c r="G141" s="229"/>
      <c r="H141" s="231">
        <f t="shared" si="23"/>
        <v>2118578.1564846658</v>
      </c>
      <c r="I141" s="507">
        <v>70599.599193548376</v>
      </c>
      <c r="J141" s="127">
        <f>'B) D RI'!U142</f>
        <v>67310.066612903232</v>
      </c>
      <c r="K141" s="84">
        <f t="shared" si="21"/>
        <v>30.008359547149787</v>
      </c>
      <c r="L141" s="36">
        <f>'B) D RI'!S142</f>
        <v>62</v>
      </c>
      <c r="M141" s="36">
        <f t="shared" si="16"/>
        <v>31.991640452850213</v>
      </c>
      <c r="N141" s="498">
        <f>'J) Plafonnement effort'!G140+'J) Plafonnement effort'!H140-'K) Plafonnement aide'!I140</f>
        <v>30.370818930099038</v>
      </c>
      <c r="O141" s="191">
        <f t="shared" si="17"/>
        <v>62.362459382949254</v>
      </c>
      <c r="P141" s="51">
        <f t="shared" si="18"/>
        <v>0</v>
      </c>
      <c r="Q141" s="67">
        <f t="shared" si="22"/>
        <v>0</v>
      </c>
      <c r="R141" s="222">
        <f t="shared" si="19"/>
        <v>62.362459382949254</v>
      </c>
      <c r="S141" s="191">
        <f t="shared" si="20"/>
        <v>0.36245938294925395</v>
      </c>
      <c r="T141" s="221"/>
    </row>
    <row r="142" spans="1:20" x14ac:dyDescent="0.25">
      <c r="A142" s="53">
        <f>'A) Base RI'!A143</f>
        <v>5633</v>
      </c>
      <c r="B142" s="65" t="str">
        <f>'A) Base RI'!B143</f>
        <v>Echandens</v>
      </c>
      <c r="C142" s="495">
        <v>2104707.8209752971</v>
      </c>
      <c r="D142" s="495">
        <v>1610478.765654163</v>
      </c>
      <c r="E142" s="230"/>
      <c r="F142" s="229"/>
      <c r="G142" s="229"/>
      <c r="H142" s="231">
        <f t="shared" si="23"/>
        <v>3715186.5866294601</v>
      </c>
      <c r="I142" s="507">
        <v>123013.45645161292</v>
      </c>
      <c r="J142" s="127">
        <f>'B) D RI'!U143</f>
        <v>139554.44612903227</v>
      </c>
      <c r="K142" s="84">
        <f t="shared" si="21"/>
        <v>30.201464894946845</v>
      </c>
      <c r="L142" s="36">
        <f>'B) D RI'!S143</f>
        <v>62</v>
      </c>
      <c r="M142" s="36">
        <f t="shared" si="16"/>
        <v>31.798535105053155</v>
      </c>
      <c r="N142" s="498">
        <f>'J) Plafonnement effort'!G141+'J) Plafonnement effort'!H141-'K) Plafonnement aide'!I141</f>
        <v>28.843300684164458</v>
      </c>
      <c r="O142" s="191">
        <f t="shared" si="17"/>
        <v>60.641835789217609</v>
      </c>
      <c r="P142" s="51">
        <f t="shared" si="18"/>
        <v>0</v>
      </c>
      <c r="Q142" s="67">
        <f t="shared" si="22"/>
        <v>0</v>
      </c>
      <c r="R142" s="222">
        <f t="shared" si="19"/>
        <v>60.641835789217609</v>
      </c>
      <c r="S142" s="191">
        <f t="shared" si="20"/>
        <v>-1.358164210782391</v>
      </c>
      <c r="T142" s="221"/>
    </row>
    <row r="143" spans="1:20" x14ac:dyDescent="0.25">
      <c r="A143" s="53">
        <f>'A) Base RI'!A144</f>
        <v>5634</v>
      </c>
      <c r="B143" s="65" t="str">
        <f>'A) Base RI'!B144</f>
        <v>Echichens</v>
      </c>
      <c r="C143" s="495">
        <v>2000682.2011922919</v>
      </c>
      <c r="D143" s="495">
        <v>1601394.4440285051</v>
      </c>
      <c r="E143" s="230"/>
      <c r="F143" s="229"/>
      <c r="G143" s="229"/>
      <c r="H143" s="231">
        <f t="shared" si="23"/>
        <v>3602076.645220797</v>
      </c>
      <c r="I143" s="507">
        <v>121660.2017647059</v>
      </c>
      <c r="J143" s="127">
        <f>'B) D RI'!U144</f>
        <v>125699.21529411766</v>
      </c>
      <c r="K143" s="84">
        <f t="shared" si="21"/>
        <v>29.607682651943239</v>
      </c>
      <c r="L143" s="36">
        <f>'B) D RI'!S144</f>
        <v>68</v>
      </c>
      <c r="M143" s="36">
        <f t="shared" si="16"/>
        <v>38.392317348056764</v>
      </c>
      <c r="N143" s="498">
        <f>'J) Plafonnement effort'!G142+'J) Plafonnement effort'!H142-'K) Plafonnement aide'!I142</f>
        <v>32.004215581302319</v>
      </c>
      <c r="O143" s="191">
        <f t="shared" si="17"/>
        <v>70.396532929359083</v>
      </c>
      <c r="P143" s="51">
        <f t="shared" si="18"/>
        <v>0</v>
      </c>
      <c r="Q143" s="67">
        <f t="shared" si="22"/>
        <v>0</v>
      </c>
      <c r="R143" s="222">
        <f t="shared" si="19"/>
        <v>70.396532929359083</v>
      </c>
      <c r="S143" s="191">
        <f t="shared" si="20"/>
        <v>2.3965329293590827</v>
      </c>
      <c r="T143" s="221"/>
    </row>
    <row r="144" spans="1:20" x14ac:dyDescent="0.25">
      <c r="A144" s="53">
        <f>'A) Base RI'!A145</f>
        <v>5635</v>
      </c>
      <c r="B144" s="65" t="str">
        <f>'A) Base RI'!B145</f>
        <v>Ecublens</v>
      </c>
      <c r="C144" s="495">
        <v>7806109.618945648</v>
      </c>
      <c r="D144" s="495">
        <v>716631.07666361891</v>
      </c>
      <c r="E144" s="230"/>
      <c r="F144" s="229"/>
      <c r="G144" s="229"/>
      <c r="H144" s="231">
        <f t="shared" si="23"/>
        <v>8522740.6956092678</v>
      </c>
      <c r="I144" s="507">
        <v>470087.75038200343</v>
      </c>
      <c r="J144" s="127">
        <f>'B) D RI'!U145</f>
        <v>424543.31159592536</v>
      </c>
      <c r="K144" s="84">
        <f t="shared" si="21"/>
        <v>18.130105897640398</v>
      </c>
      <c r="L144" s="36">
        <f>'B) D RI'!S145</f>
        <v>62</v>
      </c>
      <c r="M144" s="36">
        <f t="shared" si="16"/>
        <v>43.869894102359602</v>
      </c>
      <c r="N144" s="498">
        <f>'J) Plafonnement effort'!G143+'J) Plafonnement effort'!H143-'K) Plafonnement aide'!I143</f>
        <v>9.4519406970160897</v>
      </c>
      <c r="O144" s="191">
        <f t="shared" si="17"/>
        <v>53.321834799375694</v>
      </c>
      <c r="P144" s="51">
        <f t="shared" si="18"/>
        <v>0</v>
      </c>
      <c r="Q144" s="67">
        <f t="shared" si="22"/>
        <v>0</v>
      </c>
      <c r="R144" s="222">
        <f t="shared" si="19"/>
        <v>53.321834799375694</v>
      </c>
      <c r="S144" s="191">
        <f t="shared" si="20"/>
        <v>-8.6781652006243064</v>
      </c>
      <c r="T144" s="221"/>
    </row>
    <row r="145" spans="1:20" x14ac:dyDescent="0.25">
      <c r="A145" s="53">
        <f>'A) Base RI'!A146</f>
        <v>5636</v>
      </c>
      <c r="B145" s="65" t="str">
        <f>'A) Base RI'!B146</f>
        <v>Etoy</v>
      </c>
      <c r="C145" s="495">
        <v>2739816.044347208</v>
      </c>
      <c r="D145" s="495">
        <v>2167512.0314415209</v>
      </c>
      <c r="E145" s="230"/>
      <c r="F145" s="229"/>
      <c r="G145" s="229"/>
      <c r="H145" s="231">
        <f t="shared" si="23"/>
        <v>4907328.0757887289</v>
      </c>
      <c r="I145" s="507">
        <v>158779.04229508198</v>
      </c>
      <c r="J145" s="127">
        <f>'B) D RI'!U146</f>
        <v>150854.83475409835</v>
      </c>
      <c r="K145" s="84">
        <f t="shared" si="21"/>
        <v>30.90664866631916</v>
      </c>
      <c r="L145" s="36">
        <f>'B) D RI'!S146</f>
        <v>61</v>
      </c>
      <c r="M145" s="36">
        <f t="shared" si="16"/>
        <v>30.09335133368084</v>
      </c>
      <c r="N145" s="498">
        <f>'J) Plafonnement effort'!G144+'J) Plafonnement effort'!H144-'K) Plafonnement aide'!I144</f>
        <v>45.827407164492698</v>
      </c>
      <c r="O145" s="191">
        <f t="shared" si="17"/>
        <v>75.920758498173541</v>
      </c>
      <c r="P145" s="51">
        <f t="shared" si="18"/>
        <v>0</v>
      </c>
      <c r="Q145" s="67">
        <f t="shared" si="22"/>
        <v>0</v>
      </c>
      <c r="R145" s="222">
        <f t="shared" si="19"/>
        <v>75.920758498173541</v>
      </c>
      <c r="S145" s="191">
        <f t="shared" si="20"/>
        <v>14.920758498173541</v>
      </c>
      <c r="T145" s="221"/>
    </row>
    <row r="146" spans="1:20" x14ac:dyDescent="0.25">
      <c r="A146" s="53">
        <f>'A) Base RI'!A147</f>
        <v>5637</v>
      </c>
      <c r="B146" s="65" t="str">
        <f>'A) Base RI'!B147</f>
        <v>Lavigny</v>
      </c>
      <c r="C146" s="495">
        <v>643979.28976317996</v>
      </c>
      <c r="D146" s="495">
        <v>218754.8976845619</v>
      </c>
      <c r="E146" s="230"/>
      <c r="F146" s="229"/>
      <c r="G146" s="229"/>
      <c r="H146" s="231">
        <f t="shared" si="23"/>
        <v>862734.18744774186</v>
      </c>
      <c r="I146" s="507">
        <v>31075.388277404931</v>
      </c>
      <c r="J146" s="127">
        <f>'B) D RI'!U147</f>
        <v>35788.809619686814</v>
      </c>
      <c r="K146" s="84">
        <f t="shared" si="21"/>
        <v>27.762619721634827</v>
      </c>
      <c r="L146" s="36">
        <f>'B) D RI'!S147</f>
        <v>74.5</v>
      </c>
      <c r="M146" s="36">
        <f t="shared" si="16"/>
        <v>46.737380278365173</v>
      </c>
      <c r="N146" s="498">
        <f>'J) Plafonnement effort'!G145+'J) Plafonnement effort'!H145-'K) Plafonnement aide'!I145</f>
        <v>27.285310941337539</v>
      </c>
      <c r="O146" s="191">
        <f t="shared" si="17"/>
        <v>74.022691219702708</v>
      </c>
      <c r="P146" s="51">
        <f t="shared" si="18"/>
        <v>0</v>
      </c>
      <c r="Q146" s="67">
        <f t="shared" si="22"/>
        <v>0</v>
      </c>
      <c r="R146" s="222">
        <f t="shared" si="19"/>
        <v>74.022691219702708</v>
      </c>
      <c r="S146" s="191">
        <f t="shared" si="20"/>
        <v>-0.4773087802972924</v>
      </c>
      <c r="T146" s="221"/>
    </row>
    <row r="147" spans="1:20" x14ac:dyDescent="0.25">
      <c r="A147" s="53">
        <f>'A) Base RI'!A148</f>
        <v>5638</v>
      </c>
      <c r="B147" s="65" t="str">
        <f>'A) Base RI'!B148</f>
        <v>Lonay</v>
      </c>
      <c r="C147" s="495">
        <v>3312115.0157053261</v>
      </c>
      <c r="D147" s="495">
        <v>2101681.4257531026</v>
      </c>
      <c r="E147" s="230"/>
      <c r="F147" s="229"/>
      <c r="G147" s="229"/>
      <c r="H147" s="231">
        <f t="shared" si="23"/>
        <v>5413796.4414584283</v>
      </c>
      <c r="I147" s="507">
        <v>152475.57054545457</v>
      </c>
      <c r="J147" s="127">
        <f>'B) D RI'!U148</f>
        <v>150874.30218181817</v>
      </c>
      <c r="K147" s="84">
        <f t="shared" si="21"/>
        <v>35.505992350719019</v>
      </c>
      <c r="L147" s="36">
        <f>'B) D RI'!S148</f>
        <v>55</v>
      </c>
      <c r="M147" s="36">
        <f t="shared" si="16"/>
        <v>19.494007649280981</v>
      </c>
      <c r="N147" s="498">
        <f>'J) Plafonnement effort'!G146+'J) Plafonnement effort'!H146-'K) Plafonnement aide'!I146</f>
        <v>36.572257612391574</v>
      </c>
      <c r="O147" s="191">
        <f t="shared" si="17"/>
        <v>56.066265261672555</v>
      </c>
      <c r="P147" s="51">
        <f t="shared" si="18"/>
        <v>0</v>
      </c>
      <c r="Q147" s="67">
        <f t="shared" si="22"/>
        <v>0</v>
      </c>
      <c r="R147" s="222">
        <f t="shared" si="19"/>
        <v>56.066265261672555</v>
      </c>
      <c r="S147" s="191">
        <f t="shared" si="20"/>
        <v>1.0662652616725552</v>
      </c>
      <c r="T147" s="221"/>
    </row>
    <row r="148" spans="1:20" x14ac:dyDescent="0.25">
      <c r="A148" s="53">
        <f>'A) Base RI'!A149</f>
        <v>5639</v>
      </c>
      <c r="B148" s="65" t="str">
        <f>'A) Base RI'!B149</f>
        <v>Lully</v>
      </c>
      <c r="C148" s="495">
        <v>754236.72458111413</v>
      </c>
      <c r="D148" s="495">
        <v>703809.56643391075</v>
      </c>
      <c r="E148" s="230"/>
      <c r="F148" s="229"/>
      <c r="G148" s="229"/>
      <c r="H148" s="231">
        <f t="shared" si="23"/>
        <v>1458046.2910150248</v>
      </c>
      <c r="I148" s="507">
        <v>42318.428360655736</v>
      </c>
      <c r="J148" s="127">
        <f>'B) D RI'!U149</f>
        <v>41723.705573770494</v>
      </c>
      <c r="K148" s="84">
        <f t="shared" si="21"/>
        <v>34.454169199974324</v>
      </c>
      <c r="L148" s="36">
        <f>'B) D RI'!S149</f>
        <v>61</v>
      </c>
      <c r="M148" s="36">
        <f t="shared" si="16"/>
        <v>26.545830800025676</v>
      </c>
      <c r="N148" s="498">
        <f>'J) Plafonnement effort'!G147+'J) Plafonnement effort'!H147-'K) Plafonnement aide'!I147</f>
        <v>33.14020863628933</v>
      </c>
      <c r="O148" s="191">
        <f t="shared" si="17"/>
        <v>59.686039436315006</v>
      </c>
      <c r="P148" s="51">
        <f t="shared" si="18"/>
        <v>0</v>
      </c>
      <c r="Q148" s="67">
        <f t="shared" si="22"/>
        <v>0</v>
      </c>
      <c r="R148" s="222">
        <f t="shared" si="19"/>
        <v>59.686039436315006</v>
      </c>
      <c r="S148" s="191">
        <f t="shared" si="20"/>
        <v>-1.3139605636849936</v>
      </c>
      <c r="T148" s="221"/>
    </row>
    <row r="149" spans="1:20" x14ac:dyDescent="0.25">
      <c r="A149" s="53">
        <f>'A) Base RI'!A150</f>
        <v>5640</v>
      </c>
      <c r="B149" s="65" t="str">
        <f>'A) Base RI'!B150</f>
        <v>Lussy-sur-Morges</v>
      </c>
      <c r="C149" s="495">
        <v>976906.91143329989</v>
      </c>
      <c r="D149" s="495">
        <v>707110.1006005035</v>
      </c>
      <c r="E149" s="230"/>
      <c r="F149" s="229"/>
      <c r="G149" s="229"/>
      <c r="H149" s="231">
        <f t="shared" si="23"/>
        <v>1684017.0120338034</v>
      </c>
      <c r="I149" s="507">
        <v>45310.844393939391</v>
      </c>
      <c r="J149" s="127">
        <f>'B) D RI'!U150</f>
        <v>54175.567575757566</v>
      </c>
      <c r="K149" s="84">
        <f t="shared" si="21"/>
        <v>37.165871317530581</v>
      </c>
      <c r="L149" s="36">
        <f>'B) D RI'!S150</f>
        <v>66</v>
      </c>
      <c r="M149" s="36">
        <f t="shared" si="16"/>
        <v>28.834128682469419</v>
      </c>
      <c r="N149" s="498">
        <f>'J) Plafonnement effort'!G148+'J) Plafonnement effort'!H148-'K) Plafonnement aide'!I148</f>
        <v>40.101469732493911</v>
      </c>
      <c r="O149" s="191">
        <f t="shared" si="17"/>
        <v>68.935598414963323</v>
      </c>
      <c r="P149" s="51">
        <f t="shared" si="18"/>
        <v>0</v>
      </c>
      <c r="Q149" s="67">
        <f t="shared" si="22"/>
        <v>0</v>
      </c>
      <c r="R149" s="222">
        <f t="shared" si="19"/>
        <v>68.935598414963323</v>
      </c>
      <c r="S149" s="191">
        <f t="shared" si="20"/>
        <v>2.935598414963323</v>
      </c>
      <c r="T149" s="221"/>
    </row>
    <row r="150" spans="1:20" x14ac:dyDescent="0.25">
      <c r="A150" s="53">
        <f>'A) Base RI'!A151</f>
        <v>5642</v>
      </c>
      <c r="B150" s="65" t="str">
        <f>'A) Base RI'!B151</f>
        <v>Morges</v>
      </c>
      <c r="C150" s="495">
        <v>13742899.4749368</v>
      </c>
      <c r="D150" s="495">
        <v>2928252.6545869298</v>
      </c>
      <c r="E150" s="230"/>
      <c r="F150" s="229"/>
      <c r="G150" s="229"/>
      <c r="H150" s="231">
        <f t="shared" si="23"/>
        <v>16671152.12952373</v>
      </c>
      <c r="I150" s="507">
        <v>715380.13065693423</v>
      </c>
      <c r="J150" s="127">
        <f>'B) D RI'!U151</f>
        <v>781778.61635036487</v>
      </c>
      <c r="K150" s="84">
        <f t="shared" si="21"/>
        <v>23.303907132861791</v>
      </c>
      <c r="L150" s="36">
        <f>'B) D RI'!S151</f>
        <v>68.5</v>
      </c>
      <c r="M150" s="36">
        <f t="shared" si="16"/>
        <v>45.196092867138205</v>
      </c>
      <c r="N150" s="498">
        <f>'J) Plafonnement effort'!G149+'J) Plafonnement effort'!H149-'K) Plafonnement aide'!I149</f>
        <v>22.716518963091751</v>
      </c>
      <c r="O150" s="191">
        <f t="shared" si="17"/>
        <v>67.912611830229963</v>
      </c>
      <c r="P150" s="51">
        <f t="shared" si="18"/>
        <v>0</v>
      </c>
      <c r="Q150" s="67">
        <f t="shared" si="22"/>
        <v>0</v>
      </c>
      <c r="R150" s="222">
        <f t="shared" si="19"/>
        <v>67.912611830229963</v>
      </c>
      <c r="S150" s="191">
        <f t="shared" si="20"/>
        <v>-0.58738816977003694</v>
      </c>
      <c r="T150" s="221"/>
    </row>
    <row r="151" spans="1:20" x14ac:dyDescent="0.25">
      <c r="A151" s="53">
        <f>'A) Base RI'!A152</f>
        <v>5643</v>
      </c>
      <c r="B151" s="65" t="str">
        <f>'A) Base RI'!B152</f>
        <v>Préverenges</v>
      </c>
      <c r="C151" s="495">
        <v>4048947.6127609476</v>
      </c>
      <c r="D151" s="495">
        <v>2680702.4556433796</v>
      </c>
      <c r="E151" s="230"/>
      <c r="F151" s="229"/>
      <c r="G151" s="229"/>
      <c r="H151" s="231">
        <f t="shared" si="23"/>
        <v>6729650.0684043271</v>
      </c>
      <c r="I151" s="507">
        <v>249793.53640625</v>
      </c>
      <c r="J151" s="127">
        <f>'B) D RI'!U152</f>
        <v>262779.91921874997</v>
      </c>
      <c r="K151" s="84">
        <f t="shared" si="21"/>
        <v>26.940849492036524</v>
      </c>
      <c r="L151" s="36">
        <f>'B) D RI'!S152</f>
        <v>64</v>
      </c>
      <c r="M151" s="36">
        <f t="shared" si="16"/>
        <v>37.05915050796348</v>
      </c>
      <c r="N151" s="498">
        <f>'J) Plafonnement effort'!G150+'J) Plafonnement effort'!H150-'K) Plafonnement aide'!I150</f>
        <v>27.935333551095347</v>
      </c>
      <c r="O151" s="191">
        <f t="shared" si="17"/>
        <v>64.994484059058834</v>
      </c>
      <c r="P151" s="51">
        <f t="shared" si="18"/>
        <v>0</v>
      </c>
      <c r="Q151" s="67">
        <f t="shared" si="22"/>
        <v>0</v>
      </c>
      <c r="R151" s="222">
        <f t="shared" si="19"/>
        <v>64.994484059058834</v>
      </c>
      <c r="S151" s="191">
        <f t="shared" si="20"/>
        <v>0.99448405905883419</v>
      </c>
      <c r="T151" s="221"/>
    </row>
    <row r="152" spans="1:20" x14ac:dyDescent="0.25">
      <c r="A152" s="53">
        <f>'A) Base RI'!A153</f>
        <v>5644</v>
      </c>
      <c r="B152" s="65" t="str">
        <f>'A) Base RI'!B153</f>
        <v>Reverolle</v>
      </c>
      <c r="C152" s="495">
        <v>275091.37627569406</v>
      </c>
      <c r="D152" s="495">
        <v>250215.75200034486</v>
      </c>
      <c r="E152" s="230"/>
      <c r="F152" s="229"/>
      <c r="G152" s="229"/>
      <c r="H152" s="231">
        <f t="shared" si="23"/>
        <v>525307.12827603891</v>
      </c>
      <c r="I152" s="507">
        <v>15594.857631578949</v>
      </c>
      <c r="J152" s="127">
        <f>'B) D RI'!U153</f>
        <v>14128.860263157892</v>
      </c>
      <c r="K152" s="84">
        <f t="shared" si="21"/>
        <v>33.684637634159188</v>
      </c>
      <c r="L152" s="36">
        <f>'B) D RI'!S153</f>
        <v>76</v>
      </c>
      <c r="M152" s="36">
        <f t="shared" si="16"/>
        <v>42.315362365840812</v>
      </c>
      <c r="N152" s="498">
        <f>'J) Plafonnement effort'!G151+'J) Plafonnement effort'!H151-'K) Plafonnement aide'!I151</f>
        <v>26.197946154186091</v>
      </c>
      <c r="O152" s="191">
        <f t="shared" si="17"/>
        <v>68.513308520026897</v>
      </c>
      <c r="P152" s="51">
        <f t="shared" si="18"/>
        <v>0</v>
      </c>
      <c r="Q152" s="67">
        <f t="shared" si="22"/>
        <v>0</v>
      </c>
      <c r="R152" s="222">
        <f t="shared" si="19"/>
        <v>68.513308520026897</v>
      </c>
      <c r="S152" s="191">
        <f t="shared" si="20"/>
        <v>-7.4866914799731035</v>
      </c>
      <c r="T152" s="221"/>
    </row>
    <row r="153" spans="1:20" x14ac:dyDescent="0.25">
      <c r="A153" s="53">
        <f>'A) Base RI'!A154</f>
        <v>5645</v>
      </c>
      <c r="B153" s="65" t="str">
        <f>'A) Base RI'!B154</f>
        <v>Romanel-sur-Morges</v>
      </c>
      <c r="C153" s="495">
        <v>403335.46330771851</v>
      </c>
      <c r="D153" s="495">
        <v>422939.7689679293</v>
      </c>
      <c r="E153" s="230"/>
      <c r="F153" s="229"/>
      <c r="G153" s="229"/>
      <c r="H153" s="231">
        <f t="shared" si="23"/>
        <v>826275.23227564781</v>
      </c>
      <c r="I153" s="507">
        <v>25378.60526785714</v>
      </c>
      <c r="J153" s="127">
        <f>'B) D RI'!U154</f>
        <v>26355.884598214288</v>
      </c>
      <c r="K153" s="84">
        <f t="shared" si="21"/>
        <v>32.557944912841734</v>
      </c>
      <c r="L153" s="36">
        <f>'B) D RI'!S154</f>
        <v>56</v>
      </c>
      <c r="M153" s="36">
        <f t="shared" si="16"/>
        <v>23.442055087158266</v>
      </c>
      <c r="N153" s="498">
        <f>'J) Plafonnement effort'!G152+'J) Plafonnement effort'!H152-'K) Plafonnement aide'!I152</f>
        <v>34.124530953455746</v>
      </c>
      <c r="O153" s="191">
        <f t="shared" si="17"/>
        <v>57.566586040614013</v>
      </c>
      <c r="P153" s="51">
        <f t="shared" si="18"/>
        <v>0</v>
      </c>
      <c r="Q153" s="67">
        <f t="shared" si="22"/>
        <v>0</v>
      </c>
      <c r="R153" s="222">
        <f t="shared" si="19"/>
        <v>57.566586040614013</v>
      </c>
      <c r="S153" s="191">
        <f t="shared" si="20"/>
        <v>1.5665860406140126</v>
      </c>
      <c r="T153" s="221"/>
    </row>
    <row r="154" spans="1:20" x14ac:dyDescent="0.25">
      <c r="A154" s="53">
        <f>'A) Base RI'!A155</f>
        <v>5646</v>
      </c>
      <c r="B154" s="65" t="str">
        <f>'A) Base RI'!B155</f>
        <v>Saint-Prex</v>
      </c>
      <c r="C154" s="495">
        <v>6033445.1637133341</v>
      </c>
      <c r="D154" s="495">
        <v>3541810.0153644951</v>
      </c>
      <c r="E154" s="230"/>
      <c r="F154" s="229"/>
      <c r="G154" s="229"/>
      <c r="H154" s="231">
        <f t="shared" si="23"/>
        <v>9575255.1790778302</v>
      </c>
      <c r="I154" s="507">
        <v>307317.64145454549</v>
      </c>
      <c r="J154" s="127">
        <f>'B) D RI'!U155</f>
        <v>529776.58672727272</v>
      </c>
      <c r="K154" s="84">
        <f t="shared" si="21"/>
        <v>31.157518760582054</v>
      </c>
      <c r="L154" s="36">
        <f>'B) D RI'!S155</f>
        <v>55</v>
      </c>
      <c r="M154" s="36">
        <f t="shared" si="16"/>
        <v>23.842481239417946</v>
      </c>
      <c r="N154" s="498">
        <f>'J) Plafonnement effort'!G153+'J) Plafonnement effort'!H153-'K) Plafonnement aide'!I153</f>
        <v>34.488105883538687</v>
      </c>
      <c r="O154" s="191">
        <f t="shared" si="17"/>
        <v>58.330587122956629</v>
      </c>
      <c r="P154" s="51">
        <f t="shared" si="18"/>
        <v>0</v>
      </c>
      <c r="Q154" s="67">
        <f t="shared" si="22"/>
        <v>0</v>
      </c>
      <c r="R154" s="222">
        <f t="shared" si="19"/>
        <v>58.330587122956629</v>
      </c>
      <c r="S154" s="191">
        <f t="shared" si="20"/>
        <v>3.3305871229566293</v>
      </c>
      <c r="T154" s="221"/>
    </row>
    <row r="155" spans="1:20" x14ac:dyDescent="0.25">
      <c r="A155" s="53">
        <f>'A) Base RI'!A156</f>
        <v>5648</v>
      </c>
      <c r="B155" s="65" t="str">
        <f>'A) Base RI'!B156</f>
        <v>Saint-Sulpice</v>
      </c>
      <c r="C155" s="495">
        <v>7247789.8350535659</v>
      </c>
      <c r="D155" s="495">
        <v>3754946.7372274264</v>
      </c>
      <c r="E155" s="230"/>
      <c r="F155" s="229"/>
      <c r="G155" s="229"/>
      <c r="H155" s="231">
        <f t="shared" si="23"/>
        <v>11002736.572280992</v>
      </c>
      <c r="I155" s="507">
        <v>307335.61263636366</v>
      </c>
      <c r="J155" s="127">
        <f>'B) D RI'!U156</f>
        <v>320539.61704545456</v>
      </c>
      <c r="K155" s="84">
        <f t="shared" si="21"/>
        <v>35.80039578849366</v>
      </c>
      <c r="L155" s="36">
        <f>'B) D RI'!S156</f>
        <v>55</v>
      </c>
      <c r="M155" s="36">
        <f t="shared" si="16"/>
        <v>19.19960421150634</v>
      </c>
      <c r="N155" s="498">
        <f>'J) Plafonnement effort'!G154+'J) Plafonnement effort'!H154-'K) Plafonnement aide'!I154</f>
        <v>35.698892083052975</v>
      </c>
      <c r="O155" s="191">
        <f t="shared" si="17"/>
        <v>54.898496294559315</v>
      </c>
      <c r="P155" s="51">
        <f t="shared" si="18"/>
        <v>0</v>
      </c>
      <c r="Q155" s="67">
        <f t="shared" si="22"/>
        <v>0</v>
      </c>
      <c r="R155" s="222">
        <f t="shared" si="19"/>
        <v>54.898496294559315</v>
      </c>
      <c r="S155" s="191">
        <f t="shared" si="20"/>
        <v>-0.10150370544068466</v>
      </c>
      <c r="T155" s="221"/>
    </row>
    <row r="156" spans="1:20" x14ac:dyDescent="0.25">
      <c r="A156" s="53">
        <f>'A) Base RI'!A157</f>
        <v>5649</v>
      </c>
      <c r="B156" s="65" t="str">
        <f>'A) Base RI'!B157</f>
        <v>Tolochenaz</v>
      </c>
      <c r="C156" s="495">
        <v>2030978.4968105298</v>
      </c>
      <c r="D156" s="495">
        <v>1578080.2984341737</v>
      </c>
      <c r="E156" s="230"/>
      <c r="F156" s="229"/>
      <c r="G156" s="229"/>
      <c r="H156" s="231">
        <f t="shared" si="23"/>
        <v>3609058.7952447035</v>
      </c>
      <c r="I156" s="507">
        <v>109360.12415384616</v>
      </c>
      <c r="J156" s="127">
        <f>'B) D RI'!U157</f>
        <v>78727.730769230766</v>
      </c>
      <c r="K156" s="84">
        <f t="shared" si="21"/>
        <v>33.001597457657731</v>
      </c>
      <c r="L156" s="36">
        <f>'B) D RI'!S157</f>
        <v>65</v>
      </c>
      <c r="M156" s="36">
        <f t="shared" si="16"/>
        <v>31.998402542342269</v>
      </c>
      <c r="N156" s="498">
        <f>'J) Plafonnement effort'!G155+'J) Plafonnement effort'!H155-'K) Plafonnement aide'!I155</f>
        <v>31.888032523297284</v>
      </c>
      <c r="O156" s="191">
        <f t="shared" si="17"/>
        <v>63.886435065639553</v>
      </c>
      <c r="P156" s="51">
        <f t="shared" si="18"/>
        <v>0</v>
      </c>
      <c r="Q156" s="67">
        <f t="shared" si="22"/>
        <v>0</v>
      </c>
      <c r="R156" s="222">
        <f t="shared" si="19"/>
        <v>63.886435065639553</v>
      </c>
      <c r="S156" s="191">
        <f t="shared" si="20"/>
        <v>-1.113564934360447</v>
      </c>
      <c r="T156" s="221"/>
    </row>
    <row r="157" spans="1:20" x14ac:dyDescent="0.25">
      <c r="A157" s="53">
        <f>'A) Base RI'!A158</f>
        <v>5650</v>
      </c>
      <c r="B157" s="65" t="str">
        <f>'A) Base RI'!B158</f>
        <v>Vaux-sur-Morges</v>
      </c>
      <c r="C157" s="495">
        <v>5455285.4852469135</v>
      </c>
      <c r="D157" s="495">
        <v>1329493.4908399549</v>
      </c>
      <c r="E157" s="230"/>
      <c r="F157" s="229"/>
      <c r="G157" s="229"/>
      <c r="H157" s="231">
        <f t="shared" si="23"/>
        <v>6784778.976086868</v>
      </c>
      <c r="I157" s="507">
        <v>185061.46846153846</v>
      </c>
      <c r="J157" s="127">
        <f>'B) D RI'!U158</f>
        <v>258152.18179487175</v>
      </c>
      <c r="K157" s="84">
        <f t="shared" si="21"/>
        <v>36.66229946455308</v>
      </c>
      <c r="L157" s="36">
        <f>'B) D RI'!S158</f>
        <v>39</v>
      </c>
      <c r="M157" s="36">
        <f t="shared" si="16"/>
        <v>2.3377005354469205</v>
      </c>
      <c r="N157" s="498">
        <f>'J) Plafonnement effort'!G156+'J) Plafonnement effort'!H156-'K) Plafonnement aide'!I156</f>
        <v>36.737676518262681</v>
      </c>
      <c r="O157" s="191">
        <f t="shared" si="17"/>
        <v>39.075377053709602</v>
      </c>
      <c r="P157" s="51">
        <f t="shared" si="18"/>
        <v>0</v>
      </c>
      <c r="Q157" s="67">
        <f t="shared" si="22"/>
        <v>0</v>
      </c>
      <c r="R157" s="222">
        <f t="shared" si="19"/>
        <v>39.075377053709602</v>
      </c>
      <c r="S157" s="191">
        <f t="shared" si="20"/>
        <v>7.5377053709601682E-2</v>
      </c>
      <c r="T157" s="221"/>
    </row>
    <row r="158" spans="1:20" x14ac:dyDescent="0.25">
      <c r="A158" s="53">
        <f>'A) Base RI'!A159</f>
        <v>5651</v>
      </c>
      <c r="B158" s="65" t="str">
        <f>'A) Base RI'!B159</f>
        <v>Villars-Sainte-Croix</v>
      </c>
      <c r="C158" s="495">
        <v>806864.81616254547</v>
      </c>
      <c r="D158" s="495">
        <v>629184.80006642034</v>
      </c>
      <c r="E158" s="230"/>
      <c r="F158" s="229"/>
      <c r="G158" s="229"/>
      <c r="H158" s="231">
        <f t="shared" si="23"/>
        <v>1436049.6162289658</v>
      </c>
      <c r="I158" s="507">
        <v>37823.297796610175</v>
      </c>
      <c r="J158" s="127">
        <f>'B) D RI'!U159</f>
        <v>39092.930338983046</v>
      </c>
      <c r="K158" s="84">
        <f t="shared" si="21"/>
        <v>37.967329658855618</v>
      </c>
      <c r="L158" s="36">
        <f>'B) D RI'!S159</f>
        <v>59</v>
      </c>
      <c r="M158" s="36">
        <f t="shared" si="16"/>
        <v>21.032670341144382</v>
      </c>
      <c r="N158" s="498">
        <f>'J) Plafonnement effort'!G157+'J) Plafonnement effort'!H157-'K) Plafonnement aide'!I157</f>
        <v>36.862878175911661</v>
      </c>
      <c r="O158" s="191">
        <f t="shared" si="17"/>
        <v>57.895548517056042</v>
      </c>
      <c r="P158" s="51">
        <f t="shared" si="18"/>
        <v>0</v>
      </c>
      <c r="Q158" s="67">
        <f t="shared" si="22"/>
        <v>0</v>
      </c>
      <c r="R158" s="222">
        <f t="shared" si="19"/>
        <v>57.895548517056042</v>
      </c>
      <c r="S158" s="191">
        <f t="shared" si="20"/>
        <v>-1.1044514829439578</v>
      </c>
      <c r="T158" s="221"/>
    </row>
    <row r="159" spans="1:20" x14ac:dyDescent="0.25">
      <c r="A159" s="53">
        <f>'A) Base RI'!A160</f>
        <v>5652</v>
      </c>
      <c r="B159" s="65" t="str">
        <f>'A) Base RI'!B160</f>
        <v>Villars-sous-Yens</v>
      </c>
      <c r="C159" s="495">
        <v>368022.65315392875</v>
      </c>
      <c r="D159" s="495">
        <v>359174.8344901962</v>
      </c>
      <c r="E159" s="230"/>
      <c r="F159" s="229"/>
      <c r="G159" s="229"/>
      <c r="H159" s="231">
        <f t="shared" si="23"/>
        <v>727197.48764412501</v>
      </c>
      <c r="I159" s="507">
        <v>23640.281403508772</v>
      </c>
      <c r="J159" s="127">
        <f>'B) D RI'!U160</f>
        <v>21921.455131578947</v>
      </c>
      <c r="K159" s="84">
        <f t="shared" si="21"/>
        <v>30.760948875007546</v>
      </c>
      <c r="L159" s="36">
        <f>'B) D RI'!S160</f>
        <v>76</v>
      </c>
      <c r="M159" s="36">
        <f t="shared" si="16"/>
        <v>45.239051124992457</v>
      </c>
      <c r="N159" s="498">
        <f>'J) Plafonnement effort'!G158+'J) Plafonnement effort'!H158-'K) Plafonnement aide'!I158</f>
        <v>22.587851165068244</v>
      </c>
      <c r="O159" s="191">
        <f t="shared" si="17"/>
        <v>67.826902290060701</v>
      </c>
      <c r="P159" s="51">
        <f t="shared" si="18"/>
        <v>0</v>
      </c>
      <c r="Q159" s="67">
        <f t="shared" si="22"/>
        <v>0</v>
      </c>
      <c r="R159" s="222">
        <f t="shared" si="19"/>
        <v>67.826902290060701</v>
      </c>
      <c r="S159" s="191">
        <f t="shared" si="20"/>
        <v>-8.1730977099392987</v>
      </c>
      <c r="T159" s="221"/>
    </row>
    <row r="160" spans="1:20" x14ac:dyDescent="0.25">
      <c r="A160" s="53">
        <f>'A) Base RI'!A161</f>
        <v>5653</v>
      </c>
      <c r="B160" s="65" t="str">
        <f>'A) Base RI'!B161</f>
        <v>Vufflens-le-Château</v>
      </c>
      <c r="C160" s="495">
        <v>1170851.3113537156</v>
      </c>
      <c r="D160" s="495">
        <v>920876.06111567025</v>
      </c>
      <c r="E160" s="230"/>
      <c r="F160" s="229"/>
      <c r="G160" s="229"/>
      <c r="H160" s="231">
        <f t="shared" si="23"/>
        <v>2091727.3724693859</v>
      </c>
      <c r="I160" s="507">
        <v>59809.956818181818</v>
      </c>
      <c r="J160" s="127">
        <f>'B) D RI'!U161</f>
        <v>61105.159227272721</v>
      </c>
      <c r="K160" s="84">
        <f t="shared" si="21"/>
        <v>34.972895546942027</v>
      </c>
      <c r="L160" s="36">
        <f>'B) D RI'!S161</f>
        <v>55</v>
      </c>
      <c r="M160" s="36">
        <f t="shared" si="16"/>
        <v>20.027104453057973</v>
      </c>
      <c r="N160" s="498">
        <f>'J) Plafonnement effort'!G159+'J) Plafonnement effort'!H159-'K) Plafonnement aide'!I159</f>
        <v>35.422277872009218</v>
      </c>
      <c r="O160" s="191">
        <f t="shared" si="17"/>
        <v>55.449382325067191</v>
      </c>
      <c r="P160" s="51">
        <f t="shared" si="18"/>
        <v>0</v>
      </c>
      <c r="Q160" s="67">
        <f t="shared" si="22"/>
        <v>0</v>
      </c>
      <c r="R160" s="222">
        <f t="shared" si="19"/>
        <v>55.449382325067191</v>
      </c>
      <c r="S160" s="191">
        <f t="shared" si="20"/>
        <v>0.44938232506719089</v>
      </c>
      <c r="T160" s="221"/>
    </row>
    <row r="161" spans="1:20" x14ac:dyDescent="0.25">
      <c r="A161" s="53">
        <f>'A) Base RI'!A162</f>
        <v>5654</v>
      </c>
      <c r="B161" s="65" t="str">
        <f>'A) Base RI'!B162</f>
        <v>Vullierens</v>
      </c>
      <c r="C161" s="495">
        <v>311092.47214375285</v>
      </c>
      <c r="D161" s="495">
        <v>196229.23183881157</v>
      </c>
      <c r="E161" s="230"/>
      <c r="F161" s="229"/>
      <c r="G161" s="229"/>
      <c r="H161" s="231">
        <f t="shared" si="23"/>
        <v>507321.70398256439</v>
      </c>
      <c r="I161" s="507">
        <v>16948.890394736845</v>
      </c>
      <c r="J161" s="127">
        <f>'B) D RI'!U162</f>
        <v>17141.735000000001</v>
      </c>
      <c r="K161" s="84">
        <f t="shared" si="21"/>
        <v>29.932443491410119</v>
      </c>
      <c r="L161" s="36">
        <f>'B) D RI'!S162</f>
        <v>76</v>
      </c>
      <c r="M161" s="36">
        <f t="shared" si="16"/>
        <v>46.067556508589881</v>
      </c>
      <c r="N161" s="498">
        <f>'J) Plafonnement effort'!G160+'J) Plafonnement effort'!H160-'K) Plafonnement aide'!I160</f>
        <v>1.1792359080385424</v>
      </c>
      <c r="O161" s="191">
        <f t="shared" si="17"/>
        <v>47.246792416628423</v>
      </c>
      <c r="P161" s="51">
        <f t="shared" si="18"/>
        <v>0</v>
      </c>
      <c r="Q161" s="67">
        <f t="shared" si="22"/>
        <v>0</v>
      </c>
      <c r="R161" s="222">
        <f t="shared" si="19"/>
        <v>47.246792416628423</v>
      </c>
      <c r="S161" s="191">
        <f t="shared" si="20"/>
        <v>-28.753207583371577</v>
      </c>
      <c r="T161" s="221"/>
    </row>
    <row r="162" spans="1:20" x14ac:dyDescent="0.25">
      <c r="A162" s="53">
        <f>'A) Base RI'!A163</f>
        <v>5655</v>
      </c>
      <c r="B162" s="65" t="str">
        <f>'A) Base RI'!B163</f>
        <v>Yens</v>
      </c>
      <c r="C162" s="495">
        <v>1394993.2755942824</v>
      </c>
      <c r="D162" s="495">
        <v>1020019.4922744336</v>
      </c>
      <c r="E162" s="230"/>
      <c r="F162" s="229"/>
      <c r="G162" s="229"/>
      <c r="H162" s="231">
        <f t="shared" si="23"/>
        <v>2415012.7678687163</v>
      </c>
      <c r="I162" s="507">
        <v>68107.282191780832</v>
      </c>
      <c r="J162" s="127">
        <f>'B) D RI'!U163</f>
        <v>83580.564109589031</v>
      </c>
      <c r="K162" s="84">
        <f t="shared" si="21"/>
        <v>35.458950792785551</v>
      </c>
      <c r="L162" s="36">
        <f>'B) D RI'!S163</f>
        <v>73</v>
      </c>
      <c r="M162" s="36">
        <f t="shared" si="16"/>
        <v>37.541049207214449</v>
      </c>
      <c r="N162" s="498">
        <f>'J) Plafonnement effort'!G161+'J) Plafonnement effort'!H161-'K) Plafonnement aide'!I161</f>
        <v>32.857910686532975</v>
      </c>
      <c r="O162" s="191">
        <f t="shared" si="17"/>
        <v>70.398959893747417</v>
      </c>
      <c r="P162" s="51">
        <f t="shared" si="18"/>
        <v>0</v>
      </c>
      <c r="Q162" s="67">
        <f t="shared" si="22"/>
        <v>0</v>
      </c>
      <c r="R162" s="222">
        <f t="shared" si="19"/>
        <v>70.398959893747417</v>
      </c>
      <c r="S162" s="191">
        <f t="shared" si="20"/>
        <v>-2.601040106252583</v>
      </c>
      <c r="T162" s="221"/>
    </row>
    <row r="163" spans="1:20" x14ac:dyDescent="0.25">
      <c r="A163" s="53">
        <f>'A) Base RI'!A164</f>
        <v>5661</v>
      </c>
      <c r="B163" s="65" t="str">
        <f>'A) Base RI'!B164</f>
        <v>Boulens</v>
      </c>
      <c r="C163" s="495">
        <v>123485.89310898649</v>
      </c>
      <c r="D163" s="495">
        <v>-68917.603440150851</v>
      </c>
      <c r="E163" s="230"/>
      <c r="F163" s="229"/>
      <c r="G163" s="229"/>
      <c r="H163" s="231">
        <f t="shared" si="23"/>
        <v>54568.289668835641</v>
      </c>
      <c r="I163" s="507">
        <v>7277.4751898734185</v>
      </c>
      <c r="J163" s="127">
        <f>'B) D RI'!U164</f>
        <v>9592.9711392405043</v>
      </c>
      <c r="K163" s="84">
        <f t="shared" si="21"/>
        <v>7.4982446858447869</v>
      </c>
      <c r="L163" s="36">
        <f>'B) D RI'!S164</f>
        <v>79</v>
      </c>
      <c r="M163" s="36">
        <f t="shared" si="16"/>
        <v>71.501755314155218</v>
      </c>
      <c r="N163" s="498">
        <f>'J) Plafonnement effort'!G162+'J) Plafonnement effort'!H162-'K) Plafonnement aide'!I162</f>
        <v>12.195391715842019</v>
      </c>
      <c r="O163" s="191">
        <f t="shared" si="17"/>
        <v>83.69714702999724</v>
      </c>
      <c r="P163" s="51">
        <f t="shared" si="18"/>
        <v>0</v>
      </c>
      <c r="Q163" s="67">
        <f t="shared" si="22"/>
        <v>0</v>
      </c>
      <c r="R163" s="222">
        <f t="shared" si="19"/>
        <v>83.69714702999724</v>
      </c>
      <c r="S163" s="191">
        <f t="shared" si="20"/>
        <v>4.6971470299972395</v>
      </c>
      <c r="T163" s="221"/>
    </row>
    <row r="164" spans="1:20" x14ac:dyDescent="0.25">
      <c r="A164" s="53">
        <f>'A) Base RI'!A165</f>
        <v>5662</v>
      </c>
      <c r="B164" s="65" t="str">
        <f>'A) Base RI'!B165</f>
        <v>Brenles</v>
      </c>
      <c r="C164" s="495">
        <v>75841.021938145583</v>
      </c>
      <c r="D164" s="495">
        <v>33518.540096114833</v>
      </c>
      <c r="E164" s="230"/>
      <c r="F164" s="229"/>
      <c r="G164" s="229"/>
      <c r="H164" s="231">
        <f t="shared" si="23"/>
        <v>109359.56203426042</v>
      </c>
      <c r="I164" s="507">
        <v>4680.0413390313388</v>
      </c>
      <c r="J164" s="127">
        <f>'B) D RI'!U165</f>
        <v>5126.068504273504</v>
      </c>
      <c r="K164" s="84">
        <f t="shared" si="21"/>
        <v>23.367221379479385</v>
      </c>
      <c r="L164" s="36">
        <f>'B) D RI'!S165</f>
        <v>78</v>
      </c>
      <c r="M164" s="36">
        <f t="shared" si="16"/>
        <v>54.632778620520611</v>
      </c>
      <c r="N164" s="498">
        <f>'J) Plafonnement effort'!G163+'J) Plafonnement effort'!H163-'K) Plafonnement aide'!I163</f>
        <v>27.578610465192135</v>
      </c>
      <c r="O164" s="191">
        <f t="shared" si="17"/>
        <v>82.211389085712739</v>
      </c>
      <c r="P164" s="51">
        <f t="shared" si="18"/>
        <v>0</v>
      </c>
      <c r="Q164" s="67">
        <f t="shared" si="22"/>
        <v>0</v>
      </c>
      <c r="R164" s="222">
        <f t="shared" si="19"/>
        <v>82.211389085712739</v>
      </c>
      <c r="S164" s="191">
        <f t="shared" si="20"/>
        <v>4.2113890857127387</v>
      </c>
      <c r="T164" s="221"/>
    </row>
    <row r="165" spans="1:20" x14ac:dyDescent="0.25">
      <c r="A165" s="53">
        <f>'A) Base RI'!A166</f>
        <v>5663</v>
      </c>
      <c r="B165" s="65" t="str">
        <f>'A) Base RI'!B166</f>
        <v>Bussy-sur-Moudon</v>
      </c>
      <c r="C165" s="495">
        <v>102601.60540948319</v>
      </c>
      <c r="D165" s="495">
        <v>-19793.318881918938</v>
      </c>
      <c r="E165" s="230"/>
      <c r="F165" s="229"/>
      <c r="G165" s="229"/>
      <c r="H165" s="231">
        <f t="shared" si="23"/>
        <v>82808.286527564254</v>
      </c>
      <c r="I165" s="507">
        <v>4999.1039999999994</v>
      </c>
      <c r="J165" s="127">
        <f>'B) D RI'!U166</f>
        <v>5468.4132499999996</v>
      </c>
      <c r="K165" s="84">
        <f t="shared" si="21"/>
        <v>16.564625686435861</v>
      </c>
      <c r="L165" s="36">
        <f>'B) D RI'!S166</f>
        <v>80</v>
      </c>
      <c r="M165" s="36">
        <f t="shared" si="16"/>
        <v>63.435374313564139</v>
      </c>
      <c r="N165" s="498">
        <f>'J) Plafonnement effort'!G164+'J) Plafonnement effort'!H164-'K) Plafonnement aide'!I164</f>
        <v>5.4590453530747016</v>
      </c>
      <c r="O165" s="191">
        <f t="shared" si="17"/>
        <v>68.894419666638839</v>
      </c>
      <c r="P165" s="51">
        <f t="shared" si="18"/>
        <v>0</v>
      </c>
      <c r="Q165" s="67">
        <f t="shared" si="22"/>
        <v>0</v>
      </c>
      <c r="R165" s="222">
        <f t="shared" si="19"/>
        <v>68.894419666638839</v>
      </c>
      <c r="S165" s="191">
        <f t="shared" si="20"/>
        <v>-11.105580333361161</v>
      </c>
      <c r="T165" s="221"/>
    </row>
    <row r="166" spans="1:20" x14ac:dyDescent="0.25">
      <c r="A166" s="53">
        <f>'A) Base RI'!A167</f>
        <v>5665</v>
      </c>
      <c r="B166" s="65" t="str">
        <f>'A) Base RI'!B167</f>
        <v>Chavannes-sur-Moudon</v>
      </c>
      <c r="C166" s="495">
        <v>69472.796097348735</v>
      </c>
      <c r="D166" s="495">
        <v>-34596.279368382573</v>
      </c>
      <c r="E166" s="230"/>
      <c r="F166" s="229"/>
      <c r="G166" s="229"/>
      <c r="H166" s="231">
        <f t="shared" si="23"/>
        <v>34876.516728966162</v>
      </c>
      <c r="I166" s="507">
        <v>4834.5158333333329</v>
      </c>
      <c r="J166" s="127">
        <f>'B) D RI'!U167</f>
        <v>4982.8790410958891</v>
      </c>
      <c r="K166" s="84">
        <f t="shared" si="21"/>
        <v>7.2140660887895525</v>
      </c>
      <c r="L166" s="36">
        <f>'B) D RI'!S167</f>
        <v>73</v>
      </c>
      <c r="M166" s="36">
        <f t="shared" si="16"/>
        <v>65.785933911210449</v>
      </c>
      <c r="N166" s="498">
        <f>'J) Plafonnement effort'!G165+'J) Plafonnement effort'!H165-'K) Plafonnement aide'!I165</f>
        <v>5.133309605898825</v>
      </c>
      <c r="O166" s="191">
        <f t="shared" si="17"/>
        <v>70.91924351710928</v>
      </c>
      <c r="P166" s="51">
        <f t="shared" si="18"/>
        <v>0</v>
      </c>
      <c r="Q166" s="67">
        <f t="shared" si="22"/>
        <v>0</v>
      </c>
      <c r="R166" s="222">
        <f t="shared" si="19"/>
        <v>70.91924351710928</v>
      </c>
      <c r="S166" s="191">
        <f t="shared" si="20"/>
        <v>-2.0807564828907203</v>
      </c>
      <c r="T166" s="221"/>
    </row>
    <row r="167" spans="1:20" x14ac:dyDescent="0.25">
      <c r="A167" s="53">
        <f>'A) Base RI'!A168</f>
        <v>5666</v>
      </c>
      <c r="B167" s="65" t="str">
        <f>'A) Base RI'!B168</f>
        <v>Chesalles-sur-Moudon</v>
      </c>
      <c r="C167" s="495">
        <v>53565.091930635463</v>
      </c>
      <c r="D167" s="495">
        <v>-36159.223681026546</v>
      </c>
      <c r="E167" s="230"/>
      <c r="F167" s="229"/>
      <c r="G167" s="229"/>
      <c r="H167" s="231">
        <f t="shared" si="23"/>
        <v>17405.868249608917</v>
      </c>
      <c r="I167" s="507">
        <v>3561.2682666666665</v>
      </c>
      <c r="J167" s="127">
        <f>'B) D RI'!U168</f>
        <v>3797.0531999999998</v>
      </c>
      <c r="K167" s="84">
        <f t="shared" si="21"/>
        <v>4.8875476224375376</v>
      </c>
      <c r="L167" s="36">
        <f>'B) D RI'!S168</f>
        <v>75</v>
      </c>
      <c r="M167" s="36">
        <f t="shared" si="16"/>
        <v>70.112452377562462</v>
      </c>
      <c r="N167" s="498">
        <f>'J) Plafonnement effort'!G166+'J) Plafonnement effort'!H166-'K) Plafonnement aide'!I166</f>
        <v>-0.55396108678392864</v>
      </c>
      <c r="O167" s="191">
        <f t="shared" si="17"/>
        <v>69.558491290778534</v>
      </c>
      <c r="P167" s="51">
        <f t="shared" si="18"/>
        <v>0</v>
      </c>
      <c r="Q167" s="67">
        <f t="shared" si="22"/>
        <v>0</v>
      </c>
      <c r="R167" s="222">
        <f t="shared" si="19"/>
        <v>69.558491290778534</v>
      </c>
      <c r="S167" s="191">
        <f t="shared" si="20"/>
        <v>-5.4415087092214662</v>
      </c>
      <c r="T167" s="221"/>
    </row>
    <row r="168" spans="1:20" x14ac:dyDescent="0.25">
      <c r="A168" s="53">
        <f>'A) Base RI'!A169</f>
        <v>5668</v>
      </c>
      <c r="B168" s="65" t="str">
        <f>'A) Base RI'!B169</f>
        <v>Cremin</v>
      </c>
      <c r="C168" s="495">
        <v>12975.802860199876</v>
      </c>
      <c r="D168" s="495">
        <v>-27424.547261772892</v>
      </c>
      <c r="E168" s="230">
        <v>9482</v>
      </c>
      <c r="F168" s="229"/>
      <c r="G168" s="229"/>
      <c r="H168" s="231">
        <f t="shared" si="23"/>
        <v>-4966.7444015730161</v>
      </c>
      <c r="I168" s="507">
        <v>902.96818181818162</v>
      </c>
      <c r="J168" s="127">
        <f>'B) D RI'!U169</f>
        <v>1016.3289610389612</v>
      </c>
      <c r="K168" s="84">
        <f t="shared" si="21"/>
        <v>-5.5004644699353333</v>
      </c>
      <c r="L168" s="36">
        <f>'B) D RI'!S169</f>
        <v>77</v>
      </c>
      <c r="M168" s="36">
        <f t="shared" si="16"/>
        <v>82.500464469935338</v>
      </c>
      <c r="N168" s="498">
        <f>'J) Plafonnement effort'!G167+'J) Plafonnement effort'!H167-'K) Plafonnement aide'!I167</f>
        <v>-7.8469607148675209</v>
      </c>
      <c r="O168" s="191">
        <f t="shared" si="17"/>
        <v>74.653503755067817</v>
      </c>
      <c r="P168" s="51">
        <f t="shared" si="18"/>
        <v>0</v>
      </c>
      <c r="Q168" s="67">
        <f t="shared" si="22"/>
        <v>0</v>
      </c>
      <c r="R168" s="222">
        <f t="shared" si="19"/>
        <v>74.653503755067817</v>
      </c>
      <c r="S168" s="191">
        <f t="shared" si="20"/>
        <v>-2.3464962449321831</v>
      </c>
      <c r="T168" s="221"/>
    </row>
    <row r="169" spans="1:20" x14ac:dyDescent="0.25">
      <c r="A169" s="53">
        <f>'A) Base RI'!A170</f>
        <v>5669</v>
      </c>
      <c r="B169" s="65" t="str">
        <f>'A) Base RI'!B170</f>
        <v>Curtilles</v>
      </c>
      <c r="C169" s="495">
        <v>168180.05637706353</v>
      </c>
      <c r="D169" s="495">
        <v>30023.01957333085</v>
      </c>
      <c r="E169" s="230"/>
      <c r="F169" s="229"/>
      <c r="G169" s="229"/>
      <c r="H169" s="231">
        <f t="shared" si="23"/>
        <v>198203.07595039438</v>
      </c>
      <c r="I169" s="507">
        <v>8707.7998611111107</v>
      </c>
      <c r="J169" s="127">
        <f>'B) D RI'!U170</f>
        <v>8279.174027777779</v>
      </c>
      <c r="K169" s="84">
        <f t="shared" si="21"/>
        <v>22.761556203831237</v>
      </c>
      <c r="L169" s="36">
        <f>'B) D RI'!S170</f>
        <v>72</v>
      </c>
      <c r="M169" s="36">
        <f t="shared" si="16"/>
        <v>49.238443796168767</v>
      </c>
      <c r="N169" s="498">
        <f>'J) Plafonnement effort'!G168+'J) Plafonnement effort'!H168-'K) Plafonnement aide'!I168</f>
        <v>12.852403789143851</v>
      </c>
      <c r="O169" s="191">
        <f t="shared" si="17"/>
        <v>62.090847585312616</v>
      </c>
      <c r="P169" s="51">
        <f t="shared" si="18"/>
        <v>0</v>
      </c>
      <c r="Q169" s="67">
        <f t="shared" si="22"/>
        <v>0</v>
      </c>
      <c r="R169" s="222">
        <f t="shared" si="19"/>
        <v>62.090847585312616</v>
      </c>
      <c r="S169" s="191">
        <f t="shared" si="20"/>
        <v>-9.9091524146873837</v>
      </c>
      <c r="T169" s="221"/>
    </row>
    <row r="170" spans="1:20" x14ac:dyDescent="0.25">
      <c r="A170" s="53">
        <f>'A) Base RI'!A171</f>
        <v>5671</v>
      </c>
      <c r="B170" s="65" t="str">
        <f>'A) Base RI'!B171</f>
        <v>Dompierre</v>
      </c>
      <c r="C170" s="495">
        <v>120332.78853181752</v>
      </c>
      <c r="D170" s="495">
        <v>-25111.90159564928</v>
      </c>
      <c r="E170" s="230"/>
      <c r="F170" s="229"/>
      <c r="G170" s="229"/>
      <c r="H170" s="231">
        <f t="shared" si="23"/>
        <v>95220.886936168245</v>
      </c>
      <c r="I170" s="507">
        <v>6226.6947500000006</v>
      </c>
      <c r="J170" s="127">
        <f>'B) D RI'!U171</f>
        <v>6672.7971250000001</v>
      </c>
      <c r="K170" s="84">
        <f t="shared" si="21"/>
        <v>15.292364690941087</v>
      </c>
      <c r="L170" s="36">
        <f>'B) D RI'!S171</f>
        <v>80</v>
      </c>
      <c r="M170" s="36">
        <f t="shared" ref="M170:M224" si="24">L170-K170</f>
        <v>64.707635309058915</v>
      </c>
      <c r="N170" s="498">
        <f>'J) Plafonnement effort'!G169+'J) Plafonnement effort'!H169-'K) Plafonnement aide'!I169</f>
        <v>6.8595132862722306</v>
      </c>
      <c r="O170" s="191">
        <f t="shared" ref="O170:O224" si="25">M170+N170</f>
        <v>71.567148595331147</v>
      </c>
      <c r="P170" s="51">
        <f t="shared" ref="P170:P224" si="26">IF(O170&gt;$P$5,$P$5-O170,0)</f>
        <v>0</v>
      </c>
      <c r="Q170" s="67">
        <f t="shared" si="22"/>
        <v>0</v>
      </c>
      <c r="R170" s="222">
        <f t="shared" ref="R170:R224" si="27">O170+P170</f>
        <v>71.567148595331147</v>
      </c>
      <c r="S170" s="191">
        <f t="shared" ref="S170:S224" si="28">R170-L170</f>
        <v>-8.4328514046688525</v>
      </c>
      <c r="T170" s="221"/>
    </row>
    <row r="171" spans="1:20" x14ac:dyDescent="0.25">
      <c r="A171" s="53">
        <f>'A) Base RI'!A172</f>
        <v>5672</v>
      </c>
      <c r="B171" s="65" t="str">
        <f>'A) Base RI'!B172</f>
        <v>Forel-sur-Lucens</v>
      </c>
      <c r="C171" s="495">
        <v>62149.820227540586</v>
      </c>
      <c r="D171" s="495">
        <v>11177.856325915942</v>
      </c>
      <c r="E171" s="230"/>
      <c r="F171" s="229"/>
      <c r="G171" s="229"/>
      <c r="H171" s="231">
        <f t="shared" si="23"/>
        <v>73327.67655345652</v>
      </c>
      <c r="I171" s="507">
        <v>4324.9200666666666</v>
      </c>
      <c r="J171" s="127">
        <f>'B) D RI'!U172</f>
        <v>4096.3695000000007</v>
      </c>
      <c r="K171" s="84">
        <f t="shared" ref="K171:K226" si="29">H171/I171</f>
        <v>16.954689433132611</v>
      </c>
      <c r="L171" s="36">
        <f>'B) D RI'!S172</f>
        <v>75</v>
      </c>
      <c r="M171" s="36">
        <f t="shared" si="24"/>
        <v>58.045310566867386</v>
      </c>
      <c r="N171" s="498">
        <f>'J) Plafonnement effort'!G170+'J) Plafonnement effort'!H170-'K) Plafonnement aide'!I170</f>
        <v>12.652670110528749</v>
      </c>
      <c r="O171" s="191">
        <f t="shared" si="25"/>
        <v>70.697980677396131</v>
      </c>
      <c r="P171" s="51">
        <f t="shared" si="26"/>
        <v>0</v>
      </c>
      <c r="Q171" s="67">
        <f t="shared" si="22"/>
        <v>0</v>
      </c>
      <c r="R171" s="222">
        <f t="shared" si="27"/>
        <v>70.697980677396131</v>
      </c>
      <c r="S171" s="191">
        <f t="shared" si="28"/>
        <v>-4.3020193226038685</v>
      </c>
      <c r="T171" s="221"/>
    </row>
    <row r="172" spans="1:20" x14ac:dyDescent="0.25">
      <c r="A172" s="53">
        <f>'A) Base RI'!A173</f>
        <v>5673</v>
      </c>
      <c r="B172" s="65" t="str">
        <f>'A) Base RI'!B173</f>
        <v>Hermenches</v>
      </c>
      <c r="C172" s="495">
        <v>157908.85852793476</v>
      </c>
      <c r="D172" s="495">
        <v>-48851.142822841706</v>
      </c>
      <c r="E172" s="230"/>
      <c r="F172" s="229"/>
      <c r="G172" s="229"/>
      <c r="H172" s="231">
        <f t="shared" si="23"/>
        <v>109057.71570509305</v>
      </c>
      <c r="I172" s="507">
        <v>8854.2944888888887</v>
      </c>
      <c r="J172" s="127">
        <f>'B) D RI'!U173</f>
        <v>7873.3323555555571</v>
      </c>
      <c r="K172" s="84">
        <f t="shared" si="29"/>
        <v>12.316928902912347</v>
      </c>
      <c r="L172" s="36">
        <f>'B) D RI'!S173</f>
        <v>75</v>
      </c>
      <c r="M172" s="36">
        <f t="shared" si="24"/>
        <v>62.683071097087655</v>
      </c>
      <c r="N172" s="498">
        <f>'J) Plafonnement effort'!G171+'J) Plafonnement effort'!H171-'K) Plafonnement aide'!I171</f>
        <v>1.647225914479264</v>
      </c>
      <c r="O172" s="191">
        <f t="shared" si="25"/>
        <v>64.330297011566913</v>
      </c>
      <c r="P172" s="51">
        <f t="shared" si="26"/>
        <v>0</v>
      </c>
      <c r="Q172" s="67">
        <f t="shared" ref="Q172:Q227" si="30">P172*J172</f>
        <v>0</v>
      </c>
      <c r="R172" s="222">
        <f t="shared" si="27"/>
        <v>64.330297011566913</v>
      </c>
      <c r="S172" s="191">
        <f t="shared" si="28"/>
        <v>-10.669702988433087</v>
      </c>
      <c r="T172" s="221"/>
    </row>
    <row r="173" spans="1:20" x14ac:dyDescent="0.25">
      <c r="A173" s="53">
        <f>'A) Base RI'!A174</f>
        <v>5674</v>
      </c>
      <c r="B173" s="65" t="str">
        <f>'A) Base RI'!B174</f>
        <v>Lovatens</v>
      </c>
      <c r="C173" s="495">
        <v>49201.650403650136</v>
      </c>
      <c r="D173" s="495">
        <v>-25545.382986190692</v>
      </c>
      <c r="E173" s="230"/>
      <c r="F173" s="229"/>
      <c r="G173" s="229"/>
      <c r="H173" s="231">
        <f t="shared" si="23"/>
        <v>23656.267417459443</v>
      </c>
      <c r="I173" s="507">
        <v>3347.4317333333333</v>
      </c>
      <c r="J173" s="127">
        <f>'B) D RI'!U174</f>
        <v>3776.8391809523814</v>
      </c>
      <c r="K173" s="84">
        <f t="shared" si="29"/>
        <v>7.0669902486413996</v>
      </c>
      <c r="L173" s="36">
        <f>'B) D RI'!S174</f>
        <v>75</v>
      </c>
      <c r="M173" s="36">
        <f t="shared" si="24"/>
        <v>67.933009751358597</v>
      </c>
      <c r="N173" s="498">
        <f>'J) Plafonnement effort'!G172+'J) Plafonnement effort'!H172-'K) Plafonnement aide'!I172</f>
        <v>16.255078720366292</v>
      </c>
      <c r="O173" s="191">
        <f t="shared" si="25"/>
        <v>84.188088471724882</v>
      </c>
      <c r="P173" s="51">
        <f t="shared" si="26"/>
        <v>0</v>
      </c>
      <c r="Q173" s="67">
        <f t="shared" si="30"/>
        <v>0</v>
      </c>
      <c r="R173" s="222">
        <f t="shared" si="27"/>
        <v>84.188088471724882</v>
      </c>
      <c r="S173" s="191">
        <f t="shared" si="28"/>
        <v>9.1880884717248819</v>
      </c>
      <c r="T173" s="221"/>
    </row>
    <row r="174" spans="1:20" x14ac:dyDescent="0.25">
      <c r="A174" s="53">
        <f>'A) Base RI'!A175</f>
        <v>5675</v>
      </c>
      <c r="B174" s="65" t="str">
        <f>'A) Base RI'!B175</f>
        <v>Lucens</v>
      </c>
      <c r="C174" s="495">
        <v>1539960.1860216153</v>
      </c>
      <c r="D174" s="495">
        <v>-673389.378860506</v>
      </c>
      <c r="E174" s="230"/>
      <c r="F174" s="229"/>
      <c r="G174" s="229"/>
      <c r="H174" s="231">
        <f t="shared" si="23"/>
        <v>866570.80716110929</v>
      </c>
      <c r="I174" s="507">
        <v>76574.855468319569</v>
      </c>
      <c r="J174" s="127">
        <f>'B) D RI'!U175</f>
        <v>77479.696914600558</v>
      </c>
      <c r="K174" s="84">
        <f t="shared" si="29"/>
        <v>11.31664959550104</v>
      </c>
      <c r="L174" s="36">
        <f>'B) D RI'!S175</f>
        <v>66</v>
      </c>
      <c r="M174" s="36">
        <f t="shared" si="24"/>
        <v>54.68335040449896</v>
      </c>
      <c r="N174" s="498">
        <f>'J) Plafonnement effort'!G173+'J) Plafonnement effort'!H173-'K) Plafonnement aide'!I173</f>
        <v>1.686112464339014</v>
      </c>
      <c r="O174" s="191">
        <f t="shared" si="25"/>
        <v>56.369462868837971</v>
      </c>
      <c r="P174" s="51">
        <f t="shared" si="26"/>
        <v>0</v>
      </c>
      <c r="Q174" s="67">
        <f t="shared" si="30"/>
        <v>0</v>
      </c>
      <c r="R174" s="222">
        <f t="shared" si="27"/>
        <v>56.369462868837971</v>
      </c>
      <c r="S174" s="191">
        <f t="shared" si="28"/>
        <v>-9.6305371311620291</v>
      </c>
      <c r="T174" s="221"/>
    </row>
    <row r="175" spans="1:20" x14ac:dyDescent="0.25">
      <c r="A175" s="53">
        <f>'A) Base RI'!A176</f>
        <v>5678</v>
      </c>
      <c r="B175" s="65" t="str">
        <f>'A) Base RI'!B176</f>
        <v>Moudon</v>
      </c>
      <c r="C175" s="495">
        <v>2147363.801830065</v>
      </c>
      <c r="D175" s="495">
        <v>-2883323.4997485494</v>
      </c>
      <c r="E175" s="230">
        <v>64627</v>
      </c>
      <c r="F175" s="229"/>
      <c r="G175" s="229"/>
      <c r="H175" s="231">
        <f t="shared" si="23"/>
        <v>-671332.69791848445</v>
      </c>
      <c r="I175" s="507">
        <v>122060.45639999998</v>
      </c>
      <c r="J175" s="127">
        <f>'B) D RI'!U176</f>
        <v>123116.47720000001</v>
      </c>
      <c r="K175" s="84">
        <f t="shared" si="29"/>
        <v>-5.5000015379139988</v>
      </c>
      <c r="L175" s="36">
        <f>'B) D RI'!S176</f>
        <v>75</v>
      </c>
      <c r="M175" s="36">
        <f t="shared" si="24"/>
        <v>80.500001537914002</v>
      </c>
      <c r="N175" s="498">
        <f>'J) Plafonnement effort'!G174+'J) Plafonnement effort'!H174-'K) Plafonnement aide'!I174</f>
        <v>-16.04285022424995</v>
      </c>
      <c r="O175" s="191">
        <f t="shared" si="25"/>
        <v>64.457151313664056</v>
      </c>
      <c r="P175" s="51">
        <f t="shared" si="26"/>
        <v>0</v>
      </c>
      <c r="Q175" s="67">
        <f t="shared" si="30"/>
        <v>0</v>
      </c>
      <c r="R175" s="222">
        <f t="shared" si="27"/>
        <v>64.457151313664056</v>
      </c>
      <c r="S175" s="191">
        <f t="shared" si="28"/>
        <v>-10.542848686335944</v>
      </c>
      <c r="T175" s="221"/>
    </row>
    <row r="176" spans="1:20" x14ac:dyDescent="0.25">
      <c r="A176" s="53">
        <f>'A) Base RI'!A177</f>
        <v>5680</v>
      </c>
      <c r="B176" s="65" t="str">
        <f>'A) Base RI'!B177</f>
        <v>Ogens</v>
      </c>
      <c r="C176" s="495">
        <v>123959.76842737428</v>
      </c>
      <c r="D176" s="495">
        <v>21717.708341481208</v>
      </c>
      <c r="E176" s="230"/>
      <c r="F176" s="229"/>
      <c r="G176" s="229"/>
      <c r="H176" s="231">
        <f t="shared" si="23"/>
        <v>145677.47676885547</v>
      </c>
      <c r="I176" s="507">
        <v>8163.3689316239324</v>
      </c>
      <c r="J176" s="127">
        <f>'B) D RI'!U177</f>
        <v>8504.3488034188031</v>
      </c>
      <c r="K176" s="84">
        <f t="shared" si="29"/>
        <v>17.845264374187234</v>
      </c>
      <c r="L176" s="36">
        <f>'B) D RI'!S177</f>
        <v>78</v>
      </c>
      <c r="M176" s="36">
        <f t="shared" si="24"/>
        <v>60.154735625812762</v>
      </c>
      <c r="N176" s="498">
        <f>'J) Plafonnement effort'!G175+'J) Plafonnement effort'!H175-'K) Plafonnement aide'!I175</f>
        <v>16.806609206215576</v>
      </c>
      <c r="O176" s="191">
        <f t="shared" si="25"/>
        <v>76.961344832028345</v>
      </c>
      <c r="P176" s="51">
        <f t="shared" si="26"/>
        <v>0</v>
      </c>
      <c r="Q176" s="67">
        <f t="shared" si="30"/>
        <v>0</v>
      </c>
      <c r="R176" s="222">
        <f t="shared" si="27"/>
        <v>76.961344832028345</v>
      </c>
      <c r="S176" s="191">
        <f t="shared" si="28"/>
        <v>-1.0386551679716547</v>
      </c>
      <c r="T176" s="221"/>
    </row>
    <row r="177" spans="1:20" x14ac:dyDescent="0.25">
      <c r="A177" s="53">
        <f>'A) Base RI'!A178</f>
        <v>5683</v>
      </c>
      <c r="B177" s="65" t="str">
        <f>'A) Base RI'!B178</f>
        <v>Prévonloup</v>
      </c>
      <c r="C177" s="495">
        <v>59657.023638248036</v>
      </c>
      <c r="D177" s="495">
        <v>-34743.079424868018</v>
      </c>
      <c r="E177" s="230"/>
      <c r="F177" s="229"/>
      <c r="G177" s="229"/>
      <c r="H177" s="231">
        <f t="shared" si="23"/>
        <v>24913.944213380018</v>
      </c>
      <c r="I177" s="507">
        <v>3618.5018918918922</v>
      </c>
      <c r="J177" s="127">
        <f>'B) D RI'!U178</f>
        <v>4128.5685135135127</v>
      </c>
      <c r="K177" s="84">
        <f t="shared" si="29"/>
        <v>6.8851543975161631</v>
      </c>
      <c r="L177" s="36">
        <f>'B) D RI'!S178</f>
        <v>74</v>
      </c>
      <c r="M177" s="36">
        <f t="shared" si="24"/>
        <v>67.11484560248384</v>
      </c>
      <c r="N177" s="498">
        <f>'J) Plafonnement effort'!G176+'J) Plafonnement effort'!H176-'K) Plafonnement aide'!I176</f>
        <v>7.8112337991545786</v>
      </c>
      <c r="O177" s="191">
        <f t="shared" si="25"/>
        <v>74.926079401638418</v>
      </c>
      <c r="P177" s="51">
        <f t="shared" si="26"/>
        <v>0</v>
      </c>
      <c r="Q177" s="67">
        <f t="shared" si="30"/>
        <v>0</v>
      </c>
      <c r="R177" s="222">
        <f t="shared" si="27"/>
        <v>74.926079401638418</v>
      </c>
      <c r="S177" s="191">
        <f t="shared" si="28"/>
        <v>0.92607940163841818</v>
      </c>
      <c r="T177" s="221"/>
    </row>
    <row r="178" spans="1:20" x14ac:dyDescent="0.25">
      <c r="A178" s="53">
        <f>'A) Base RI'!A179</f>
        <v>5684</v>
      </c>
      <c r="B178" s="65" t="str">
        <f>'A) Base RI'!B179</f>
        <v>Rossenges</v>
      </c>
      <c r="C178" s="495">
        <v>37531.133122091174</v>
      </c>
      <c r="D178" s="495">
        <v>38654.384252008298</v>
      </c>
      <c r="E178" s="230"/>
      <c r="F178" s="229"/>
      <c r="G178" s="229"/>
      <c r="H178" s="231">
        <f t="shared" si="23"/>
        <v>76185.517374099465</v>
      </c>
      <c r="I178" s="507">
        <v>2611.7396666666664</v>
      </c>
      <c r="J178" s="127">
        <f>'B) D RI'!U179</f>
        <v>2119.9519999999998</v>
      </c>
      <c r="K178" s="84">
        <f t="shared" si="29"/>
        <v>29.170410185381982</v>
      </c>
      <c r="L178" s="36">
        <f>'B) D RI'!S179</f>
        <v>60</v>
      </c>
      <c r="M178" s="36">
        <f t="shared" si="24"/>
        <v>30.829589814618018</v>
      </c>
      <c r="N178" s="498">
        <f>'J) Plafonnement effort'!G177+'J) Plafonnement effort'!H177-'K) Plafonnement aide'!I177</f>
        <v>26.865129484235688</v>
      </c>
      <c r="O178" s="191">
        <f t="shared" si="25"/>
        <v>57.694719298853705</v>
      </c>
      <c r="P178" s="51">
        <f t="shared" si="26"/>
        <v>0</v>
      </c>
      <c r="Q178" s="67">
        <f t="shared" si="30"/>
        <v>0</v>
      </c>
      <c r="R178" s="222">
        <f t="shared" si="27"/>
        <v>57.694719298853705</v>
      </c>
      <c r="S178" s="191">
        <f t="shared" si="28"/>
        <v>-2.3052807011462946</v>
      </c>
      <c r="T178" s="221"/>
    </row>
    <row r="179" spans="1:20" x14ac:dyDescent="0.25">
      <c r="A179" s="53">
        <f>'A) Base RI'!A180</f>
        <v>5686</v>
      </c>
      <c r="B179" s="65" t="str">
        <f>'A) Base RI'!B180</f>
        <v>Sarzens</v>
      </c>
      <c r="C179" s="495">
        <v>35511.81434805398</v>
      </c>
      <c r="D179" s="495">
        <v>-9139.6532248801013</v>
      </c>
      <c r="E179" s="230"/>
      <c r="F179" s="229"/>
      <c r="G179" s="229"/>
      <c r="H179" s="231">
        <f t="shared" si="23"/>
        <v>26372.161123173879</v>
      </c>
      <c r="I179" s="507">
        <v>1857.3194594594593</v>
      </c>
      <c r="J179" s="127">
        <f>'B) D RI'!U180</f>
        <v>1678.3095945945947</v>
      </c>
      <c r="K179" s="84">
        <f t="shared" si="29"/>
        <v>14.199044213346605</v>
      </c>
      <c r="L179" s="36">
        <f>'B) D RI'!S180</f>
        <v>74</v>
      </c>
      <c r="M179" s="36">
        <f t="shared" si="24"/>
        <v>59.800955786653397</v>
      </c>
      <c r="N179" s="498">
        <f>'J) Plafonnement effort'!G178+'J) Plafonnement effort'!H178-'K) Plafonnement aide'!I178</f>
        <v>-6.9295915913985873</v>
      </c>
      <c r="O179" s="191">
        <f t="shared" si="25"/>
        <v>52.871364195254813</v>
      </c>
      <c r="P179" s="51">
        <f t="shared" si="26"/>
        <v>0</v>
      </c>
      <c r="Q179" s="67">
        <f t="shared" si="30"/>
        <v>0</v>
      </c>
      <c r="R179" s="222">
        <f t="shared" si="27"/>
        <v>52.871364195254813</v>
      </c>
      <c r="S179" s="191">
        <f t="shared" si="28"/>
        <v>-21.128635804745187</v>
      </c>
      <c r="T179" s="221"/>
    </row>
    <row r="180" spans="1:20" x14ac:dyDescent="0.25">
      <c r="A180" s="53">
        <f>'A) Base RI'!A181</f>
        <v>5688</v>
      </c>
      <c r="B180" s="65" t="str">
        <f>'A) Base RI'!B181</f>
        <v>Syens</v>
      </c>
      <c r="C180" s="495">
        <v>91529.120597926725</v>
      </c>
      <c r="D180" s="495">
        <v>70411.967842263461</v>
      </c>
      <c r="E180" s="230"/>
      <c r="F180" s="229"/>
      <c r="G180" s="229"/>
      <c r="H180" s="231">
        <f t="shared" si="23"/>
        <v>161941.08844019019</v>
      </c>
      <c r="I180" s="507">
        <v>5385.636772486775</v>
      </c>
      <c r="J180" s="127">
        <f>'B) D RI'!U181</f>
        <v>4845.4007936507942</v>
      </c>
      <c r="K180" s="84">
        <f t="shared" si="29"/>
        <v>30.069069876284132</v>
      </c>
      <c r="L180" s="36">
        <f>'B) D RI'!S181</f>
        <v>75.599999999999994</v>
      </c>
      <c r="M180" s="36">
        <f t="shared" si="24"/>
        <v>45.530930123715862</v>
      </c>
      <c r="N180" s="498">
        <f>'J) Plafonnement effort'!G179+'J) Plafonnement effort'!H179-'K) Plafonnement aide'!I179</f>
        <v>23.750358877663167</v>
      </c>
      <c r="O180" s="191">
        <f t="shared" si="25"/>
        <v>69.281289001379037</v>
      </c>
      <c r="P180" s="51">
        <f t="shared" si="26"/>
        <v>0</v>
      </c>
      <c r="Q180" s="67">
        <f t="shared" si="30"/>
        <v>0</v>
      </c>
      <c r="R180" s="222">
        <f t="shared" si="27"/>
        <v>69.281289001379037</v>
      </c>
      <c r="S180" s="191">
        <f t="shared" si="28"/>
        <v>-6.3187109986209578</v>
      </c>
      <c r="T180" s="221"/>
    </row>
    <row r="181" spans="1:20" x14ac:dyDescent="0.25">
      <c r="A181" s="53">
        <f>'A) Base RI'!A182</f>
        <v>5690</v>
      </c>
      <c r="B181" s="65" t="str">
        <f>'A) Base RI'!B182</f>
        <v>Villars-le-Comte</v>
      </c>
      <c r="C181" s="495">
        <v>56552.619782335001</v>
      </c>
      <c r="D181" s="495">
        <v>-21374.959041271133</v>
      </c>
      <c r="E181" s="230"/>
      <c r="F181" s="229"/>
      <c r="G181" s="229"/>
      <c r="H181" s="231">
        <f t="shared" si="23"/>
        <v>35177.660741063868</v>
      </c>
      <c r="I181" s="507">
        <v>3468.3659210526316</v>
      </c>
      <c r="J181" s="127">
        <f>'B) D RI'!U182</f>
        <v>3252.2851315789467</v>
      </c>
      <c r="K181" s="84">
        <f t="shared" si="29"/>
        <v>10.142430626347414</v>
      </c>
      <c r="L181" s="36">
        <f>'B) D RI'!S182</f>
        <v>76</v>
      </c>
      <c r="M181" s="36">
        <f t="shared" si="24"/>
        <v>65.857569373652581</v>
      </c>
      <c r="N181" s="498">
        <f>'J) Plafonnement effort'!G180+'J) Plafonnement effort'!H180-'K) Plafonnement aide'!I180</f>
        <v>0.32393232456341092</v>
      </c>
      <c r="O181" s="191">
        <f t="shared" si="25"/>
        <v>66.181501698215996</v>
      </c>
      <c r="P181" s="51">
        <f t="shared" si="26"/>
        <v>0</v>
      </c>
      <c r="Q181" s="67">
        <f t="shared" si="30"/>
        <v>0</v>
      </c>
      <c r="R181" s="222">
        <f t="shared" si="27"/>
        <v>66.181501698215996</v>
      </c>
      <c r="S181" s="191">
        <f t="shared" si="28"/>
        <v>-9.818498301784004</v>
      </c>
      <c r="T181" s="221"/>
    </row>
    <row r="182" spans="1:20" x14ac:dyDescent="0.25">
      <c r="A182" s="53">
        <f>'A) Base RI'!A183</f>
        <v>5692</v>
      </c>
      <c r="B182" s="65" t="str">
        <f>'A) Base RI'!B183</f>
        <v>Vucherens</v>
      </c>
      <c r="C182" s="495">
        <v>257937.91481302067</v>
      </c>
      <c r="D182" s="495">
        <v>13379.347673783428</v>
      </c>
      <c r="E182" s="230"/>
      <c r="F182" s="229"/>
      <c r="G182" s="229"/>
      <c r="H182" s="231">
        <f t="shared" si="23"/>
        <v>271317.2624868041</v>
      </c>
      <c r="I182" s="507">
        <v>15125.888354430383</v>
      </c>
      <c r="J182" s="127">
        <f>'B) D RI'!U183</f>
        <v>16993.232405063292</v>
      </c>
      <c r="K182" s="84">
        <f t="shared" si="29"/>
        <v>17.937277872828876</v>
      </c>
      <c r="L182" s="36">
        <f>'B) D RI'!S183</f>
        <v>79</v>
      </c>
      <c r="M182" s="36">
        <f t="shared" si="24"/>
        <v>61.062722127171128</v>
      </c>
      <c r="N182" s="498">
        <f>'J) Plafonnement effort'!G181+'J) Plafonnement effort'!H181-'K) Plafonnement aide'!I181</f>
        <v>20.513325397892096</v>
      </c>
      <c r="O182" s="191">
        <f t="shared" si="25"/>
        <v>81.576047525063217</v>
      </c>
      <c r="P182" s="51">
        <f t="shared" si="26"/>
        <v>0</v>
      </c>
      <c r="Q182" s="67">
        <f t="shared" si="30"/>
        <v>0</v>
      </c>
      <c r="R182" s="222">
        <f t="shared" si="27"/>
        <v>81.576047525063217</v>
      </c>
      <c r="S182" s="191">
        <f t="shared" si="28"/>
        <v>2.5760475250632169</v>
      </c>
      <c r="T182" s="221"/>
    </row>
    <row r="183" spans="1:20" x14ac:dyDescent="0.25">
      <c r="A183" s="53">
        <f>'A) Base RI'!A184</f>
        <v>5693</v>
      </c>
      <c r="B183" s="65" t="str">
        <f>'A) Base RI'!B184</f>
        <v>Montanaire</v>
      </c>
      <c r="C183" s="495">
        <v>1097256.9766927601</v>
      </c>
      <c r="D183" s="495">
        <v>-305655.6713428176</v>
      </c>
      <c r="E183" s="230"/>
      <c r="F183" s="229"/>
      <c r="G183" s="229"/>
      <c r="H183" s="231">
        <f t="shared" si="23"/>
        <v>791601.30534994253</v>
      </c>
      <c r="I183" s="507">
        <v>62987.795555555575</v>
      </c>
      <c r="J183" s="127">
        <f>'B) D RI'!U184</f>
        <v>63585.08152777778</v>
      </c>
      <c r="K183" s="84">
        <f>H183/I183</f>
        <v>12.567534684584189</v>
      </c>
      <c r="L183" s="36">
        <f>'B) D RI'!S184</f>
        <v>72</v>
      </c>
      <c r="M183" s="36">
        <f>L183-K183</f>
        <v>59.432465315415811</v>
      </c>
      <c r="N183" s="498">
        <f>'J) Plafonnement effort'!G182+'J) Plafonnement effort'!H182-'K) Plafonnement aide'!I182</f>
        <v>4.1795857308029039</v>
      </c>
      <c r="O183" s="191">
        <f>M183+N183</f>
        <v>63.612051046218717</v>
      </c>
      <c r="P183" s="51">
        <f t="shared" si="26"/>
        <v>0</v>
      </c>
      <c r="Q183" s="67">
        <f>P183*J183</f>
        <v>0</v>
      </c>
      <c r="R183" s="222">
        <f>O183+P183</f>
        <v>63.612051046218717</v>
      </c>
      <c r="S183" s="191">
        <f>R183-L183</f>
        <v>-8.387948953781283</v>
      </c>
      <c r="T183" s="221"/>
    </row>
    <row r="184" spans="1:20" x14ac:dyDescent="0.25">
      <c r="A184" s="53">
        <f>'A) Base RI'!A185</f>
        <v>5701</v>
      </c>
      <c r="B184" s="65" t="str">
        <f>'A) Base RI'!B185</f>
        <v>Arnex-sur-Nyon</v>
      </c>
      <c r="C184" s="495">
        <v>284666.89367290231</v>
      </c>
      <c r="D184" s="495">
        <v>225651.44698148966</v>
      </c>
      <c r="E184" s="230"/>
      <c r="F184" s="229"/>
      <c r="G184" s="229"/>
      <c r="H184" s="231">
        <f t="shared" si="23"/>
        <v>510318.34065439197</v>
      </c>
      <c r="I184" s="507">
        <v>14386.456307692306</v>
      </c>
      <c r="J184" s="127">
        <f>'B) D RI'!U185</f>
        <v>15270.610714285714</v>
      </c>
      <c r="K184" s="84">
        <f>H184/I184</f>
        <v>35.472136413574582</v>
      </c>
      <c r="L184" s="36">
        <f>'B) D RI'!S185</f>
        <v>70</v>
      </c>
      <c r="M184" s="36">
        <f>L184-K184</f>
        <v>34.527863586425418</v>
      </c>
      <c r="N184" s="498">
        <f>'J) Plafonnement effort'!G183+'J) Plafonnement effort'!H183-'K) Plafonnement aide'!I183</f>
        <v>38.466521205396774</v>
      </c>
      <c r="O184" s="191">
        <f>M184+N184</f>
        <v>72.994384791822199</v>
      </c>
      <c r="P184" s="51">
        <f t="shared" si="26"/>
        <v>0</v>
      </c>
      <c r="Q184" s="67">
        <f>P184*J184</f>
        <v>0</v>
      </c>
      <c r="R184" s="222">
        <f>O184+P184</f>
        <v>72.994384791822199</v>
      </c>
      <c r="S184" s="191">
        <f>R184-L184</f>
        <v>2.9943847918221991</v>
      </c>
      <c r="T184" s="221"/>
    </row>
    <row r="185" spans="1:20" x14ac:dyDescent="0.25">
      <c r="A185" s="53">
        <f>'A) Base RI'!A186</f>
        <v>5702</v>
      </c>
      <c r="B185" s="65" t="str">
        <f>'A) Base RI'!B186</f>
        <v>Arzier-Le Muids</v>
      </c>
      <c r="C185" s="495">
        <v>2413236.951417489</v>
      </c>
      <c r="D185" s="495">
        <v>1918632.090760078</v>
      </c>
      <c r="E185" s="230"/>
      <c r="F185" s="229"/>
      <c r="G185" s="229"/>
      <c r="H185" s="231">
        <f t="shared" si="23"/>
        <v>4331869.0421775673</v>
      </c>
      <c r="I185" s="507">
        <v>137336.67807291666</v>
      </c>
      <c r="J185" s="127">
        <f>'B) D RI'!U186</f>
        <v>153872.87421874999</v>
      </c>
      <c r="K185" s="84">
        <f t="shared" si="29"/>
        <v>31.541967542549937</v>
      </c>
      <c r="L185" s="36">
        <f>'B) D RI'!S186</f>
        <v>64</v>
      </c>
      <c r="M185" s="36">
        <f t="shared" si="24"/>
        <v>32.458032457450059</v>
      </c>
      <c r="N185" s="498">
        <f>'J) Plafonnement effort'!G184+'J) Plafonnement effort'!H184-'K) Plafonnement aide'!I184</f>
        <v>31.410066482819058</v>
      </c>
      <c r="O185" s="191">
        <f t="shared" si="25"/>
        <v>63.868098940269121</v>
      </c>
      <c r="P185" s="51">
        <f t="shared" si="26"/>
        <v>0</v>
      </c>
      <c r="Q185" s="67">
        <f t="shared" si="30"/>
        <v>0</v>
      </c>
      <c r="R185" s="222">
        <f t="shared" si="27"/>
        <v>63.868098940269121</v>
      </c>
      <c r="S185" s="191">
        <f t="shared" si="28"/>
        <v>-0.13190105973087896</v>
      </c>
      <c r="T185" s="221"/>
    </row>
    <row r="186" spans="1:20" x14ac:dyDescent="0.25">
      <c r="A186" s="53">
        <f>'A) Base RI'!A187</f>
        <v>5703</v>
      </c>
      <c r="B186" s="65" t="str">
        <f>'A) Base RI'!B187</f>
        <v>Bassins</v>
      </c>
      <c r="C186" s="495">
        <v>857890.61777944979</v>
      </c>
      <c r="D186" s="495">
        <v>624983.19197348482</v>
      </c>
      <c r="E186" s="230"/>
      <c r="F186" s="229"/>
      <c r="G186" s="229"/>
      <c r="H186" s="231">
        <f t="shared" si="23"/>
        <v>1482873.8097529346</v>
      </c>
      <c r="I186" s="507">
        <v>51617.647746478862</v>
      </c>
      <c r="J186" s="127">
        <f>'B) D RI'!U187</f>
        <v>52372.205915492945</v>
      </c>
      <c r="K186" s="84">
        <f t="shared" si="29"/>
        <v>28.728039236427428</v>
      </c>
      <c r="L186" s="36">
        <f>'B) D RI'!S187</f>
        <v>71</v>
      </c>
      <c r="M186" s="36">
        <f t="shared" si="24"/>
        <v>42.271960763572572</v>
      </c>
      <c r="N186" s="498">
        <f>'J) Plafonnement effort'!G185+'J) Plafonnement effort'!H185-'K) Plafonnement aide'!I185</f>
        <v>25.499507582312312</v>
      </c>
      <c r="O186" s="191">
        <f t="shared" si="25"/>
        <v>67.771468345884884</v>
      </c>
      <c r="P186" s="51">
        <f t="shared" si="26"/>
        <v>0</v>
      </c>
      <c r="Q186" s="67">
        <f t="shared" si="30"/>
        <v>0</v>
      </c>
      <c r="R186" s="222">
        <f t="shared" si="27"/>
        <v>67.771468345884884</v>
      </c>
      <c r="S186" s="191">
        <f t="shared" si="28"/>
        <v>-3.2285316541151161</v>
      </c>
      <c r="T186" s="221"/>
    </row>
    <row r="187" spans="1:20" x14ac:dyDescent="0.25">
      <c r="A187" s="53">
        <f>'A) Base RI'!A188</f>
        <v>5704</v>
      </c>
      <c r="B187" s="65" t="str">
        <f>'A) Base RI'!B188</f>
        <v>Begnins</v>
      </c>
      <c r="C187" s="495">
        <v>3725919.5580999944</v>
      </c>
      <c r="D187" s="495">
        <v>1575056.07647678</v>
      </c>
      <c r="E187" s="230"/>
      <c r="F187" s="229"/>
      <c r="G187" s="229"/>
      <c r="H187" s="231">
        <f t="shared" si="23"/>
        <v>5300975.6345767742</v>
      </c>
      <c r="I187" s="507">
        <v>109192.54039800997</v>
      </c>
      <c r="J187" s="127">
        <f>'B) D RI'!U188</f>
        <v>118306.82039800995</v>
      </c>
      <c r="K187" s="84">
        <f t="shared" si="29"/>
        <v>48.547049232983909</v>
      </c>
      <c r="L187" s="36">
        <f>'B) D RI'!S188</f>
        <v>67</v>
      </c>
      <c r="M187" s="36">
        <f t="shared" si="24"/>
        <v>18.452950767016091</v>
      </c>
      <c r="N187" s="498">
        <f>'J) Plafonnement effort'!G186+'J) Plafonnement effort'!H186-'K) Plafonnement aide'!I186</f>
        <v>34.474956493131572</v>
      </c>
      <c r="O187" s="191">
        <f t="shared" si="25"/>
        <v>52.927907260147663</v>
      </c>
      <c r="P187" s="51">
        <f t="shared" si="26"/>
        <v>0</v>
      </c>
      <c r="Q187" s="67">
        <f t="shared" si="30"/>
        <v>0</v>
      </c>
      <c r="R187" s="222">
        <f t="shared" si="27"/>
        <v>52.927907260147663</v>
      </c>
      <c r="S187" s="191">
        <f t="shared" si="28"/>
        <v>-14.072092739852337</v>
      </c>
      <c r="T187" s="221"/>
    </row>
    <row r="188" spans="1:20" x14ac:dyDescent="0.25">
      <c r="A188" s="53">
        <f>'A) Base RI'!A189</f>
        <v>5705</v>
      </c>
      <c r="B188" s="65" t="str">
        <f>'A) Base RI'!B189</f>
        <v>Bogis-Bossey</v>
      </c>
      <c r="C188" s="495">
        <v>957427.40065341198</v>
      </c>
      <c r="D188" s="495">
        <v>806238.52370640589</v>
      </c>
      <c r="E188" s="230"/>
      <c r="F188" s="229"/>
      <c r="G188" s="229"/>
      <c r="H188" s="231">
        <f t="shared" si="23"/>
        <v>1763665.924359818</v>
      </c>
      <c r="I188" s="507">
        <v>49393.857499999991</v>
      </c>
      <c r="J188" s="127">
        <f>'B) D RI'!U189</f>
        <v>49610.676285714275</v>
      </c>
      <c r="K188" s="84">
        <f t="shared" si="29"/>
        <v>35.706179140995786</v>
      </c>
      <c r="L188" s="36">
        <f>'B) D RI'!S189</f>
        <v>70</v>
      </c>
      <c r="M188" s="36">
        <f t="shared" si="24"/>
        <v>34.293820859004214</v>
      </c>
      <c r="N188" s="498">
        <f>'J) Plafonnement effort'!G187+'J) Plafonnement effort'!H187-'K) Plafonnement aide'!I187</f>
        <v>33.998465113202215</v>
      </c>
      <c r="O188" s="191">
        <f t="shared" si="25"/>
        <v>68.292285972206429</v>
      </c>
      <c r="P188" s="51">
        <f t="shared" si="26"/>
        <v>0</v>
      </c>
      <c r="Q188" s="67">
        <f t="shared" si="30"/>
        <v>0</v>
      </c>
      <c r="R188" s="222">
        <f t="shared" si="27"/>
        <v>68.292285972206429</v>
      </c>
      <c r="S188" s="191">
        <f t="shared" si="28"/>
        <v>-1.7077140277935712</v>
      </c>
      <c r="T188" s="221"/>
    </row>
    <row r="189" spans="1:20" x14ac:dyDescent="0.25">
      <c r="A189" s="53">
        <f>'A) Base RI'!A190</f>
        <v>5706</v>
      </c>
      <c r="B189" s="65" t="str">
        <f>'A) Base RI'!B190</f>
        <v>Borex</v>
      </c>
      <c r="C189" s="495">
        <v>1305639.6636925736</v>
      </c>
      <c r="D189" s="495">
        <v>990727.17940938997</v>
      </c>
      <c r="E189" s="230"/>
      <c r="F189" s="229"/>
      <c r="G189" s="229"/>
      <c r="H189" s="231">
        <f t="shared" si="23"/>
        <v>2296366.8431019634</v>
      </c>
      <c r="I189" s="507">
        <v>61064.931696969696</v>
      </c>
      <c r="J189" s="127">
        <f>'B) D RI'!U190</f>
        <v>68211.153151515144</v>
      </c>
      <c r="K189" s="84">
        <f t="shared" si="29"/>
        <v>37.605328938997552</v>
      </c>
      <c r="L189" s="36">
        <f>'B) D RI'!S190</f>
        <v>55</v>
      </c>
      <c r="M189" s="36">
        <f t="shared" si="24"/>
        <v>17.394671061002448</v>
      </c>
      <c r="N189" s="498">
        <f>'J) Plafonnement effort'!G188+'J) Plafonnement effort'!H188-'K) Plafonnement aide'!I188</f>
        <v>35.150391669146316</v>
      </c>
      <c r="O189" s="191">
        <f t="shared" si="25"/>
        <v>52.545062730148764</v>
      </c>
      <c r="P189" s="51">
        <f t="shared" si="26"/>
        <v>0</v>
      </c>
      <c r="Q189" s="67">
        <f t="shared" si="30"/>
        <v>0</v>
      </c>
      <c r="R189" s="222">
        <f t="shared" si="27"/>
        <v>52.545062730148764</v>
      </c>
      <c r="S189" s="191">
        <f t="shared" si="28"/>
        <v>-2.4549372698512357</v>
      </c>
      <c r="T189" s="221"/>
    </row>
    <row r="190" spans="1:20" x14ac:dyDescent="0.25">
      <c r="A190" s="53">
        <f>'A) Base RI'!A191</f>
        <v>5707</v>
      </c>
      <c r="B190" s="65" t="str">
        <f>'A) Base RI'!B191</f>
        <v>Chavannes-de-Bogis</v>
      </c>
      <c r="C190" s="495">
        <v>1956761.6123919846</v>
      </c>
      <c r="D190" s="495">
        <v>1316630.1203572731</v>
      </c>
      <c r="E190" s="230"/>
      <c r="F190" s="229"/>
      <c r="G190" s="229"/>
      <c r="H190" s="231">
        <f t="shared" si="23"/>
        <v>3273391.7327492577</v>
      </c>
      <c r="I190" s="507">
        <v>90099.169661016946</v>
      </c>
      <c r="J190" s="127">
        <f>'B) D RI'!U191</f>
        <v>101262.00960451979</v>
      </c>
      <c r="K190" s="84">
        <f t="shared" si="29"/>
        <v>36.330986679065376</v>
      </c>
      <c r="L190" s="36">
        <f>'B) D RI'!S191</f>
        <v>59</v>
      </c>
      <c r="M190" s="36">
        <f t="shared" si="24"/>
        <v>22.669013320934624</v>
      </c>
      <c r="N190" s="498">
        <f>'J) Plafonnement effort'!G189+'J) Plafonnement effort'!H189-'K) Plafonnement aide'!I189</f>
        <v>39.351148436041498</v>
      </c>
      <c r="O190" s="191">
        <f t="shared" si="25"/>
        <v>62.020161756976123</v>
      </c>
      <c r="P190" s="51">
        <f t="shared" si="26"/>
        <v>0</v>
      </c>
      <c r="Q190" s="67">
        <f t="shared" si="30"/>
        <v>0</v>
      </c>
      <c r="R190" s="222">
        <f t="shared" si="27"/>
        <v>62.020161756976123</v>
      </c>
      <c r="S190" s="191">
        <f t="shared" si="28"/>
        <v>3.0201617569761225</v>
      </c>
      <c r="T190" s="221"/>
    </row>
    <row r="191" spans="1:20" x14ac:dyDescent="0.25">
      <c r="A191" s="53">
        <f>'A) Base RI'!A192</f>
        <v>5708</v>
      </c>
      <c r="B191" s="65" t="str">
        <f>'A) Base RI'!B192</f>
        <v>Chavannes-des-Bois</v>
      </c>
      <c r="C191" s="495">
        <v>1432857.5884036571</v>
      </c>
      <c r="D191" s="495">
        <v>936788.65440512565</v>
      </c>
      <c r="E191" s="230"/>
      <c r="F191" s="229"/>
      <c r="G191" s="229"/>
      <c r="H191" s="231">
        <f t="shared" si="23"/>
        <v>2369646.2428087825</v>
      </c>
      <c r="I191" s="507">
        <v>61956.418196721308</v>
      </c>
      <c r="J191" s="127">
        <f>'B) D RI'!U192</f>
        <v>66077.93781420766</v>
      </c>
      <c r="K191" s="84">
        <f t="shared" si="29"/>
        <v>38.246985732531947</v>
      </c>
      <c r="L191" s="36">
        <f>'B) D RI'!S192</f>
        <v>61</v>
      </c>
      <c r="M191" s="36">
        <f t="shared" si="24"/>
        <v>22.753014267468053</v>
      </c>
      <c r="N191" s="498">
        <f>'J) Plafonnement effort'!G190+'J) Plafonnement effort'!H190-'K) Plafonnement aide'!I190</f>
        <v>37.183206883126225</v>
      </c>
      <c r="O191" s="191">
        <f t="shared" si="25"/>
        <v>59.936221150594278</v>
      </c>
      <c r="P191" s="51">
        <f t="shared" si="26"/>
        <v>0</v>
      </c>
      <c r="Q191" s="67">
        <f t="shared" si="30"/>
        <v>0</v>
      </c>
      <c r="R191" s="222">
        <f t="shared" si="27"/>
        <v>59.936221150594278</v>
      </c>
      <c r="S191" s="191">
        <f t="shared" si="28"/>
        <v>-1.0637788494057219</v>
      </c>
      <c r="T191" s="221"/>
    </row>
    <row r="192" spans="1:20" x14ac:dyDescent="0.25">
      <c r="A192" s="53">
        <f>'A) Base RI'!A193</f>
        <v>5709</v>
      </c>
      <c r="B192" s="65" t="str">
        <f>'A) Base RI'!B193</f>
        <v>Chéserex</v>
      </c>
      <c r="C192" s="495">
        <v>3423290.3485874534</v>
      </c>
      <c r="D192" s="495">
        <v>1751454.4949319393</v>
      </c>
      <c r="E192" s="230"/>
      <c r="F192" s="229"/>
      <c r="G192" s="229"/>
      <c r="H192" s="231">
        <f t="shared" si="23"/>
        <v>5174744.8435193924</v>
      </c>
      <c r="I192" s="507">
        <v>139220.21615384615</v>
      </c>
      <c r="J192" s="127">
        <f>'B) D RI'!U193</f>
        <v>141681.04461538463</v>
      </c>
      <c r="K192" s="84">
        <f t="shared" si="29"/>
        <v>37.169492954967183</v>
      </c>
      <c r="L192" s="36">
        <f>'B) D RI'!S193</f>
        <v>52</v>
      </c>
      <c r="M192" s="36">
        <f t="shared" si="24"/>
        <v>14.830507045032817</v>
      </c>
      <c r="N192" s="498">
        <f>'J) Plafonnement effort'!G191+'J) Plafonnement effort'!H191-'K) Plafonnement aide'!I191</f>
        <v>41.503676125212962</v>
      </c>
      <c r="O192" s="191">
        <f t="shared" si="25"/>
        <v>56.33418317024578</v>
      </c>
      <c r="P192" s="51">
        <f t="shared" si="26"/>
        <v>0</v>
      </c>
      <c r="Q192" s="67">
        <f t="shared" si="30"/>
        <v>0</v>
      </c>
      <c r="R192" s="222">
        <f t="shared" si="27"/>
        <v>56.33418317024578</v>
      </c>
      <c r="S192" s="191">
        <f t="shared" si="28"/>
        <v>4.3341831702457796</v>
      </c>
      <c r="T192" s="221"/>
    </row>
    <row r="193" spans="1:20" x14ac:dyDescent="0.25">
      <c r="A193" s="53">
        <f>'A) Base RI'!A194</f>
        <v>5710</v>
      </c>
      <c r="B193" s="65" t="str">
        <f>'A) Base RI'!B194</f>
        <v>Coinsins</v>
      </c>
      <c r="C193" s="495">
        <v>3160041.1183181778</v>
      </c>
      <c r="D193" s="495">
        <v>1064594.0282249227</v>
      </c>
      <c r="E193" s="230"/>
      <c r="F193" s="229"/>
      <c r="G193" s="229"/>
      <c r="H193" s="231">
        <f t="shared" si="23"/>
        <v>4224635.1465431005</v>
      </c>
      <c r="I193" s="507">
        <v>112738.70512195122</v>
      </c>
      <c r="J193" s="127">
        <f>'B) D RI'!U194</f>
        <v>77522.491219512216</v>
      </c>
      <c r="K193" s="84">
        <f t="shared" si="29"/>
        <v>37.472801749614263</v>
      </c>
      <c r="L193" s="36">
        <f>'B) D RI'!S194</f>
        <v>41</v>
      </c>
      <c r="M193" s="36">
        <f t="shared" si="24"/>
        <v>3.5271982503857373</v>
      </c>
      <c r="N193" s="498">
        <f>'J) Plafonnement effort'!G192+'J) Plafonnement effort'!H192-'K) Plafonnement aide'!I192</f>
        <v>35.950138872727884</v>
      </c>
      <c r="O193" s="191">
        <f t="shared" si="25"/>
        <v>39.477337123113621</v>
      </c>
      <c r="P193" s="51">
        <f t="shared" si="26"/>
        <v>0</v>
      </c>
      <c r="Q193" s="67">
        <f t="shared" si="30"/>
        <v>0</v>
      </c>
      <c r="R193" s="222">
        <f t="shared" si="27"/>
        <v>39.477337123113621</v>
      </c>
      <c r="S193" s="191">
        <f t="shared" si="28"/>
        <v>-1.522662876886379</v>
      </c>
      <c r="T193" s="221"/>
    </row>
    <row r="194" spans="1:20" x14ac:dyDescent="0.25">
      <c r="A194" s="53">
        <f>'A) Base RI'!A195</f>
        <v>5711</v>
      </c>
      <c r="B194" s="65" t="str">
        <f>'A) Base RI'!B195</f>
        <v>Commugny</v>
      </c>
      <c r="C194" s="495">
        <v>5626537.9113930464</v>
      </c>
      <c r="D194" s="495">
        <v>2993307.9431208256</v>
      </c>
      <c r="E194" s="230"/>
      <c r="F194" s="229"/>
      <c r="G194" s="229"/>
      <c r="H194" s="231">
        <f t="shared" si="23"/>
        <v>8619845.8545138724</v>
      </c>
      <c r="I194" s="507">
        <v>236913.245596817</v>
      </c>
      <c r="J194" s="127">
        <f>'B) D RI'!U195</f>
        <v>249621.80260458836</v>
      </c>
      <c r="K194" s="84">
        <f t="shared" si="29"/>
        <v>36.383976053340945</v>
      </c>
      <c r="L194" s="36">
        <f>'B) D RI'!S195</f>
        <v>57</v>
      </c>
      <c r="M194" s="36">
        <f t="shared" si="24"/>
        <v>20.616023946659055</v>
      </c>
      <c r="N194" s="498">
        <f>'J) Plafonnement effort'!G193+'J) Plafonnement effort'!H193-'K) Plafonnement aide'!I193</f>
        <v>37.509903216611924</v>
      </c>
      <c r="O194" s="191">
        <f t="shared" si="25"/>
        <v>58.12592716327098</v>
      </c>
      <c r="P194" s="51">
        <f t="shared" si="26"/>
        <v>0</v>
      </c>
      <c r="Q194" s="67">
        <f t="shared" si="30"/>
        <v>0</v>
      </c>
      <c r="R194" s="222">
        <f t="shared" si="27"/>
        <v>58.12592716327098</v>
      </c>
      <c r="S194" s="191">
        <f t="shared" si="28"/>
        <v>1.1259271632709797</v>
      </c>
      <c r="T194" s="221"/>
    </row>
    <row r="195" spans="1:20" x14ac:dyDescent="0.25">
      <c r="A195" s="53">
        <f>'A) Base RI'!A196</f>
        <v>5712</v>
      </c>
      <c r="B195" s="65" t="str">
        <f>'A) Base RI'!B196</f>
        <v>Coppet</v>
      </c>
      <c r="C195" s="495">
        <v>8282413.399475812</v>
      </c>
      <c r="D195" s="495">
        <v>3695243.2705696197</v>
      </c>
      <c r="E195" s="230"/>
      <c r="F195" s="229"/>
      <c r="G195" s="229"/>
      <c r="H195" s="231">
        <f t="shared" si="23"/>
        <v>11977656.670045432</v>
      </c>
      <c r="I195" s="507">
        <v>309642.37182389939</v>
      </c>
      <c r="J195" s="127">
        <f>'B) D RI'!U196</f>
        <v>316866.86955974839</v>
      </c>
      <c r="K195" s="84">
        <f t="shared" si="29"/>
        <v>38.68222749842969</v>
      </c>
      <c r="L195" s="36">
        <f>'B) D RI'!S196</f>
        <v>53</v>
      </c>
      <c r="M195" s="36">
        <f t="shared" si="24"/>
        <v>14.31777250157031</v>
      </c>
      <c r="N195" s="498">
        <f>'J) Plafonnement effort'!G194+'J) Plafonnement effort'!H194-'K) Plafonnement aide'!I194</f>
        <v>39.160867198009001</v>
      </c>
      <c r="O195" s="191">
        <f t="shared" si="25"/>
        <v>53.478639699579311</v>
      </c>
      <c r="P195" s="51">
        <f t="shared" si="26"/>
        <v>0</v>
      </c>
      <c r="Q195" s="67">
        <f t="shared" si="30"/>
        <v>0</v>
      </c>
      <c r="R195" s="222">
        <f t="shared" si="27"/>
        <v>53.478639699579311</v>
      </c>
      <c r="S195" s="191">
        <f t="shared" si="28"/>
        <v>0.47863969957931118</v>
      </c>
      <c r="T195" s="221"/>
    </row>
    <row r="196" spans="1:20" x14ac:dyDescent="0.25">
      <c r="A196" s="53">
        <f>'A) Base RI'!A197</f>
        <v>5713</v>
      </c>
      <c r="B196" s="65" t="str">
        <f>'A) Base RI'!B197</f>
        <v>Crans-près-Céligny</v>
      </c>
      <c r="C196" s="495">
        <v>7154119.0583429513</v>
      </c>
      <c r="D196" s="495">
        <v>3003812.6437104596</v>
      </c>
      <c r="E196" s="230"/>
      <c r="F196" s="229"/>
      <c r="G196" s="229"/>
      <c r="H196" s="231">
        <f t="shared" si="23"/>
        <v>10157931.702053411</v>
      </c>
      <c r="I196" s="507">
        <v>259331.62150943396</v>
      </c>
      <c r="J196" s="127">
        <f>'B) D RI'!U197</f>
        <v>229285.72754716981</v>
      </c>
      <c r="K196" s="84">
        <f t="shared" si="29"/>
        <v>39.169661003657765</v>
      </c>
      <c r="L196" s="36">
        <f>'B) D RI'!S197</f>
        <v>53</v>
      </c>
      <c r="M196" s="36">
        <f t="shared" si="24"/>
        <v>13.830338996342235</v>
      </c>
      <c r="N196" s="498">
        <f>'J) Plafonnement effort'!G195+'J) Plafonnement effort'!H195-'K) Plafonnement aide'!I195</f>
        <v>38.453116031754639</v>
      </c>
      <c r="O196" s="191">
        <f t="shared" si="25"/>
        <v>52.283455028096874</v>
      </c>
      <c r="P196" s="51">
        <f t="shared" si="26"/>
        <v>0</v>
      </c>
      <c r="Q196" s="67">
        <f t="shared" si="30"/>
        <v>0</v>
      </c>
      <c r="R196" s="222">
        <f t="shared" si="27"/>
        <v>52.283455028096874</v>
      </c>
      <c r="S196" s="191">
        <f t="shared" si="28"/>
        <v>-0.71654497190312583</v>
      </c>
      <c r="T196" s="221"/>
    </row>
    <row r="197" spans="1:20" x14ac:dyDescent="0.25">
      <c r="A197" s="53">
        <f>'A) Base RI'!A198</f>
        <v>5714</v>
      </c>
      <c r="B197" s="65" t="str">
        <f>'A) Base RI'!B198</f>
        <v>Crassier</v>
      </c>
      <c r="C197" s="495">
        <v>1469797.8760524006</v>
      </c>
      <c r="D197" s="495">
        <v>1157329.0274103258</v>
      </c>
      <c r="E197" s="230"/>
      <c r="F197" s="229"/>
      <c r="G197" s="229"/>
      <c r="H197" s="231">
        <f t="shared" si="23"/>
        <v>2627126.9034627266</v>
      </c>
      <c r="I197" s="507">
        <v>74990.560937499991</v>
      </c>
      <c r="J197" s="127">
        <f>'B) D RI'!U198</f>
        <v>82427.7421875</v>
      </c>
      <c r="K197" s="84">
        <f t="shared" si="29"/>
        <v>35.032767732625373</v>
      </c>
      <c r="L197" s="36">
        <f>'B) D RI'!S198</f>
        <v>64</v>
      </c>
      <c r="M197" s="36">
        <f t="shared" si="24"/>
        <v>28.967232267374627</v>
      </c>
      <c r="N197" s="498">
        <f>'J) Plafonnement effort'!G196+'J) Plafonnement effort'!H196-'K) Plafonnement aide'!I196</f>
        <v>35.585553066719548</v>
      </c>
      <c r="O197" s="191">
        <f t="shared" si="25"/>
        <v>64.552785334094182</v>
      </c>
      <c r="P197" s="51">
        <f t="shared" si="26"/>
        <v>0</v>
      </c>
      <c r="Q197" s="67">
        <f t="shared" si="30"/>
        <v>0</v>
      </c>
      <c r="R197" s="222">
        <f t="shared" si="27"/>
        <v>64.552785334094182</v>
      </c>
      <c r="S197" s="191">
        <f t="shared" si="28"/>
        <v>0.55278533409418174</v>
      </c>
      <c r="T197" s="221"/>
    </row>
    <row r="198" spans="1:20" x14ac:dyDescent="0.25">
      <c r="A198" s="53">
        <f>'A) Base RI'!A199</f>
        <v>5715</v>
      </c>
      <c r="B198" s="65" t="str">
        <f>'A) Base RI'!B199</f>
        <v>Duillier</v>
      </c>
      <c r="C198" s="495">
        <v>1208935.703071679</v>
      </c>
      <c r="D198" s="495">
        <v>956667.52794518846</v>
      </c>
      <c r="E198" s="230"/>
      <c r="F198" s="229"/>
      <c r="G198" s="229"/>
      <c r="H198" s="231">
        <f t="shared" si="23"/>
        <v>2165603.2310168673</v>
      </c>
      <c r="I198" s="507">
        <v>58313.27166666666</v>
      </c>
      <c r="J198" s="127">
        <f>'B) D RI'!U199</f>
        <v>64112.353030303027</v>
      </c>
      <c r="K198" s="84">
        <f t="shared" si="29"/>
        <v>37.137398899447803</v>
      </c>
      <c r="L198" s="36">
        <f>'B) D RI'!S199</f>
        <v>66</v>
      </c>
      <c r="M198" s="36">
        <f t="shared" si="24"/>
        <v>28.862601100552197</v>
      </c>
      <c r="N198" s="498">
        <f>'J) Plafonnement effort'!G197+'J) Plafonnement effort'!H197-'K) Plafonnement aide'!I197</f>
        <v>35.587512182574024</v>
      </c>
      <c r="O198" s="191">
        <f t="shared" si="25"/>
        <v>64.450113283126228</v>
      </c>
      <c r="P198" s="51">
        <f t="shared" si="26"/>
        <v>0</v>
      </c>
      <c r="Q198" s="67">
        <f t="shared" si="30"/>
        <v>0</v>
      </c>
      <c r="R198" s="222">
        <f t="shared" si="27"/>
        <v>64.450113283126228</v>
      </c>
      <c r="S198" s="191">
        <f t="shared" si="28"/>
        <v>-1.5498867168737718</v>
      </c>
      <c r="T198" s="221"/>
    </row>
    <row r="199" spans="1:20" x14ac:dyDescent="0.25">
      <c r="A199" s="53">
        <f>'A) Base RI'!A200</f>
        <v>5716</v>
      </c>
      <c r="B199" s="65" t="str">
        <f>'A) Base RI'!B200</f>
        <v>Eysins</v>
      </c>
      <c r="C199" s="495">
        <v>3005473.8530145027</v>
      </c>
      <c r="D199" s="495">
        <v>1704810.2553541656</v>
      </c>
      <c r="E199" s="230"/>
      <c r="F199" s="229"/>
      <c r="G199" s="229"/>
      <c r="H199" s="231">
        <f t="shared" ref="H199:H262" si="31">SUM(C199:G199)</f>
        <v>4710284.1083686687</v>
      </c>
      <c r="I199" s="507">
        <v>124360.51655737706</v>
      </c>
      <c r="J199" s="127">
        <f>'B) D RI'!U200</f>
        <v>93259.046229508182</v>
      </c>
      <c r="K199" s="84">
        <f t="shared" si="29"/>
        <v>37.876041679156685</v>
      </c>
      <c r="L199" s="36">
        <f>'B) D RI'!S200</f>
        <v>61</v>
      </c>
      <c r="M199" s="36">
        <f t="shared" si="24"/>
        <v>23.123958320843315</v>
      </c>
      <c r="N199" s="498">
        <f>'J) Plafonnement effort'!G198+'J) Plafonnement effort'!H198-'K) Plafonnement aide'!I198</f>
        <v>39.558270288119417</v>
      </c>
      <c r="O199" s="191">
        <f t="shared" si="25"/>
        <v>62.682228608962731</v>
      </c>
      <c r="P199" s="51">
        <f t="shared" si="26"/>
        <v>0</v>
      </c>
      <c r="Q199" s="67">
        <f t="shared" si="30"/>
        <v>0</v>
      </c>
      <c r="R199" s="222">
        <f t="shared" si="27"/>
        <v>62.682228608962731</v>
      </c>
      <c r="S199" s="191">
        <f t="shared" si="28"/>
        <v>1.6822286089627312</v>
      </c>
      <c r="T199" s="221"/>
    </row>
    <row r="200" spans="1:20" x14ac:dyDescent="0.25">
      <c r="A200" s="53">
        <f>'A) Base RI'!A201</f>
        <v>5717</v>
      </c>
      <c r="B200" s="65" t="str">
        <f>'A) Base RI'!B201</f>
        <v>Founex</v>
      </c>
      <c r="C200" s="495">
        <v>9256486.2716516964</v>
      </c>
      <c r="D200" s="495">
        <v>4070407.3453674288</v>
      </c>
      <c r="E200" s="230"/>
      <c r="F200" s="229"/>
      <c r="G200" s="229"/>
      <c r="H200" s="231">
        <f t="shared" si="31"/>
        <v>13326893.617019124</v>
      </c>
      <c r="I200" s="507">
        <v>345595.68736842106</v>
      </c>
      <c r="J200" s="127">
        <f>'B) D RI'!U201</f>
        <v>359686.500877193</v>
      </c>
      <c r="K200" s="84">
        <f t="shared" si="29"/>
        <v>38.562094679185151</v>
      </c>
      <c r="L200" s="36">
        <f>'B) D RI'!S201</f>
        <v>57</v>
      </c>
      <c r="M200" s="36">
        <f t="shared" si="24"/>
        <v>18.437905320814849</v>
      </c>
      <c r="N200" s="498">
        <f>'J) Plafonnement effort'!G199+'J) Plafonnement effort'!H199-'K) Plafonnement aide'!I199</f>
        <v>37.792984367683886</v>
      </c>
      <c r="O200" s="191">
        <f t="shared" si="25"/>
        <v>56.230889688498735</v>
      </c>
      <c r="P200" s="51">
        <f t="shared" si="26"/>
        <v>0</v>
      </c>
      <c r="Q200" s="67">
        <f t="shared" si="30"/>
        <v>0</v>
      </c>
      <c r="R200" s="222">
        <f t="shared" si="27"/>
        <v>56.230889688498735</v>
      </c>
      <c r="S200" s="191">
        <f t="shared" si="28"/>
        <v>-0.76911031150126519</v>
      </c>
      <c r="T200" s="221"/>
    </row>
    <row r="201" spans="1:20" x14ac:dyDescent="0.25">
      <c r="A201" s="53">
        <f>'A) Base RI'!A202</f>
        <v>5718</v>
      </c>
      <c r="B201" s="65" t="str">
        <f>'A) Base RI'!B202</f>
        <v>Genolier</v>
      </c>
      <c r="C201" s="495">
        <v>3399907.5276329815</v>
      </c>
      <c r="D201" s="495">
        <v>1998281.5615826636</v>
      </c>
      <c r="E201" s="230"/>
      <c r="F201" s="229"/>
      <c r="G201" s="229"/>
      <c r="H201" s="231">
        <f t="shared" si="31"/>
        <v>5398189.0892156456</v>
      </c>
      <c r="I201" s="507">
        <v>147563.83054545455</v>
      </c>
      <c r="J201" s="127">
        <f>'B) D RI'!U202</f>
        <v>194551.61054545455</v>
      </c>
      <c r="K201" s="84">
        <f t="shared" si="29"/>
        <v>36.58206126299239</v>
      </c>
      <c r="L201" s="36">
        <f>'B) D RI'!S202</f>
        <v>55</v>
      </c>
      <c r="M201" s="36">
        <f t="shared" si="24"/>
        <v>18.41793873700761</v>
      </c>
      <c r="N201" s="498">
        <f>'J) Plafonnement effort'!G200+'J) Plafonnement effort'!H200-'K) Plafonnement aide'!I200</f>
        <v>38.8634710446686</v>
      </c>
      <c r="O201" s="191">
        <f t="shared" si="25"/>
        <v>57.28140978167621</v>
      </c>
      <c r="P201" s="51">
        <f t="shared" si="26"/>
        <v>0</v>
      </c>
      <c r="Q201" s="67">
        <f t="shared" si="30"/>
        <v>0</v>
      </c>
      <c r="R201" s="222">
        <f t="shared" si="27"/>
        <v>57.28140978167621</v>
      </c>
      <c r="S201" s="191">
        <f t="shared" si="28"/>
        <v>2.28140978167621</v>
      </c>
      <c r="T201" s="221"/>
    </row>
    <row r="202" spans="1:20" x14ac:dyDescent="0.25">
      <c r="A202" s="53">
        <f>'A) Base RI'!A203</f>
        <v>5719</v>
      </c>
      <c r="B202" s="65" t="str">
        <f>'A) Base RI'!B203</f>
        <v>Gingins</v>
      </c>
      <c r="C202" s="495">
        <v>2250771.2913923273</v>
      </c>
      <c r="D202" s="495">
        <v>1387880.2297796409</v>
      </c>
      <c r="E202" s="230"/>
      <c r="F202" s="229"/>
      <c r="G202" s="229"/>
      <c r="H202" s="231">
        <f t="shared" si="31"/>
        <v>3638651.5211719684</v>
      </c>
      <c r="I202" s="507">
        <v>96514.726140350875</v>
      </c>
      <c r="J202" s="127">
        <f>'B) D RI'!U203</f>
        <v>90011.711578947361</v>
      </c>
      <c r="K202" s="84">
        <f t="shared" si="29"/>
        <v>37.700480192843038</v>
      </c>
      <c r="L202" s="36">
        <f>'B) D RI'!S203</f>
        <v>57</v>
      </c>
      <c r="M202" s="36">
        <f t="shared" si="24"/>
        <v>19.299519807156962</v>
      </c>
      <c r="N202" s="498">
        <f>'J) Plafonnement effort'!G201+'J) Plafonnement effort'!H201-'K) Plafonnement aide'!I201</f>
        <v>39.505367184125383</v>
      </c>
      <c r="O202" s="191">
        <f t="shared" si="25"/>
        <v>58.804886991282345</v>
      </c>
      <c r="P202" s="51">
        <f t="shared" si="26"/>
        <v>0</v>
      </c>
      <c r="Q202" s="67">
        <f t="shared" si="30"/>
        <v>0</v>
      </c>
      <c r="R202" s="222">
        <f t="shared" si="27"/>
        <v>58.804886991282345</v>
      </c>
      <c r="S202" s="191">
        <f t="shared" si="28"/>
        <v>1.8048869912823449</v>
      </c>
      <c r="T202" s="221"/>
    </row>
    <row r="203" spans="1:20" x14ac:dyDescent="0.25">
      <c r="A203" s="53">
        <f>'A) Base RI'!A204</f>
        <v>5720</v>
      </c>
      <c r="B203" s="65" t="str">
        <f>'A) Base RI'!B204</f>
        <v>Givrins</v>
      </c>
      <c r="C203" s="495">
        <v>2102975.1582956249</v>
      </c>
      <c r="D203" s="495">
        <v>1191971.840347667</v>
      </c>
      <c r="E203" s="230"/>
      <c r="F203" s="229"/>
      <c r="G203" s="229"/>
      <c r="H203" s="231">
        <f t="shared" si="31"/>
        <v>3294946.9986432921</v>
      </c>
      <c r="I203" s="507">
        <v>81037.865428051009</v>
      </c>
      <c r="J203" s="127">
        <f>'B) D RI'!U204</f>
        <v>73631.281876138426</v>
      </c>
      <c r="K203" s="84">
        <f t="shared" si="29"/>
        <v>40.659350801492806</v>
      </c>
      <c r="L203" s="36">
        <f>'B) D RI'!S204</f>
        <v>61</v>
      </c>
      <c r="M203" s="36">
        <f t="shared" si="24"/>
        <v>20.340649198507194</v>
      </c>
      <c r="N203" s="498">
        <f>'J) Plafonnement effort'!G202+'J) Plafonnement effort'!H202-'K) Plafonnement aide'!I202</f>
        <v>36.148483089764795</v>
      </c>
      <c r="O203" s="191">
        <f t="shared" si="25"/>
        <v>56.489132288271989</v>
      </c>
      <c r="P203" s="51">
        <f t="shared" si="26"/>
        <v>0</v>
      </c>
      <c r="Q203" s="67">
        <f t="shared" si="30"/>
        <v>0</v>
      </c>
      <c r="R203" s="222">
        <f t="shared" si="27"/>
        <v>56.489132288271989</v>
      </c>
      <c r="S203" s="191">
        <f t="shared" si="28"/>
        <v>-4.5108677117280109</v>
      </c>
      <c r="T203" s="221"/>
    </row>
    <row r="204" spans="1:20" x14ac:dyDescent="0.25">
      <c r="A204" s="53">
        <f>'A) Base RI'!A205</f>
        <v>5721</v>
      </c>
      <c r="B204" s="65" t="str">
        <f>'A) Base RI'!B205</f>
        <v>Gland</v>
      </c>
      <c r="C204" s="495">
        <v>12305305.004147794</v>
      </c>
      <c r="D204" s="495">
        <v>2952922.3256302057</v>
      </c>
      <c r="E204" s="230"/>
      <c r="F204" s="229"/>
      <c r="G204" s="229"/>
      <c r="H204" s="231">
        <f t="shared" si="31"/>
        <v>15258227.329778001</v>
      </c>
      <c r="I204" s="507">
        <v>556574.85335272714</v>
      </c>
      <c r="J204" s="127">
        <f>'B) D RI'!U205</f>
        <v>541149.08192000003</v>
      </c>
      <c r="K204" s="84">
        <f t="shared" si="29"/>
        <v>27.414510802751195</v>
      </c>
      <c r="L204" s="36">
        <f>'B) D RI'!S205</f>
        <v>62.5</v>
      </c>
      <c r="M204" s="36">
        <f t="shared" si="24"/>
        <v>35.085489197248805</v>
      </c>
      <c r="N204" s="498">
        <f>'J) Plafonnement effort'!G203+'J) Plafonnement effort'!H203-'K) Plafonnement aide'!I203</f>
        <v>20.075047704678177</v>
      </c>
      <c r="O204" s="191">
        <f t="shared" si="25"/>
        <v>55.160536901926982</v>
      </c>
      <c r="P204" s="51">
        <f t="shared" si="26"/>
        <v>0</v>
      </c>
      <c r="Q204" s="67">
        <f t="shared" si="30"/>
        <v>0</v>
      </c>
      <c r="R204" s="222">
        <f t="shared" si="27"/>
        <v>55.160536901926982</v>
      </c>
      <c r="S204" s="191">
        <f t="shared" si="28"/>
        <v>-7.3394630980730184</v>
      </c>
      <c r="T204" s="221"/>
    </row>
    <row r="205" spans="1:20" x14ac:dyDescent="0.25">
      <c r="A205" s="53">
        <f>'A) Base RI'!A206</f>
        <v>5722</v>
      </c>
      <c r="B205" s="65" t="str">
        <f>'A) Base RI'!B206</f>
        <v>Grens</v>
      </c>
      <c r="C205" s="495">
        <v>443165.46910325345</v>
      </c>
      <c r="D205" s="495">
        <v>397482.00065741746</v>
      </c>
      <c r="E205" s="230"/>
      <c r="F205" s="229"/>
      <c r="G205" s="229"/>
      <c r="H205" s="231">
        <f t="shared" si="31"/>
        <v>840647.46976067091</v>
      </c>
      <c r="I205" s="507">
        <v>25010.62</v>
      </c>
      <c r="J205" s="127">
        <f>'B) D RI'!U206</f>
        <v>20499.342258064513</v>
      </c>
      <c r="K205" s="84">
        <f t="shared" si="29"/>
        <v>33.611620574006999</v>
      </c>
      <c r="L205" s="36">
        <f>'B) D RI'!S206</f>
        <v>62</v>
      </c>
      <c r="M205" s="36">
        <f t="shared" si="24"/>
        <v>28.388379425993001</v>
      </c>
      <c r="N205" s="498">
        <f>'J) Plafonnement effort'!G204+'J) Plafonnement effort'!H204-'K) Plafonnement aide'!I204</f>
        <v>40.587826889171325</v>
      </c>
      <c r="O205" s="191">
        <f t="shared" si="25"/>
        <v>68.976206315164319</v>
      </c>
      <c r="P205" s="51">
        <f t="shared" si="26"/>
        <v>0</v>
      </c>
      <c r="Q205" s="67">
        <f t="shared" si="30"/>
        <v>0</v>
      </c>
      <c r="R205" s="222">
        <f t="shared" si="27"/>
        <v>68.976206315164319</v>
      </c>
      <c r="S205" s="191">
        <f t="shared" si="28"/>
        <v>6.976206315164319</v>
      </c>
      <c r="T205" s="221"/>
    </row>
    <row r="206" spans="1:20" x14ac:dyDescent="0.25">
      <c r="A206" s="53">
        <f>'A) Base RI'!A207</f>
        <v>5723</v>
      </c>
      <c r="B206" s="65" t="str">
        <f>'A) Base RI'!B207</f>
        <v>Mies</v>
      </c>
      <c r="C206" s="495">
        <v>7385229.3945953809</v>
      </c>
      <c r="D206" s="495">
        <v>2933134.856376492</v>
      </c>
      <c r="E206" s="230"/>
      <c r="F206" s="229"/>
      <c r="G206" s="229"/>
      <c r="H206" s="231">
        <f t="shared" si="31"/>
        <v>10318364.250971872</v>
      </c>
      <c r="I206" s="507">
        <v>265838.70510204078</v>
      </c>
      <c r="J206" s="127">
        <f>'B) D RI'!U207</f>
        <v>621558.82755102031</v>
      </c>
      <c r="K206" s="84">
        <f t="shared" si="29"/>
        <v>38.814378993499922</v>
      </c>
      <c r="L206" s="36">
        <f>'B) D RI'!S207</f>
        <v>49</v>
      </c>
      <c r="M206" s="36">
        <f t="shared" si="24"/>
        <v>10.185621006500078</v>
      </c>
      <c r="N206" s="498">
        <f>'J) Plafonnement effort'!G205+'J) Plafonnement effort'!H205-'K) Plafonnement aide'!I205</f>
        <v>42.278517847714895</v>
      </c>
      <c r="O206" s="191">
        <f t="shared" si="25"/>
        <v>52.464138854214973</v>
      </c>
      <c r="P206" s="51">
        <f t="shared" si="26"/>
        <v>0</v>
      </c>
      <c r="Q206" s="67">
        <f t="shared" si="30"/>
        <v>0</v>
      </c>
      <c r="R206" s="222">
        <f t="shared" si="27"/>
        <v>52.464138854214973</v>
      </c>
      <c r="S206" s="191">
        <f t="shared" si="28"/>
        <v>3.4641388542149727</v>
      </c>
      <c r="T206" s="221"/>
    </row>
    <row r="207" spans="1:20" x14ac:dyDescent="0.25">
      <c r="A207" s="53">
        <f>'A) Base RI'!A208</f>
        <v>5724</v>
      </c>
      <c r="B207" s="65" t="str">
        <f>'A) Base RI'!B208</f>
        <v>Nyon</v>
      </c>
      <c r="C207" s="495">
        <v>28694629.343380153</v>
      </c>
      <c r="D207" s="495">
        <v>8805451.2947402578</v>
      </c>
      <c r="E207" s="230"/>
      <c r="F207" s="229"/>
      <c r="G207" s="229"/>
      <c r="H207" s="231">
        <f t="shared" si="31"/>
        <v>37500080.638120413</v>
      </c>
      <c r="I207" s="507">
        <v>1373447.3453593946</v>
      </c>
      <c r="J207" s="127">
        <f>'B) D RI'!U208</f>
        <v>1418675.3806683479</v>
      </c>
      <c r="K207" s="84">
        <f t="shared" si="29"/>
        <v>27.303617255387131</v>
      </c>
      <c r="L207" s="36">
        <f>'B) D RI'!S208</f>
        <v>61</v>
      </c>
      <c r="M207" s="36">
        <f t="shared" si="24"/>
        <v>33.696382744612869</v>
      </c>
      <c r="N207" s="498">
        <f>'J) Plafonnement effort'!G206+'J) Plafonnement effort'!H206-'K) Plafonnement aide'!I206</f>
        <v>28.684324633934086</v>
      </c>
      <c r="O207" s="191">
        <f t="shared" si="25"/>
        <v>62.380707378546958</v>
      </c>
      <c r="P207" s="51">
        <f t="shared" si="26"/>
        <v>0</v>
      </c>
      <c r="Q207" s="67">
        <f t="shared" si="30"/>
        <v>0</v>
      </c>
      <c r="R207" s="222">
        <f t="shared" si="27"/>
        <v>62.380707378546958</v>
      </c>
      <c r="S207" s="191">
        <f t="shared" si="28"/>
        <v>1.3807073785469584</v>
      </c>
      <c r="T207" s="221"/>
    </row>
    <row r="208" spans="1:20" x14ac:dyDescent="0.25">
      <c r="A208" s="53">
        <f>'A) Base RI'!A209</f>
        <v>5725</v>
      </c>
      <c r="B208" s="65" t="str">
        <f>'A) Base RI'!B209</f>
        <v>Prangins</v>
      </c>
      <c r="C208" s="495">
        <v>6125698.4024784844</v>
      </c>
      <c r="D208" s="495">
        <v>3472596.0036132196</v>
      </c>
      <c r="E208" s="230"/>
      <c r="F208" s="229"/>
      <c r="G208" s="229"/>
      <c r="H208" s="231">
        <f t="shared" si="31"/>
        <v>9598294.406091705</v>
      </c>
      <c r="I208" s="507">
        <v>279071.20818877552</v>
      </c>
      <c r="J208" s="127">
        <f>'B) D RI'!U209</f>
        <v>319840.55765306117</v>
      </c>
      <c r="K208" s="84">
        <f t="shared" si="29"/>
        <v>34.393710724895037</v>
      </c>
      <c r="L208" s="36">
        <f>'B) D RI'!S209</f>
        <v>56</v>
      </c>
      <c r="M208" s="36">
        <f t="shared" si="24"/>
        <v>21.606289275104963</v>
      </c>
      <c r="N208" s="498">
        <f>'J) Plafonnement effort'!G207+'J) Plafonnement effort'!H207-'K) Plafonnement aide'!I207</f>
        <v>34.511793919914616</v>
      </c>
      <c r="O208" s="191">
        <f t="shared" si="25"/>
        <v>56.11808319501958</v>
      </c>
      <c r="P208" s="51">
        <f t="shared" si="26"/>
        <v>0</v>
      </c>
      <c r="Q208" s="67">
        <f t="shared" si="30"/>
        <v>0</v>
      </c>
      <c r="R208" s="222">
        <f t="shared" si="27"/>
        <v>56.11808319501958</v>
      </c>
      <c r="S208" s="191">
        <f t="shared" si="28"/>
        <v>0.11808319501957953</v>
      </c>
      <c r="T208" s="221"/>
    </row>
    <row r="209" spans="1:20" x14ac:dyDescent="0.25">
      <c r="A209" s="53">
        <f>'A) Base RI'!A210</f>
        <v>5726</v>
      </c>
      <c r="B209" s="65" t="str">
        <f>'A) Base RI'!B210</f>
        <v>La Rippe</v>
      </c>
      <c r="C209" s="495">
        <v>1067949.5788599667</v>
      </c>
      <c r="D209" s="495">
        <v>982354.26327529177</v>
      </c>
      <c r="E209" s="230"/>
      <c r="F209" s="229"/>
      <c r="G209" s="229"/>
      <c r="H209" s="231">
        <f t="shared" si="31"/>
        <v>2050303.8421352585</v>
      </c>
      <c r="I209" s="507">
        <v>60430.074769230778</v>
      </c>
      <c r="J209" s="127">
        <f>'B) D RI'!U210</f>
        <v>62420.845692307696</v>
      </c>
      <c r="K209" s="84">
        <f t="shared" si="29"/>
        <v>33.928533928923962</v>
      </c>
      <c r="L209" s="36">
        <f>'B) D RI'!S210</f>
        <v>65</v>
      </c>
      <c r="M209" s="36">
        <f t="shared" si="24"/>
        <v>31.071466071076038</v>
      </c>
      <c r="N209" s="498">
        <f>'J) Plafonnement effort'!G208+'J) Plafonnement effort'!H208-'K) Plafonnement aide'!I208</f>
        <v>32.283961097089161</v>
      </c>
      <c r="O209" s="191">
        <f t="shared" si="25"/>
        <v>63.3554271681652</v>
      </c>
      <c r="P209" s="51">
        <f t="shared" si="26"/>
        <v>0</v>
      </c>
      <c r="Q209" s="67">
        <f t="shared" si="30"/>
        <v>0</v>
      </c>
      <c r="R209" s="222">
        <f t="shared" si="27"/>
        <v>63.3554271681652</v>
      </c>
      <c r="S209" s="191">
        <f t="shared" si="28"/>
        <v>-1.6445728318348003</v>
      </c>
      <c r="T209" s="221"/>
    </row>
    <row r="210" spans="1:20" x14ac:dyDescent="0.25">
      <c r="A210" s="53">
        <f>'A) Base RI'!A211</f>
        <v>5727</v>
      </c>
      <c r="B210" s="65" t="str">
        <f>'A) Base RI'!B211</f>
        <v>Saint-Cergue</v>
      </c>
      <c r="C210" s="495">
        <v>1680502.4691630988</v>
      </c>
      <c r="D210" s="495">
        <v>904274.61219589284</v>
      </c>
      <c r="E210" s="230"/>
      <c r="F210" s="229"/>
      <c r="G210" s="229"/>
      <c r="H210" s="231">
        <f t="shared" si="31"/>
        <v>2584777.0813589916</v>
      </c>
      <c r="I210" s="507">
        <v>92384.571565656559</v>
      </c>
      <c r="J210" s="127">
        <f>'B) D RI'!U211</f>
        <v>94126.01979797981</v>
      </c>
      <c r="K210" s="84">
        <f t="shared" si="29"/>
        <v>27.978449621558539</v>
      </c>
      <c r="L210" s="36">
        <f>'B) D RI'!S211</f>
        <v>66</v>
      </c>
      <c r="M210" s="36">
        <f t="shared" si="24"/>
        <v>38.021550378441461</v>
      </c>
      <c r="N210" s="498">
        <f>'J) Plafonnement effort'!G209+'J) Plafonnement effort'!H209-'K) Plafonnement aide'!I209</f>
        <v>25.333903582543861</v>
      </c>
      <c r="O210" s="191">
        <f t="shared" si="25"/>
        <v>63.355453960985322</v>
      </c>
      <c r="P210" s="51">
        <f t="shared" si="26"/>
        <v>0</v>
      </c>
      <c r="Q210" s="67">
        <f t="shared" si="30"/>
        <v>0</v>
      </c>
      <c r="R210" s="222">
        <f t="shared" si="27"/>
        <v>63.355453960985322</v>
      </c>
      <c r="S210" s="191">
        <f t="shared" si="28"/>
        <v>-2.6445460390146778</v>
      </c>
      <c r="T210" s="221"/>
    </row>
    <row r="211" spans="1:20" x14ac:dyDescent="0.25">
      <c r="A211" s="53">
        <f>'A) Base RI'!A212</f>
        <v>5728</v>
      </c>
      <c r="B211" s="65" t="str">
        <f>'A) Base RI'!B212</f>
        <v>Signy-Avenex</v>
      </c>
      <c r="C211" s="495">
        <v>672328.98188325576</v>
      </c>
      <c r="D211" s="495">
        <v>497532.65896501543</v>
      </c>
      <c r="E211" s="230"/>
      <c r="F211" s="229"/>
      <c r="G211" s="229"/>
      <c r="H211" s="231">
        <f t="shared" si="31"/>
        <v>1169861.6408482711</v>
      </c>
      <c r="I211" s="507">
        <v>31185.312142857143</v>
      </c>
      <c r="J211" s="127">
        <f>'B) D RI'!U212</f>
        <v>33547.613749999997</v>
      </c>
      <c r="K211" s="84">
        <f t="shared" si="29"/>
        <v>37.513225312263636</v>
      </c>
      <c r="L211" s="36">
        <f>'B) D RI'!S212</f>
        <v>56</v>
      </c>
      <c r="M211" s="36">
        <f t="shared" si="24"/>
        <v>18.486774687736364</v>
      </c>
      <c r="N211" s="498">
        <f>'J) Plafonnement effort'!G210+'J) Plafonnement effort'!H210-'K) Plafonnement aide'!I210</f>
        <v>39.603978556113745</v>
      </c>
      <c r="O211" s="191">
        <f t="shared" si="25"/>
        <v>58.090753243850109</v>
      </c>
      <c r="P211" s="51">
        <f t="shared" si="26"/>
        <v>0</v>
      </c>
      <c r="Q211" s="67">
        <f t="shared" si="30"/>
        <v>0</v>
      </c>
      <c r="R211" s="222">
        <f t="shared" si="27"/>
        <v>58.090753243850109</v>
      </c>
      <c r="S211" s="191">
        <f t="shared" si="28"/>
        <v>2.0907532438501093</v>
      </c>
      <c r="T211" s="221"/>
    </row>
    <row r="212" spans="1:20" x14ac:dyDescent="0.25">
      <c r="A212" s="53">
        <f>'A) Base RI'!A213</f>
        <v>5729</v>
      </c>
      <c r="B212" s="65" t="str">
        <f>'A) Base RI'!B213</f>
        <v>Tannay</v>
      </c>
      <c r="C212" s="495">
        <v>3466694.5307623954</v>
      </c>
      <c r="D212" s="495">
        <v>1831748.6837476715</v>
      </c>
      <c r="E212" s="230"/>
      <c r="F212" s="229"/>
      <c r="G212" s="229"/>
      <c r="H212" s="231">
        <f t="shared" si="31"/>
        <v>5298443.2145100664</v>
      </c>
      <c r="I212" s="507">
        <v>138438.0717486339</v>
      </c>
      <c r="J212" s="127">
        <f>'B) D RI'!U213</f>
        <v>141635.67650273221</v>
      </c>
      <c r="K212" s="84">
        <f t="shared" si="29"/>
        <v>38.27302090808233</v>
      </c>
      <c r="L212" s="36">
        <f>'B) D RI'!S213</f>
        <v>61</v>
      </c>
      <c r="M212" s="36">
        <f t="shared" si="24"/>
        <v>22.72697909191767</v>
      </c>
      <c r="N212" s="498">
        <f>'J) Plafonnement effort'!G211+'J) Plafonnement effort'!H211-'K) Plafonnement aide'!I211</f>
        <v>38.287284024101261</v>
      </c>
      <c r="O212" s="191">
        <f t="shared" si="25"/>
        <v>61.014263116018931</v>
      </c>
      <c r="P212" s="51">
        <f t="shared" si="26"/>
        <v>0</v>
      </c>
      <c r="Q212" s="67">
        <f t="shared" si="30"/>
        <v>0</v>
      </c>
      <c r="R212" s="222">
        <f t="shared" si="27"/>
        <v>61.014263116018931</v>
      </c>
      <c r="S212" s="191">
        <f t="shared" si="28"/>
        <v>1.4263116018931044E-2</v>
      </c>
      <c r="T212" s="221"/>
    </row>
    <row r="213" spans="1:20" x14ac:dyDescent="0.25">
      <c r="A213" s="53">
        <f>'A) Base RI'!A214</f>
        <v>5730</v>
      </c>
      <c r="B213" s="65" t="str">
        <f>'A) Base RI'!B214</f>
        <v>Trélex</v>
      </c>
      <c r="C213" s="495">
        <v>3604526.4969806736</v>
      </c>
      <c r="D213" s="495">
        <v>1900780.5490353552</v>
      </c>
      <c r="E213" s="230"/>
      <c r="F213" s="229"/>
      <c r="G213" s="229"/>
      <c r="H213" s="231">
        <f t="shared" si="31"/>
        <v>5505307.0460160291</v>
      </c>
      <c r="I213" s="507">
        <v>149022.17830188677</v>
      </c>
      <c r="J213" s="127">
        <f>'B) D RI'!U214</f>
        <v>125167.38524366473</v>
      </c>
      <c r="K213" s="84">
        <f t="shared" si="29"/>
        <v>36.942870576374645</v>
      </c>
      <c r="L213" s="36">
        <f>'B) D RI'!S214</f>
        <v>57</v>
      </c>
      <c r="M213" s="36">
        <f t="shared" si="24"/>
        <v>20.057129423625355</v>
      </c>
      <c r="N213" s="498">
        <f>'J) Plafonnement effort'!G212+'J) Plafonnement effort'!H212-'K) Plafonnement aide'!I212</f>
        <v>36.282638070816716</v>
      </c>
      <c r="O213" s="191">
        <f t="shared" si="25"/>
        <v>56.339767494442071</v>
      </c>
      <c r="P213" s="51">
        <f t="shared" si="26"/>
        <v>0</v>
      </c>
      <c r="Q213" s="67">
        <f t="shared" si="30"/>
        <v>0</v>
      </c>
      <c r="R213" s="222">
        <f t="shared" si="27"/>
        <v>56.339767494442071</v>
      </c>
      <c r="S213" s="191">
        <f t="shared" si="28"/>
        <v>-0.66023250555792856</v>
      </c>
      <c r="T213" s="221"/>
    </row>
    <row r="214" spans="1:20" x14ac:dyDescent="0.25">
      <c r="A214" s="53">
        <f>'A) Base RI'!A215</f>
        <v>5731</v>
      </c>
      <c r="B214" s="65" t="str">
        <f>'A) Base RI'!B215</f>
        <v>Le Vaud</v>
      </c>
      <c r="C214" s="495">
        <v>818707.28653497109</v>
      </c>
      <c r="D214" s="495">
        <v>501773.48386896885</v>
      </c>
      <c r="E214" s="230"/>
      <c r="F214" s="229"/>
      <c r="G214" s="229"/>
      <c r="H214" s="231">
        <f t="shared" si="31"/>
        <v>1320480.77040394</v>
      </c>
      <c r="I214" s="507">
        <v>46449.882799999999</v>
      </c>
      <c r="J214" s="127">
        <f>'B) D RI'!U215</f>
        <v>47266.974133333322</v>
      </c>
      <c r="K214" s="84">
        <f t="shared" si="29"/>
        <v>28.428075396649657</v>
      </c>
      <c r="L214" s="36">
        <f>'B) D RI'!S215</f>
        <v>75</v>
      </c>
      <c r="M214" s="36">
        <f t="shared" si="24"/>
        <v>46.57192460335034</v>
      </c>
      <c r="N214" s="498">
        <f>'J) Plafonnement effort'!G213+'J) Plafonnement effort'!H213-'K) Plafonnement aide'!I213</f>
        <v>26.07339622167768</v>
      </c>
      <c r="O214" s="191">
        <f t="shared" si="25"/>
        <v>72.645320825028023</v>
      </c>
      <c r="P214" s="51">
        <f t="shared" si="26"/>
        <v>0</v>
      </c>
      <c r="Q214" s="67">
        <f t="shared" si="30"/>
        <v>0</v>
      </c>
      <c r="R214" s="222">
        <f t="shared" si="27"/>
        <v>72.645320825028023</v>
      </c>
      <c r="S214" s="191">
        <f t="shared" si="28"/>
        <v>-2.3546791749719773</v>
      </c>
      <c r="T214" s="221"/>
    </row>
    <row r="215" spans="1:20" x14ac:dyDescent="0.25">
      <c r="A215" s="53">
        <f>'A) Base RI'!A216</f>
        <v>5732</v>
      </c>
      <c r="B215" s="65" t="str">
        <f>'A) Base RI'!B216</f>
        <v>Vich</v>
      </c>
      <c r="C215" s="495">
        <v>1358489.4189557168</v>
      </c>
      <c r="D215" s="495">
        <v>913605.69994541886</v>
      </c>
      <c r="E215" s="230"/>
      <c r="F215" s="229"/>
      <c r="G215" s="229"/>
      <c r="H215" s="231">
        <f t="shared" si="31"/>
        <v>2272095.1189011354</v>
      </c>
      <c r="I215" s="507">
        <v>57292.894852941186</v>
      </c>
      <c r="J215" s="127">
        <f>'B) D RI'!U216</f>
        <v>76343.818235294122</v>
      </c>
      <c r="K215" s="84">
        <f t="shared" si="29"/>
        <v>39.657537374104166</v>
      </c>
      <c r="L215" s="36">
        <f>'B) D RI'!S216</f>
        <v>68</v>
      </c>
      <c r="M215" s="36">
        <f t="shared" si="24"/>
        <v>28.342462625895834</v>
      </c>
      <c r="N215" s="498">
        <f>'J) Plafonnement effort'!G214+'J) Plafonnement effort'!H214-'K) Plafonnement aide'!I214</f>
        <v>38.40679646345037</v>
      </c>
      <c r="O215" s="191">
        <f t="shared" si="25"/>
        <v>66.749259089346197</v>
      </c>
      <c r="P215" s="51">
        <f t="shared" si="26"/>
        <v>0</v>
      </c>
      <c r="Q215" s="67">
        <f t="shared" si="30"/>
        <v>0</v>
      </c>
      <c r="R215" s="222">
        <f t="shared" si="27"/>
        <v>66.749259089346197</v>
      </c>
      <c r="S215" s="191">
        <f t="shared" si="28"/>
        <v>-1.2507409106538034</v>
      </c>
      <c r="T215" s="221"/>
    </row>
    <row r="216" spans="1:20" x14ac:dyDescent="0.25">
      <c r="A216" s="53">
        <f>'A) Base RI'!A217</f>
        <v>5741</v>
      </c>
      <c r="B216" s="65" t="str">
        <f>'A) Base RI'!B217</f>
        <v>L'Abergement</v>
      </c>
      <c r="C216" s="495">
        <v>116690.0374719761</v>
      </c>
      <c r="D216" s="495">
        <v>2518.0272824590938</v>
      </c>
      <c r="E216" s="230"/>
      <c r="F216" s="229"/>
      <c r="G216" s="229"/>
      <c r="H216" s="231">
        <f t="shared" si="31"/>
        <v>119208.0647544352</v>
      </c>
      <c r="I216" s="507">
        <v>6994.8889917695487</v>
      </c>
      <c r="J216" s="127">
        <f>'B) D RI'!U217</f>
        <v>6474.3855761316872</v>
      </c>
      <c r="K216" s="84">
        <f t="shared" si="29"/>
        <v>17.042166772725047</v>
      </c>
      <c r="L216" s="36">
        <f>'B) D RI'!S217</f>
        <v>81</v>
      </c>
      <c r="M216" s="36">
        <f t="shared" si="24"/>
        <v>63.957833227274953</v>
      </c>
      <c r="N216" s="498">
        <f>'J) Plafonnement effort'!G215+'J) Plafonnement effort'!H215-'K) Plafonnement aide'!I215</f>
        <v>6.3747066576535154</v>
      </c>
      <c r="O216" s="191">
        <f t="shared" si="25"/>
        <v>70.332539884928465</v>
      </c>
      <c r="P216" s="51">
        <f t="shared" si="26"/>
        <v>0</v>
      </c>
      <c r="Q216" s="67">
        <f t="shared" si="30"/>
        <v>0</v>
      </c>
      <c r="R216" s="222">
        <f t="shared" si="27"/>
        <v>70.332539884928465</v>
      </c>
      <c r="S216" s="191">
        <f t="shared" si="28"/>
        <v>-10.667460115071535</v>
      </c>
      <c r="T216" s="221"/>
    </row>
    <row r="217" spans="1:20" x14ac:dyDescent="0.25">
      <c r="A217" s="53">
        <f>'A) Base RI'!A218</f>
        <v>5742</v>
      </c>
      <c r="B217" s="65" t="str">
        <f>'A) Base RI'!B218</f>
        <v>Agiez</v>
      </c>
      <c r="C217" s="495">
        <v>137162.98977954895</v>
      </c>
      <c r="D217" s="495">
        <v>45366.221910589025</v>
      </c>
      <c r="E217" s="230"/>
      <c r="F217" s="229"/>
      <c r="G217" s="229"/>
      <c r="H217" s="231">
        <f t="shared" si="31"/>
        <v>182529.21169013798</v>
      </c>
      <c r="I217" s="507">
        <v>9274.0430263157905</v>
      </c>
      <c r="J217" s="127">
        <f>'B) D RI'!U218</f>
        <v>8406.0221052631568</v>
      </c>
      <c r="K217" s="84">
        <f t="shared" si="29"/>
        <v>19.681730090338991</v>
      </c>
      <c r="L217" s="36">
        <f>'B) D RI'!S218</f>
        <v>76</v>
      </c>
      <c r="M217" s="36">
        <f t="shared" si="24"/>
        <v>56.318269909661012</v>
      </c>
      <c r="N217" s="498">
        <f>'J) Plafonnement effort'!G216+'J) Plafonnement effort'!H216-'K) Plafonnement aide'!I216</f>
        <v>20.393606497082303</v>
      </c>
      <c r="O217" s="191">
        <f t="shared" si="25"/>
        <v>76.711876406743315</v>
      </c>
      <c r="P217" s="51">
        <f t="shared" si="26"/>
        <v>0</v>
      </c>
      <c r="Q217" s="67">
        <f t="shared" si="30"/>
        <v>0</v>
      </c>
      <c r="R217" s="222">
        <f t="shared" si="27"/>
        <v>76.711876406743315</v>
      </c>
      <c r="S217" s="191">
        <f t="shared" si="28"/>
        <v>0.71187640674331476</v>
      </c>
      <c r="T217" s="221"/>
    </row>
    <row r="218" spans="1:20" x14ac:dyDescent="0.25">
      <c r="A218" s="53">
        <f>'A) Base RI'!A219</f>
        <v>5743</v>
      </c>
      <c r="B218" s="65" t="str">
        <f>'A) Base RI'!B219</f>
        <v>Arnex-sur-Orbe</v>
      </c>
      <c r="C218" s="495">
        <v>291366.5682479993</v>
      </c>
      <c r="D218" s="495">
        <v>48719.233408120344</v>
      </c>
      <c r="E218" s="230"/>
      <c r="F218" s="229"/>
      <c r="G218" s="229"/>
      <c r="H218" s="231">
        <f t="shared" si="31"/>
        <v>340085.80165611964</v>
      </c>
      <c r="I218" s="507">
        <v>17348.834349315071</v>
      </c>
      <c r="J218" s="127">
        <f>'B) D RI'!U219</f>
        <v>16157.310890410963</v>
      </c>
      <c r="K218" s="84">
        <f t="shared" si="29"/>
        <v>19.602804131307309</v>
      </c>
      <c r="L218" s="36">
        <f>'B) D RI'!S219</f>
        <v>73</v>
      </c>
      <c r="M218" s="36">
        <f t="shared" si="24"/>
        <v>53.397195868692691</v>
      </c>
      <c r="N218" s="498">
        <f>'J) Plafonnement effort'!G217+'J) Plafonnement effort'!H217-'K) Plafonnement aide'!I217</f>
        <v>9.0380670604493929</v>
      </c>
      <c r="O218" s="191">
        <f t="shared" si="25"/>
        <v>62.435262929142084</v>
      </c>
      <c r="P218" s="51">
        <f t="shared" si="26"/>
        <v>0</v>
      </c>
      <c r="Q218" s="67">
        <f t="shared" si="30"/>
        <v>0</v>
      </c>
      <c r="R218" s="222">
        <f t="shared" si="27"/>
        <v>62.435262929142084</v>
      </c>
      <c r="S218" s="191">
        <f t="shared" si="28"/>
        <v>-10.564737070857916</v>
      </c>
      <c r="T218" s="221"/>
    </row>
    <row r="219" spans="1:20" x14ac:dyDescent="0.25">
      <c r="A219" s="53">
        <f>'A) Base RI'!A220</f>
        <v>5744</v>
      </c>
      <c r="B219" s="65" t="str">
        <f>'A) Base RI'!B220</f>
        <v>Ballaigues</v>
      </c>
      <c r="C219" s="495">
        <v>1037551.9759950788</v>
      </c>
      <c r="D219" s="495">
        <v>861023.7190976257</v>
      </c>
      <c r="E219" s="230"/>
      <c r="F219" s="229"/>
      <c r="G219" s="229"/>
      <c r="H219" s="231">
        <f t="shared" si="31"/>
        <v>1898575.6950927046</v>
      </c>
      <c r="I219" s="507">
        <v>53212.458333333336</v>
      </c>
      <c r="J219" s="127">
        <f>'B) D RI'!U220</f>
        <v>67876.800151515155</v>
      </c>
      <c r="K219" s="84">
        <f t="shared" si="29"/>
        <v>35.679157749105521</v>
      </c>
      <c r="L219" s="36">
        <f>'B) D RI'!S220</f>
        <v>66</v>
      </c>
      <c r="M219" s="36">
        <f t="shared" si="24"/>
        <v>30.320842250894479</v>
      </c>
      <c r="N219" s="498">
        <f>'J) Plafonnement effort'!G218+'J) Plafonnement effort'!H218-'K) Plafonnement aide'!I218</f>
        <v>35.11751551927312</v>
      </c>
      <c r="O219" s="191">
        <f t="shared" si="25"/>
        <v>65.438357770167599</v>
      </c>
      <c r="P219" s="51">
        <f t="shared" si="26"/>
        <v>0</v>
      </c>
      <c r="Q219" s="67">
        <f t="shared" si="30"/>
        <v>0</v>
      </c>
      <c r="R219" s="222">
        <f t="shared" si="27"/>
        <v>65.438357770167599</v>
      </c>
      <c r="S219" s="191">
        <f t="shared" si="28"/>
        <v>-0.56164222983240109</v>
      </c>
      <c r="T219" s="221"/>
    </row>
    <row r="220" spans="1:20" x14ac:dyDescent="0.25">
      <c r="A220" s="53">
        <f>'A) Base RI'!A221</f>
        <v>5745</v>
      </c>
      <c r="B220" s="65" t="str">
        <f>'A) Base RI'!B221</f>
        <v>Baulmes</v>
      </c>
      <c r="C220" s="495">
        <v>488219.58406322286</v>
      </c>
      <c r="D220" s="495">
        <v>-27451.683879749908</v>
      </c>
      <c r="E220" s="230"/>
      <c r="F220" s="229"/>
      <c r="G220" s="229"/>
      <c r="H220" s="231">
        <f t="shared" si="31"/>
        <v>460767.90018347296</v>
      </c>
      <c r="I220" s="507">
        <v>27522.151666666668</v>
      </c>
      <c r="J220" s="127">
        <f>'B) D RI'!U221</f>
        <v>26708.244230769233</v>
      </c>
      <c r="K220" s="84">
        <f t="shared" si="29"/>
        <v>16.741710668702183</v>
      </c>
      <c r="L220" s="36">
        <f>'B) D RI'!S221</f>
        <v>78</v>
      </c>
      <c r="M220" s="36">
        <f t="shared" si="24"/>
        <v>61.258289331297817</v>
      </c>
      <c r="N220" s="498">
        <f>'J) Plafonnement effort'!G219+'J) Plafonnement effort'!H219-'K) Plafonnement aide'!I219</f>
        <v>1.3936912534437589</v>
      </c>
      <c r="O220" s="191">
        <f t="shared" si="25"/>
        <v>62.65198058474158</v>
      </c>
      <c r="P220" s="51">
        <f t="shared" si="26"/>
        <v>0</v>
      </c>
      <c r="Q220" s="67">
        <f t="shared" si="30"/>
        <v>0</v>
      </c>
      <c r="R220" s="222">
        <f t="shared" si="27"/>
        <v>62.65198058474158</v>
      </c>
      <c r="S220" s="191">
        <f t="shared" si="28"/>
        <v>-15.34801941525842</v>
      </c>
      <c r="T220" s="221"/>
    </row>
    <row r="221" spans="1:20" x14ac:dyDescent="0.25">
      <c r="A221" s="53">
        <f>'A) Base RI'!A222</f>
        <v>5746</v>
      </c>
      <c r="B221" s="65" t="str">
        <f>'A) Base RI'!B222</f>
        <v>Bavois</v>
      </c>
      <c r="C221" s="495">
        <v>411778.61366407911</v>
      </c>
      <c r="D221" s="495">
        <v>-11537.162606304802</v>
      </c>
      <c r="E221" s="230"/>
      <c r="F221" s="229"/>
      <c r="G221" s="229"/>
      <c r="H221" s="231">
        <f t="shared" si="31"/>
        <v>400241.45105777431</v>
      </c>
      <c r="I221" s="507">
        <v>23930.083584474884</v>
      </c>
      <c r="J221" s="127">
        <f>'B) D RI'!U222</f>
        <v>26575.73502283105</v>
      </c>
      <c r="K221" s="84">
        <f t="shared" si="29"/>
        <v>16.725451444617555</v>
      </c>
      <c r="L221" s="36">
        <f>'B) D RI'!S222</f>
        <v>73</v>
      </c>
      <c r="M221" s="36">
        <f t="shared" si="24"/>
        <v>56.274548555382445</v>
      </c>
      <c r="N221" s="498">
        <f>'J) Plafonnement effort'!G220+'J) Plafonnement effort'!H220-'K) Plafonnement aide'!I220</f>
        <v>12.053547741740445</v>
      </c>
      <c r="O221" s="191">
        <f t="shared" si="25"/>
        <v>68.328096297122897</v>
      </c>
      <c r="P221" s="51">
        <f t="shared" si="26"/>
        <v>0</v>
      </c>
      <c r="Q221" s="67">
        <f t="shared" si="30"/>
        <v>0</v>
      </c>
      <c r="R221" s="222">
        <f t="shared" si="27"/>
        <v>68.328096297122897</v>
      </c>
      <c r="S221" s="191">
        <f t="shared" si="28"/>
        <v>-4.6719037028771027</v>
      </c>
      <c r="T221" s="221"/>
    </row>
    <row r="222" spans="1:20" x14ac:dyDescent="0.25">
      <c r="A222" s="53">
        <f>'A) Base RI'!A223</f>
        <v>5747</v>
      </c>
      <c r="B222" s="65" t="str">
        <f>'A) Base RI'!B223</f>
        <v>Bofflens</v>
      </c>
      <c r="C222" s="495">
        <v>81351.471443243441</v>
      </c>
      <c r="D222" s="495">
        <v>21005.812539557432</v>
      </c>
      <c r="E222" s="230"/>
      <c r="F222" s="229"/>
      <c r="G222" s="229"/>
      <c r="H222" s="231">
        <f t="shared" si="31"/>
        <v>102357.28398280087</v>
      </c>
      <c r="I222" s="507">
        <v>5183.441884057971</v>
      </c>
      <c r="J222" s="127">
        <f>'B) D RI'!U223</f>
        <v>5307.8250724637683</v>
      </c>
      <c r="K222" s="84">
        <f t="shared" si="29"/>
        <v>19.746972431119115</v>
      </c>
      <c r="L222" s="36">
        <f>'B) D RI'!S223</f>
        <v>69</v>
      </c>
      <c r="M222" s="36">
        <f t="shared" si="24"/>
        <v>49.253027568880881</v>
      </c>
      <c r="N222" s="498">
        <f>'J) Plafonnement effort'!G221+'J) Plafonnement effort'!H221-'K) Plafonnement aide'!I221</f>
        <v>19.009628064065375</v>
      </c>
      <c r="O222" s="191">
        <f t="shared" si="25"/>
        <v>68.262655632946263</v>
      </c>
      <c r="P222" s="51">
        <f t="shared" si="26"/>
        <v>0</v>
      </c>
      <c r="Q222" s="67">
        <f t="shared" si="30"/>
        <v>0</v>
      </c>
      <c r="R222" s="222">
        <f t="shared" si="27"/>
        <v>68.262655632946263</v>
      </c>
      <c r="S222" s="191">
        <f t="shared" si="28"/>
        <v>-0.73734436705373696</v>
      </c>
      <c r="T222" s="221"/>
    </row>
    <row r="223" spans="1:20" x14ac:dyDescent="0.25">
      <c r="A223" s="53">
        <f>'A) Base RI'!A224</f>
        <v>5748</v>
      </c>
      <c r="B223" s="65" t="str">
        <f>'A) Base RI'!B224</f>
        <v>Bretonnières</v>
      </c>
      <c r="C223" s="495">
        <v>114296.48808540995</v>
      </c>
      <c r="D223" s="495">
        <v>-11461.634471442914</v>
      </c>
      <c r="E223" s="230"/>
      <c r="F223" s="229"/>
      <c r="G223" s="229"/>
      <c r="H223" s="231">
        <f t="shared" si="31"/>
        <v>102834.85361396703</v>
      </c>
      <c r="I223" s="507">
        <v>6140.8540277777784</v>
      </c>
      <c r="J223" s="127">
        <f>'B) D RI'!U224</f>
        <v>7260.9913888888877</v>
      </c>
      <c r="K223" s="84">
        <f t="shared" si="29"/>
        <v>16.746018249057844</v>
      </c>
      <c r="L223" s="36">
        <f>'B) D RI'!S224</f>
        <v>72</v>
      </c>
      <c r="M223" s="36">
        <f t="shared" si="24"/>
        <v>55.25398175094216</v>
      </c>
      <c r="N223" s="498">
        <f>'J) Plafonnement effort'!G222+'J) Plafonnement effort'!H222-'K) Plafonnement aide'!I222</f>
        <v>12.965863317722583</v>
      </c>
      <c r="O223" s="191">
        <f t="shared" si="25"/>
        <v>68.219845068664739</v>
      </c>
      <c r="P223" s="51">
        <f t="shared" si="26"/>
        <v>0</v>
      </c>
      <c r="Q223" s="67">
        <f t="shared" si="30"/>
        <v>0</v>
      </c>
      <c r="R223" s="222">
        <f t="shared" si="27"/>
        <v>68.219845068664739</v>
      </c>
      <c r="S223" s="191">
        <f t="shared" si="28"/>
        <v>-3.7801549313352609</v>
      </c>
      <c r="T223" s="221"/>
    </row>
    <row r="224" spans="1:20" x14ac:dyDescent="0.25">
      <c r="A224" s="53">
        <f>'A) Base RI'!A225</f>
        <v>5749</v>
      </c>
      <c r="B224" s="65" t="str">
        <f>'A) Base RI'!B225</f>
        <v>Chavornay</v>
      </c>
      <c r="C224" s="495">
        <v>1873706.2232551237</v>
      </c>
      <c r="D224" s="495">
        <v>-785564.69501338061</v>
      </c>
      <c r="E224" s="230"/>
      <c r="F224" s="229"/>
      <c r="G224" s="229"/>
      <c r="H224" s="231">
        <f t="shared" si="31"/>
        <v>1088141.5282417431</v>
      </c>
      <c r="I224" s="507">
        <v>110381.46250000001</v>
      </c>
      <c r="J224" s="127">
        <f>'B) D RI'!U225</f>
        <v>119889.98763888891</v>
      </c>
      <c r="K224" s="84">
        <f t="shared" si="29"/>
        <v>9.858009701961894</v>
      </c>
      <c r="L224" s="36">
        <f>'B) D RI'!S225</f>
        <v>72</v>
      </c>
      <c r="M224" s="36">
        <f t="shared" si="24"/>
        <v>62.14199029803811</v>
      </c>
      <c r="N224" s="498">
        <f>'J) Plafonnement effort'!G223+'J) Plafonnement effort'!H223-'K) Plafonnement aide'!I223</f>
        <v>10.115795417891723</v>
      </c>
      <c r="O224" s="191">
        <f t="shared" si="25"/>
        <v>72.257785715929828</v>
      </c>
      <c r="P224" s="51">
        <f t="shared" si="26"/>
        <v>0</v>
      </c>
      <c r="Q224" s="67">
        <f t="shared" si="30"/>
        <v>0</v>
      </c>
      <c r="R224" s="222">
        <f t="shared" si="27"/>
        <v>72.257785715929828</v>
      </c>
      <c r="S224" s="191">
        <f t="shared" si="28"/>
        <v>0.25778571592982757</v>
      </c>
      <c r="T224" s="221"/>
    </row>
    <row r="225" spans="1:20" x14ac:dyDescent="0.25">
      <c r="A225" s="53">
        <f>'A) Base RI'!A226</f>
        <v>5750</v>
      </c>
      <c r="B225" s="65" t="str">
        <f>'A) Base RI'!B226</f>
        <v>Les Clées</v>
      </c>
      <c r="C225" s="495">
        <v>68544.883476729141</v>
      </c>
      <c r="D225" s="495">
        <v>-33098.471955845351</v>
      </c>
      <c r="E225" s="230"/>
      <c r="F225" s="229"/>
      <c r="G225" s="229"/>
      <c r="H225" s="231">
        <f t="shared" si="31"/>
        <v>35446.41152088379</v>
      </c>
      <c r="I225" s="507">
        <v>4366.1146666666664</v>
      </c>
      <c r="J225" s="127">
        <f>'B) D RI'!U226</f>
        <v>4790.0727916666665</v>
      </c>
      <c r="K225" s="84">
        <f t="shared" si="29"/>
        <v>8.1185251023069309</v>
      </c>
      <c r="L225" s="36">
        <f>'B) D RI'!S226</f>
        <v>80</v>
      </c>
      <c r="M225" s="36">
        <f t="shared" ref="M225:M269" si="32">L225-K225</f>
        <v>71.881474897693067</v>
      </c>
      <c r="N225" s="498">
        <f>'J) Plafonnement effort'!G224+'J) Plafonnement effort'!H224-'K) Plafonnement aide'!I224</f>
        <v>6.8536856481164232</v>
      </c>
      <c r="O225" s="191">
        <f t="shared" ref="O225:O269" si="33">M225+N225</f>
        <v>78.735160545809492</v>
      </c>
      <c r="P225" s="51">
        <f t="shared" ref="P225:P269" si="34">IF(O225&gt;$P$5,$P$5-O225,0)</f>
        <v>0</v>
      </c>
      <c r="Q225" s="67">
        <f t="shared" si="30"/>
        <v>0</v>
      </c>
      <c r="R225" s="222">
        <f t="shared" ref="R225:R269" si="35">O225+P225</f>
        <v>78.735160545809492</v>
      </c>
      <c r="S225" s="191">
        <f t="shared" ref="S225:S269" si="36">R225-L225</f>
        <v>-1.2648394541905077</v>
      </c>
      <c r="T225" s="221"/>
    </row>
    <row r="226" spans="1:20" x14ac:dyDescent="0.25">
      <c r="A226" s="53">
        <f>'A) Base RI'!A227</f>
        <v>5751</v>
      </c>
      <c r="B226" s="65" t="str">
        <f>'A) Base RI'!B227</f>
        <v>Corcelles-sur-Chavornay</v>
      </c>
      <c r="C226" s="495">
        <v>164021.74865514983</v>
      </c>
      <c r="D226" s="495">
        <v>-22582.789868279942</v>
      </c>
      <c r="E226" s="230"/>
      <c r="F226" s="229"/>
      <c r="G226" s="229"/>
      <c r="H226" s="231">
        <f t="shared" si="31"/>
        <v>141438.95878686989</v>
      </c>
      <c r="I226" s="507">
        <v>8804.0960526315775</v>
      </c>
      <c r="J226" s="127">
        <f>'B) D RI'!U227</f>
        <v>8772.6488157894728</v>
      </c>
      <c r="K226" s="84">
        <f t="shared" si="29"/>
        <v>16.065131268597785</v>
      </c>
      <c r="L226" s="36">
        <f>'B) D RI'!S227</f>
        <v>76</v>
      </c>
      <c r="M226" s="36">
        <f t="shared" si="32"/>
        <v>59.934868731402219</v>
      </c>
      <c r="N226" s="498">
        <f>'J) Plafonnement effort'!G225+'J) Plafonnement effort'!H225-'K) Plafonnement aide'!I225</f>
        <v>3.085782284428026</v>
      </c>
      <c r="O226" s="191">
        <f t="shared" si="33"/>
        <v>63.020651015830246</v>
      </c>
      <c r="P226" s="51">
        <f t="shared" si="34"/>
        <v>0</v>
      </c>
      <c r="Q226" s="67">
        <f t="shared" si="30"/>
        <v>0</v>
      </c>
      <c r="R226" s="222">
        <f t="shared" si="35"/>
        <v>63.020651015830246</v>
      </c>
      <c r="S226" s="191">
        <f t="shared" si="36"/>
        <v>-12.979348984169754</v>
      </c>
      <c r="T226" s="221"/>
    </row>
    <row r="227" spans="1:20" x14ac:dyDescent="0.25">
      <c r="A227" s="53">
        <f>'A) Base RI'!A228</f>
        <v>5752</v>
      </c>
      <c r="B227" s="65" t="str">
        <f>'A) Base RI'!B228</f>
        <v>Croy</v>
      </c>
      <c r="C227" s="495">
        <v>248718.14064441656</v>
      </c>
      <c r="D227" s="495">
        <v>224586.72447802575</v>
      </c>
      <c r="E227" s="230"/>
      <c r="F227" s="229"/>
      <c r="G227" s="229"/>
      <c r="H227" s="231">
        <f t="shared" si="31"/>
        <v>473304.86512244231</v>
      </c>
      <c r="I227" s="507">
        <v>14303.968204633204</v>
      </c>
      <c r="J227" s="127">
        <f>'B) D RI'!U228</f>
        <v>9213.5061196911174</v>
      </c>
      <c r="K227" s="84">
        <f t="shared" ref="K227:K273" si="37">H227/I227</f>
        <v>33.089060207022406</v>
      </c>
      <c r="L227" s="36">
        <f>'B) D RI'!S228</f>
        <v>74</v>
      </c>
      <c r="M227" s="36">
        <f t="shared" si="32"/>
        <v>40.910939792977594</v>
      </c>
      <c r="N227" s="498">
        <f>'J) Plafonnement effort'!G226+'J) Plafonnement effort'!H226-'K) Plafonnement aide'!I226</f>
        <v>-24.693626277959289</v>
      </c>
      <c r="O227" s="191">
        <f t="shared" si="33"/>
        <v>16.217313515018304</v>
      </c>
      <c r="P227" s="51">
        <f t="shared" si="34"/>
        <v>0</v>
      </c>
      <c r="Q227" s="67">
        <f t="shared" si="30"/>
        <v>0</v>
      </c>
      <c r="R227" s="222">
        <f t="shared" si="35"/>
        <v>16.217313515018304</v>
      </c>
      <c r="S227" s="191">
        <f t="shared" si="36"/>
        <v>-57.782686484981696</v>
      </c>
      <c r="T227" s="221"/>
    </row>
    <row r="228" spans="1:20" x14ac:dyDescent="0.25">
      <c r="A228" s="53">
        <f>'A) Base RI'!A229</f>
        <v>5754</v>
      </c>
      <c r="B228" s="65" t="str">
        <f>'A) Base RI'!B229</f>
        <v>Juriens</v>
      </c>
      <c r="C228" s="495">
        <v>111919.04790927938</v>
      </c>
      <c r="D228" s="495">
        <v>-76457.545749730649</v>
      </c>
      <c r="E228" s="230"/>
      <c r="F228" s="229"/>
      <c r="G228" s="229"/>
      <c r="H228" s="231">
        <f t="shared" si="31"/>
        <v>35461.502159548734</v>
      </c>
      <c r="I228" s="507">
        <v>6475.8115189873415</v>
      </c>
      <c r="J228" s="127">
        <f>'B) D RI'!U229</f>
        <v>7202.565316455697</v>
      </c>
      <c r="K228" s="84">
        <f t="shared" si="37"/>
        <v>5.4759935578072607</v>
      </c>
      <c r="L228" s="36">
        <f>'B) D RI'!S229</f>
        <v>79</v>
      </c>
      <c r="M228" s="36">
        <f t="shared" si="32"/>
        <v>73.524006442192743</v>
      </c>
      <c r="N228" s="498">
        <f>'J) Plafonnement effort'!G227+'J) Plafonnement effort'!H227-'K) Plafonnement aide'!I227</f>
        <v>4.5838087579144826</v>
      </c>
      <c r="O228" s="191">
        <f t="shared" si="33"/>
        <v>78.107815200107225</v>
      </c>
      <c r="P228" s="51">
        <f t="shared" si="34"/>
        <v>0</v>
      </c>
      <c r="Q228" s="67">
        <f t="shared" ref="Q228:Q274" si="38">P228*J228</f>
        <v>0</v>
      </c>
      <c r="R228" s="222">
        <f t="shared" si="35"/>
        <v>78.107815200107225</v>
      </c>
      <c r="S228" s="191">
        <f t="shared" si="36"/>
        <v>-0.89218479989277455</v>
      </c>
      <c r="T228" s="221"/>
    </row>
    <row r="229" spans="1:20" x14ac:dyDescent="0.25">
      <c r="A229" s="53">
        <f>'A) Base RI'!A230</f>
        <v>5755</v>
      </c>
      <c r="B229" s="65" t="str">
        <f>'A) Base RI'!B230</f>
        <v>Lignerolle</v>
      </c>
      <c r="C229" s="495">
        <v>169248.81525812214</v>
      </c>
      <c r="D229" s="495">
        <v>-92014.960391894128</v>
      </c>
      <c r="E229" s="230"/>
      <c r="F229" s="229"/>
      <c r="G229" s="229"/>
      <c r="H229" s="231">
        <f t="shared" si="31"/>
        <v>77233.854866228008</v>
      </c>
      <c r="I229" s="507">
        <v>8871.4906525573169</v>
      </c>
      <c r="J229" s="127">
        <f>'B) D RI'!U230</f>
        <v>9116.1979107142852</v>
      </c>
      <c r="K229" s="84">
        <f t="shared" si="37"/>
        <v>8.7058486438200102</v>
      </c>
      <c r="L229" s="36">
        <f>'B) D RI'!S230</f>
        <v>80</v>
      </c>
      <c r="M229" s="36">
        <f t="shared" si="32"/>
        <v>71.294151356179995</v>
      </c>
      <c r="N229" s="498">
        <f>'J) Plafonnement effort'!G228+'J) Plafonnement effort'!H228-'K) Plafonnement aide'!I228</f>
        <v>-11.050781140350987</v>
      </c>
      <c r="O229" s="191">
        <f t="shared" si="33"/>
        <v>60.24337021582901</v>
      </c>
      <c r="P229" s="51">
        <f t="shared" si="34"/>
        <v>0</v>
      </c>
      <c r="Q229" s="67">
        <f t="shared" si="38"/>
        <v>0</v>
      </c>
      <c r="R229" s="222">
        <f t="shared" si="35"/>
        <v>60.24337021582901</v>
      </c>
      <c r="S229" s="191">
        <f t="shared" si="36"/>
        <v>-19.75662978417099</v>
      </c>
      <c r="T229" s="221"/>
    </row>
    <row r="230" spans="1:20" x14ac:dyDescent="0.25">
      <c r="A230" s="53">
        <f>'A) Base RI'!A231</f>
        <v>5756</v>
      </c>
      <c r="B230" s="65" t="str">
        <f>'A) Base RI'!B231</f>
        <v>Montcherand</v>
      </c>
      <c r="C230" s="495">
        <v>246451.63444228738</v>
      </c>
      <c r="D230" s="495">
        <v>115735.30119586393</v>
      </c>
      <c r="E230" s="230"/>
      <c r="F230" s="229"/>
      <c r="G230" s="229"/>
      <c r="H230" s="231">
        <f t="shared" si="31"/>
        <v>362186.93563815131</v>
      </c>
      <c r="I230" s="507">
        <v>14808.245169082125</v>
      </c>
      <c r="J230" s="127">
        <f>'B) D RI'!U231</f>
        <v>14643.939999999999</v>
      </c>
      <c r="K230" s="84">
        <f t="shared" si="37"/>
        <v>24.458464288149081</v>
      </c>
      <c r="L230" s="36">
        <f>'B) D RI'!S231</f>
        <v>72</v>
      </c>
      <c r="M230" s="36">
        <f t="shared" si="32"/>
        <v>47.541535711850919</v>
      </c>
      <c r="N230" s="498">
        <f>'J) Plafonnement effort'!G229+'J) Plafonnement effort'!H229-'K) Plafonnement aide'!I229</f>
        <v>22.650314037224959</v>
      </c>
      <c r="O230" s="191">
        <f t="shared" si="33"/>
        <v>70.191849749075885</v>
      </c>
      <c r="P230" s="51">
        <f t="shared" si="34"/>
        <v>0</v>
      </c>
      <c r="Q230" s="67">
        <f t="shared" si="38"/>
        <v>0</v>
      </c>
      <c r="R230" s="222">
        <f t="shared" si="35"/>
        <v>70.191849749075885</v>
      </c>
      <c r="S230" s="191">
        <f t="shared" si="36"/>
        <v>-1.8081502509241147</v>
      </c>
      <c r="T230" s="221"/>
    </row>
    <row r="231" spans="1:20" x14ac:dyDescent="0.25">
      <c r="A231" s="53">
        <f>'A) Base RI'!A232</f>
        <v>5757</v>
      </c>
      <c r="B231" s="65" t="str">
        <f>'A) Base RI'!B232</f>
        <v>Orbe</v>
      </c>
      <c r="C231" s="495">
        <v>4257401.3613795061</v>
      </c>
      <c r="D231" s="495">
        <v>-688480.33483777801</v>
      </c>
      <c r="E231" s="230"/>
      <c r="F231" s="229"/>
      <c r="G231" s="229"/>
      <c r="H231" s="231">
        <f t="shared" si="31"/>
        <v>3568921.0265417281</v>
      </c>
      <c r="I231" s="507">
        <v>210430.38166666671</v>
      </c>
      <c r="J231" s="127">
        <f>'B) D RI'!U232</f>
        <v>219459.11337837842</v>
      </c>
      <c r="K231" s="84">
        <f t="shared" si="37"/>
        <v>16.960103376113697</v>
      </c>
      <c r="L231" s="36">
        <f>'B) D RI'!S232</f>
        <v>74</v>
      </c>
      <c r="M231" s="36">
        <f t="shared" si="32"/>
        <v>57.039896623886307</v>
      </c>
      <c r="N231" s="498">
        <f>'J) Plafonnement effort'!G230+'J) Plafonnement effort'!H230-'K) Plafonnement aide'!I230</f>
        <v>10.675373488403226</v>
      </c>
      <c r="O231" s="191">
        <f t="shared" si="33"/>
        <v>67.715270112289531</v>
      </c>
      <c r="P231" s="51">
        <f t="shared" si="34"/>
        <v>0</v>
      </c>
      <c r="Q231" s="67">
        <f t="shared" si="38"/>
        <v>0</v>
      </c>
      <c r="R231" s="222">
        <f t="shared" si="35"/>
        <v>67.715270112289531</v>
      </c>
      <c r="S231" s="191">
        <f t="shared" si="36"/>
        <v>-6.2847298877104691</v>
      </c>
      <c r="T231" s="221"/>
    </row>
    <row r="232" spans="1:20" x14ac:dyDescent="0.25">
      <c r="A232" s="53">
        <f>'A) Base RI'!A233</f>
        <v>5758</v>
      </c>
      <c r="B232" s="65" t="str">
        <f>'A) Base RI'!B233</f>
        <v>La Praz</v>
      </c>
      <c r="C232" s="495">
        <v>61854.99152295466</v>
      </c>
      <c r="D232" s="495">
        <v>-29767.400722912746</v>
      </c>
      <c r="E232" s="230"/>
      <c r="F232" s="229"/>
      <c r="G232" s="229"/>
      <c r="H232" s="231">
        <f t="shared" si="31"/>
        <v>32087.590800041915</v>
      </c>
      <c r="I232" s="507">
        <v>3864.2083668005353</v>
      </c>
      <c r="J232" s="127">
        <f>'B) D RI'!U233</f>
        <v>3792.6817536813919</v>
      </c>
      <c r="K232" s="84">
        <f t="shared" si="37"/>
        <v>8.3037941420870141</v>
      </c>
      <c r="L232" s="36">
        <f>'B) D RI'!S233</f>
        <v>83</v>
      </c>
      <c r="M232" s="36">
        <f t="shared" si="32"/>
        <v>74.696205857912986</v>
      </c>
      <c r="N232" s="498">
        <f>'J) Plafonnement effort'!G231+'J) Plafonnement effort'!H231-'K) Plafonnement aide'!I231</f>
        <v>1.9921793809087331</v>
      </c>
      <c r="O232" s="191">
        <f t="shared" si="33"/>
        <v>76.688385238821724</v>
      </c>
      <c r="P232" s="51">
        <f t="shared" si="34"/>
        <v>0</v>
      </c>
      <c r="Q232" s="67">
        <f t="shared" si="38"/>
        <v>0</v>
      </c>
      <c r="R232" s="222">
        <f t="shared" si="35"/>
        <v>76.688385238821724</v>
      </c>
      <c r="S232" s="191">
        <f t="shared" si="36"/>
        <v>-6.3116147611782765</v>
      </c>
      <c r="T232" s="221"/>
    </row>
    <row r="233" spans="1:20" x14ac:dyDescent="0.25">
      <c r="A233" s="53">
        <f>'A) Base RI'!A234</f>
        <v>5759</v>
      </c>
      <c r="B233" s="65" t="str">
        <f>'A) Base RI'!B234</f>
        <v>Premier</v>
      </c>
      <c r="C233" s="495">
        <v>75950.39186863444</v>
      </c>
      <c r="D233" s="495">
        <v>-25672.221095839719</v>
      </c>
      <c r="E233" s="230"/>
      <c r="F233" s="229"/>
      <c r="G233" s="229"/>
      <c r="H233" s="231">
        <f t="shared" si="31"/>
        <v>50278.170772794721</v>
      </c>
      <c r="I233" s="507">
        <v>4558.7250617283944</v>
      </c>
      <c r="J233" s="127">
        <f>'B) D RI'!U234</f>
        <v>4689.5245679012341</v>
      </c>
      <c r="K233" s="84">
        <f t="shared" si="37"/>
        <v>11.028998259818779</v>
      </c>
      <c r="L233" s="36">
        <f>'B) D RI'!S234</f>
        <v>81</v>
      </c>
      <c r="M233" s="36">
        <f t="shared" si="32"/>
        <v>69.971001740181222</v>
      </c>
      <c r="N233" s="498">
        <f>'J) Plafonnement effort'!G232+'J) Plafonnement effort'!H232-'K) Plafonnement aide'!I232</f>
        <v>-8.4602449703632949</v>
      </c>
      <c r="O233" s="191">
        <f t="shared" si="33"/>
        <v>61.510756769817931</v>
      </c>
      <c r="P233" s="51">
        <f t="shared" si="34"/>
        <v>0</v>
      </c>
      <c r="Q233" s="67">
        <f t="shared" si="38"/>
        <v>0</v>
      </c>
      <c r="R233" s="222">
        <f t="shared" si="35"/>
        <v>61.510756769817931</v>
      </c>
      <c r="S233" s="191">
        <f t="shared" si="36"/>
        <v>-19.489243230182069</v>
      </c>
      <c r="T233" s="221"/>
    </row>
    <row r="234" spans="1:20" x14ac:dyDescent="0.25">
      <c r="A234" s="53">
        <f>'A) Base RI'!A235</f>
        <v>5760</v>
      </c>
      <c r="B234" s="65" t="str">
        <f>'A) Base RI'!B235</f>
        <v>Rances</v>
      </c>
      <c r="C234" s="495">
        <v>190051.65144725845</v>
      </c>
      <c r="D234" s="495">
        <v>-41498.846636989911</v>
      </c>
      <c r="E234" s="230"/>
      <c r="F234" s="229"/>
      <c r="G234" s="229"/>
      <c r="H234" s="231">
        <f t="shared" si="31"/>
        <v>148552.80481026854</v>
      </c>
      <c r="I234" s="507">
        <v>11470.274871794873</v>
      </c>
      <c r="J234" s="127">
        <f>'B) D RI'!U235</f>
        <v>13227.609572649571</v>
      </c>
      <c r="K234" s="84">
        <f t="shared" si="37"/>
        <v>12.951111152144774</v>
      </c>
      <c r="L234" s="36">
        <f>'B) D RI'!S235</f>
        <v>78</v>
      </c>
      <c r="M234" s="36">
        <f t="shared" si="32"/>
        <v>65.048888847855224</v>
      </c>
      <c r="N234" s="498">
        <f>'J) Plafonnement effort'!G233+'J) Plafonnement effort'!H233-'K) Plafonnement aide'!I233</f>
        <v>15.490753413600867</v>
      </c>
      <c r="O234" s="191">
        <f t="shared" si="33"/>
        <v>80.539642261456095</v>
      </c>
      <c r="P234" s="51">
        <f t="shared" si="34"/>
        <v>0</v>
      </c>
      <c r="Q234" s="67">
        <f t="shared" si="38"/>
        <v>0</v>
      </c>
      <c r="R234" s="222">
        <f t="shared" si="35"/>
        <v>80.539642261456095</v>
      </c>
      <c r="S234" s="191">
        <f t="shared" si="36"/>
        <v>2.5396422614560947</v>
      </c>
      <c r="T234" s="221"/>
    </row>
    <row r="235" spans="1:20" x14ac:dyDescent="0.25">
      <c r="A235" s="53">
        <f>'A) Base RI'!A236</f>
        <v>5761</v>
      </c>
      <c r="B235" s="65" t="str">
        <f>'A) Base RI'!B236</f>
        <v>Romainmôtier-Envy</v>
      </c>
      <c r="C235" s="495">
        <v>205795.93285781814</v>
      </c>
      <c r="D235" s="495">
        <v>-107653.09767484106</v>
      </c>
      <c r="E235" s="230"/>
      <c r="F235" s="229"/>
      <c r="G235" s="229"/>
      <c r="H235" s="231">
        <f t="shared" si="31"/>
        <v>98142.835182977084</v>
      </c>
      <c r="I235" s="507">
        <v>11347.35572368421</v>
      </c>
      <c r="J235" s="127">
        <f>'B) D RI'!U236</f>
        <v>12165.915592105261</v>
      </c>
      <c r="K235" s="84">
        <f t="shared" si="37"/>
        <v>8.6489608304191332</v>
      </c>
      <c r="L235" s="36">
        <f>'B) D RI'!S236</f>
        <v>76</v>
      </c>
      <c r="M235" s="36">
        <f t="shared" si="32"/>
        <v>67.351039169580872</v>
      </c>
      <c r="N235" s="498">
        <f>'J) Plafonnement effort'!G234+'J) Plafonnement effort'!H234-'K) Plafonnement aide'!I234</f>
        <v>8.396554320454527</v>
      </c>
      <c r="O235" s="191">
        <f t="shared" si="33"/>
        <v>75.747593490035399</v>
      </c>
      <c r="P235" s="51">
        <f t="shared" si="34"/>
        <v>0</v>
      </c>
      <c r="Q235" s="67">
        <f t="shared" si="38"/>
        <v>0</v>
      </c>
      <c r="R235" s="222">
        <f t="shared" si="35"/>
        <v>75.747593490035399</v>
      </c>
      <c r="S235" s="191">
        <f t="shared" si="36"/>
        <v>-0.2524065099646009</v>
      </c>
      <c r="T235" s="221"/>
    </row>
    <row r="236" spans="1:20" x14ac:dyDescent="0.25">
      <c r="A236" s="53">
        <f>'A) Base RI'!A237</f>
        <v>5762</v>
      </c>
      <c r="B236" s="65" t="str">
        <f>'A) Base RI'!B237</f>
        <v>Sergey</v>
      </c>
      <c r="C236" s="495">
        <v>45861.685123545576</v>
      </c>
      <c r="D236" s="495">
        <v>-39764.112593581907</v>
      </c>
      <c r="E236" s="230"/>
      <c r="F236" s="229"/>
      <c r="G236" s="229"/>
      <c r="H236" s="231">
        <f t="shared" si="31"/>
        <v>6097.5725299636688</v>
      </c>
      <c r="I236" s="507">
        <v>3104.8092592592593</v>
      </c>
      <c r="J236" s="127">
        <f>'B) D RI'!U237</f>
        <v>3586.5485897435897</v>
      </c>
      <c r="K236" s="84">
        <f t="shared" si="37"/>
        <v>1.963912118523641</v>
      </c>
      <c r="L236" s="36">
        <f>'B) D RI'!S237</f>
        <v>78</v>
      </c>
      <c r="M236" s="36">
        <f t="shared" si="32"/>
        <v>76.036087881476362</v>
      </c>
      <c r="N236" s="498">
        <f>'J) Plafonnement effort'!G235+'J) Plafonnement effort'!H235-'K) Plafonnement aide'!I235</f>
        <v>5.5871378911391307</v>
      </c>
      <c r="O236" s="191">
        <f t="shared" si="33"/>
        <v>81.623225772615498</v>
      </c>
      <c r="P236" s="51">
        <f t="shared" si="34"/>
        <v>0</v>
      </c>
      <c r="Q236" s="67">
        <f t="shared" si="38"/>
        <v>0</v>
      </c>
      <c r="R236" s="222">
        <f t="shared" si="35"/>
        <v>81.623225772615498</v>
      </c>
      <c r="S236" s="191">
        <f t="shared" si="36"/>
        <v>3.6232257726154984</v>
      </c>
      <c r="T236" s="221"/>
    </row>
    <row r="237" spans="1:20" x14ac:dyDescent="0.25">
      <c r="A237" s="53">
        <f>'A) Base RI'!A238</f>
        <v>5763</v>
      </c>
      <c r="B237" s="65" t="str">
        <f>'A) Base RI'!B238</f>
        <v>Valeyres-sous-Rances</v>
      </c>
      <c r="C237" s="495">
        <v>289147.13177679206</v>
      </c>
      <c r="D237" s="495">
        <v>54074.013776354142</v>
      </c>
      <c r="E237" s="230"/>
      <c r="F237" s="229"/>
      <c r="G237" s="229"/>
      <c r="H237" s="231">
        <f t="shared" si="31"/>
        <v>343221.1455531462</v>
      </c>
      <c r="I237" s="507">
        <v>16129.151764705883</v>
      </c>
      <c r="J237" s="127">
        <f>'B) D RI'!U238</f>
        <v>16085.850769230768</v>
      </c>
      <c r="K237" s="84">
        <f t="shared" si="37"/>
        <v>21.279553355322086</v>
      </c>
      <c r="L237" s="36">
        <f>'B) D RI'!S238</f>
        <v>65</v>
      </c>
      <c r="M237" s="36">
        <f t="shared" si="32"/>
        <v>43.720446644677914</v>
      </c>
      <c r="N237" s="498">
        <f>'J) Plafonnement effort'!G236+'J) Plafonnement effort'!H236-'K) Plafonnement aide'!I236</f>
        <v>12.31547750713136</v>
      </c>
      <c r="O237" s="191">
        <f t="shared" si="33"/>
        <v>56.035924151809276</v>
      </c>
      <c r="P237" s="51">
        <f t="shared" si="34"/>
        <v>0</v>
      </c>
      <c r="Q237" s="67">
        <f t="shared" si="38"/>
        <v>0</v>
      </c>
      <c r="R237" s="222">
        <f t="shared" si="35"/>
        <v>56.035924151809276</v>
      </c>
      <c r="S237" s="191">
        <f t="shared" si="36"/>
        <v>-8.9640758481907241</v>
      </c>
      <c r="T237" s="221"/>
    </row>
    <row r="238" spans="1:20" x14ac:dyDescent="0.25">
      <c r="A238" s="53">
        <f>'A) Base RI'!A239</f>
        <v>5764</v>
      </c>
      <c r="B238" s="65" t="str">
        <f>'A) Base RI'!B239</f>
        <v>Vallorbe</v>
      </c>
      <c r="C238" s="495">
        <v>2127608.1993944189</v>
      </c>
      <c r="D238" s="495">
        <v>-1183294.6294751067</v>
      </c>
      <c r="E238" s="230"/>
      <c r="F238" s="229"/>
      <c r="G238" s="229"/>
      <c r="H238" s="231">
        <f t="shared" si="31"/>
        <v>944313.56991931214</v>
      </c>
      <c r="I238" s="507">
        <v>84393.993513513502</v>
      </c>
      <c r="J238" s="127">
        <f>'B) D RI'!U239</f>
        <v>84513.608378378369</v>
      </c>
      <c r="K238" s="84">
        <f t="shared" si="37"/>
        <v>11.189345717691449</v>
      </c>
      <c r="L238" s="36">
        <f>'B) D RI'!S239</f>
        <v>74</v>
      </c>
      <c r="M238" s="36">
        <f t="shared" si="32"/>
        <v>62.810654282308548</v>
      </c>
      <c r="N238" s="498">
        <f>'J) Plafonnement effort'!G237+'J) Plafonnement effort'!H237-'K) Plafonnement aide'!I237</f>
        <v>-10.959273321968794</v>
      </c>
      <c r="O238" s="191">
        <f t="shared" si="33"/>
        <v>51.851380960339753</v>
      </c>
      <c r="P238" s="51">
        <f t="shared" si="34"/>
        <v>0</v>
      </c>
      <c r="Q238" s="67">
        <f t="shared" si="38"/>
        <v>0</v>
      </c>
      <c r="R238" s="222">
        <f t="shared" si="35"/>
        <v>51.851380960339753</v>
      </c>
      <c r="S238" s="191">
        <f t="shared" si="36"/>
        <v>-22.148619039660247</v>
      </c>
      <c r="T238" s="221"/>
    </row>
    <row r="239" spans="1:20" x14ac:dyDescent="0.25">
      <c r="A239" s="53">
        <f>'A) Base RI'!A240</f>
        <v>5765</v>
      </c>
      <c r="B239" s="65" t="str">
        <f>'A) Base RI'!B240</f>
        <v>Vaulion</v>
      </c>
      <c r="C239" s="495">
        <v>191285.21925229012</v>
      </c>
      <c r="D239" s="495">
        <v>-192706.56331787637</v>
      </c>
      <c r="E239" s="230"/>
      <c r="F239" s="229"/>
      <c r="G239" s="229"/>
      <c r="H239" s="231">
        <f t="shared" si="31"/>
        <v>-1421.3440655862505</v>
      </c>
      <c r="I239" s="507">
        <v>9305.5603703703709</v>
      </c>
      <c r="J239" s="127">
        <f>'B) D RI'!U240</f>
        <v>10199.027160493826</v>
      </c>
      <c r="K239" s="84">
        <f t="shared" si="37"/>
        <v>-0.15274137279383204</v>
      </c>
      <c r="L239" s="36">
        <f>'B) D RI'!S240</f>
        <v>81</v>
      </c>
      <c r="M239" s="36">
        <f t="shared" si="32"/>
        <v>81.152741372793827</v>
      </c>
      <c r="N239" s="498">
        <f>'J) Plafonnement effort'!G238+'J) Plafonnement effort'!H238-'K) Plafonnement aide'!I238</f>
        <v>-13.077927140365944</v>
      </c>
      <c r="O239" s="191">
        <f t="shared" si="33"/>
        <v>68.074814232427883</v>
      </c>
      <c r="P239" s="51">
        <f t="shared" si="34"/>
        <v>0</v>
      </c>
      <c r="Q239" s="67">
        <f t="shared" si="38"/>
        <v>0</v>
      </c>
      <c r="R239" s="222">
        <f t="shared" si="35"/>
        <v>68.074814232427883</v>
      </c>
      <c r="S239" s="191">
        <f t="shared" si="36"/>
        <v>-12.925185767572117</v>
      </c>
      <c r="T239" s="221"/>
    </row>
    <row r="240" spans="1:20" x14ac:dyDescent="0.25">
      <c r="A240" s="53">
        <f>'A) Base RI'!A241</f>
        <v>5766</v>
      </c>
      <c r="B240" s="65" t="str">
        <f>'A) Base RI'!B241</f>
        <v>Vuiteboeuf</v>
      </c>
      <c r="C240" s="495">
        <v>206828.38556981809</v>
      </c>
      <c r="D240" s="495">
        <v>-118088.40190413588</v>
      </c>
      <c r="E240" s="230"/>
      <c r="F240" s="229"/>
      <c r="G240" s="229"/>
      <c r="H240" s="231">
        <f t="shared" si="31"/>
        <v>88739.983665682201</v>
      </c>
      <c r="I240" s="507">
        <v>11614.965899814471</v>
      </c>
      <c r="J240" s="127">
        <f>'B) D RI'!U241</f>
        <v>13023.960575139146</v>
      </c>
      <c r="K240" s="84">
        <f t="shared" si="37"/>
        <v>7.640141557979061</v>
      </c>
      <c r="L240" s="36">
        <f>'B) D RI'!S241</f>
        <v>77</v>
      </c>
      <c r="M240" s="36">
        <f t="shared" si="32"/>
        <v>69.359858442020936</v>
      </c>
      <c r="N240" s="498">
        <f>'J) Plafonnement effort'!G239+'J) Plafonnement effort'!H239-'K) Plafonnement aide'!I239</f>
        <v>2.3635533921252767</v>
      </c>
      <c r="O240" s="191">
        <f t="shared" si="33"/>
        <v>71.723411834146219</v>
      </c>
      <c r="P240" s="51">
        <f t="shared" si="34"/>
        <v>0</v>
      </c>
      <c r="Q240" s="67">
        <f t="shared" si="38"/>
        <v>0</v>
      </c>
      <c r="R240" s="222">
        <f t="shared" si="35"/>
        <v>71.723411834146219</v>
      </c>
      <c r="S240" s="191">
        <f t="shared" si="36"/>
        <v>-5.2765881658537808</v>
      </c>
      <c r="T240" s="221"/>
    </row>
    <row r="241" spans="1:20" x14ac:dyDescent="0.25">
      <c r="A241" s="53">
        <f>'A) Base RI'!A242</f>
        <v>5782</v>
      </c>
      <c r="B241" s="65" t="str">
        <f>'A) Base RI'!B242</f>
        <v>Carrouge</v>
      </c>
      <c r="C241" s="495">
        <v>547468.27215599851</v>
      </c>
      <c r="D241" s="495">
        <v>-129570.41038757004</v>
      </c>
      <c r="E241" s="230"/>
      <c r="F241" s="229"/>
      <c r="G241" s="229"/>
      <c r="H241" s="231">
        <f t="shared" si="31"/>
        <v>417897.86176842847</v>
      </c>
      <c r="I241" s="507">
        <v>30069.638421052627</v>
      </c>
      <c r="J241" s="127">
        <f>'B) D RI'!U242</f>
        <v>32585.638421052627</v>
      </c>
      <c r="K241" s="84">
        <f t="shared" si="37"/>
        <v>13.897668336305834</v>
      </c>
      <c r="L241" s="36">
        <f>'B) D RI'!S242</f>
        <v>76</v>
      </c>
      <c r="M241" s="36">
        <f t="shared" si="32"/>
        <v>62.102331663694166</v>
      </c>
      <c r="N241" s="498">
        <f>'J) Plafonnement effort'!G240+'J) Plafonnement effort'!H240-'K) Plafonnement aide'!I240</f>
        <v>16.267123319613294</v>
      </c>
      <c r="O241" s="191">
        <f t="shared" si="33"/>
        <v>78.369454983307463</v>
      </c>
      <c r="P241" s="51">
        <f t="shared" si="34"/>
        <v>0</v>
      </c>
      <c r="Q241" s="67">
        <f t="shared" si="38"/>
        <v>0</v>
      </c>
      <c r="R241" s="222">
        <f t="shared" si="35"/>
        <v>78.369454983307463</v>
      </c>
      <c r="S241" s="191">
        <f t="shared" si="36"/>
        <v>2.3694549833074632</v>
      </c>
      <c r="T241" s="221"/>
    </row>
    <row r="242" spans="1:20" x14ac:dyDescent="0.25">
      <c r="A242" s="53">
        <f>'A) Base RI'!A243</f>
        <v>5785</v>
      </c>
      <c r="B242" s="65" t="str">
        <f>'A) Base RI'!B243</f>
        <v>Corcelles-le-Jorat</v>
      </c>
      <c r="C242" s="495">
        <v>196992.7918522488</v>
      </c>
      <c r="D242" s="495">
        <v>34875.654362703703</v>
      </c>
      <c r="E242" s="230"/>
      <c r="F242" s="229"/>
      <c r="G242" s="229"/>
      <c r="H242" s="231">
        <f t="shared" si="31"/>
        <v>231868.44621495251</v>
      </c>
      <c r="I242" s="507">
        <v>12293.058354430379</v>
      </c>
      <c r="J242" s="127">
        <f>'B) D RI'!U243</f>
        <v>12275.22831168831</v>
      </c>
      <c r="K242" s="84">
        <f t="shared" si="37"/>
        <v>18.86173802562223</v>
      </c>
      <c r="L242" s="36">
        <f>'B) D RI'!S243</f>
        <v>77</v>
      </c>
      <c r="M242" s="36">
        <f t="shared" si="32"/>
        <v>58.13826197437777</v>
      </c>
      <c r="N242" s="498">
        <f>'J) Plafonnement effort'!G241+'J) Plafonnement effort'!H241-'K) Plafonnement aide'!I241</f>
        <v>14.72320384760582</v>
      </c>
      <c r="O242" s="191">
        <f t="shared" si="33"/>
        <v>72.861465821983586</v>
      </c>
      <c r="P242" s="51">
        <f t="shared" si="34"/>
        <v>0</v>
      </c>
      <c r="Q242" s="67">
        <f t="shared" si="38"/>
        <v>0</v>
      </c>
      <c r="R242" s="222">
        <f t="shared" si="35"/>
        <v>72.861465821983586</v>
      </c>
      <c r="S242" s="191">
        <f t="shared" si="36"/>
        <v>-4.138534178016414</v>
      </c>
      <c r="T242" s="221"/>
    </row>
    <row r="243" spans="1:20" x14ac:dyDescent="0.25">
      <c r="A243" s="53">
        <f>'A) Base RI'!A244</f>
        <v>5788</v>
      </c>
      <c r="B243" s="65" t="str">
        <f>'A) Base RI'!B244</f>
        <v>Essertes</v>
      </c>
      <c r="C243" s="495">
        <v>171345.24203799421</v>
      </c>
      <c r="D243" s="495">
        <v>82220.027478330914</v>
      </c>
      <c r="E243" s="230"/>
      <c r="F243" s="229"/>
      <c r="G243" s="229"/>
      <c r="H243" s="231">
        <f t="shared" si="31"/>
        <v>253565.26951632512</v>
      </c>
      <c r="I243" s="507">
        <v>10412.319857142857</v>
      </c>
      <c r="J243" s="127">
        <f>'B) D RI'!U244</f>
        <v>9663.2152777777756</v>
      </c>
      <c r="K243" s="84">
        <f t="shared" si="37"/>
        <v>24.35242798869449</v>
      </c>
      <c r="L243" s="36">
        <f>'B) D RI'!S244</f>
        <v>72</v>
      </c>
      <c r="M243" s="36">
        <f t="shared" si="32"/>
        <v>47.647572011305513</v>
      </c>
      <c r="N243" s="498">
        <f>'J) Plafonnement effort'!G242+'J) Plafonnement effort'!H242-'K) Plafonnement aide'!I242</f>
        <v>19.982941913501897</v>
      </c>
      <c r="O243" s="191">
        <f t="shared" si="33"/>
        <v>67.630513924807417</v>
      </c>
      <c r="P243" s="51">
        <f t="shared" si="34"/>
        <v>0</v>
      </c>
      <c r="Q243" s="67">
        <f t="shared" si="38"/>
        <v>0</v>
      </c>
      <c r="R243" s="222">
        <f t="shared" si="35"/>
        <v>67.630513924807417</v>
      </c>
      <c r="S243" s="191">
        <f t="shared" si="36"/>
        <v>-4.369486075192583</v>
      </c>
      <c r="T243" s="221"/>
    </row>
    <row r="244" spans="1:20" x14ac:dyDescent="0.25">
      <c r="A244" s="53">
        <f>'A) Base RI'!A245</f>
        <v>5789</v>
      </c>
      <c r="B244" s="65" t="str">
        <f>'A) Base RI'!B245</f>
        <v>Ferlens</v>
      </c>
      <c r="C244" s="495">
        <v>176576.563618477</v>
      </c>
      <c r="D244" s="495">
        <v>44889.45670770263</v>
      </c>
      <c r="E244" s="230"/>
      <c r="F244" s="229"/>
      <c r="G244" s="229"/>
      <c r="H244" s="231">
        <f t="shared" si="31"/>
        <v>221466.02032617963</v>
      </c>
      <c r="I244" s="507">
        <v>10073.464805194806</v>
      </c>
      <c r="J244" s="127">
        <f>'B) D RI'!U245</f>
        <v>9239.8459210526344</v>
      </c>
      <c r="K244" s="84">
        <f t="shared" si="37"/>
        <v>21.985089004527158</v>
      </c>
      <c r="L244" s="36">
        <f>'B) D RI'!S245</f>
        <v>76</v>
      </c>
      <c r="M244" s="36">
        <f t="shared" si="32"/>
        <v>54.014910995472846</v>
      </c>
      <c r="N244" s="498">
        <f>'J) Plafonnement effort'!G243+'J) Plafonnement effort'!H243-'K) Plafonnement aide'!I243</f>
        <v>14.620235692699364</v>
      </c>
      <c r="O244" s="191">
        <f t="shared" si="33"/>
        <v>68.635146688172213</v>
      </c>
      <c r="P244" s="51">
        <f t="shared" si="34"/>
        <v>0</v>
      </c>
      <c r="Q244" s="67">
        <f t="shared" si="38"/>
        <v>0</v>
      </c>
      <c r="R244" s="222">
        <f t="shared" si="35"/>
        <v>68.635146688172213</v>
      </c>
      <c r="S244" s="191">
        <f t="shared" si="36"/>
        <v>-7.3648533118277868</v>
      </c>
      <c r="T244" s="221"/>
    </row>
    <row r="245" spans="1:20" x14ac:dyDescent="0.25">
      <c r="A245" s="53">
        <f>'A) Base RI'!A246</f>
        <v>5790</v>
      </c>
      <c r="B245" s="65" t="str">
        <f>'A) Base RI'!B246</f>
        <v>Maracon</v>
      </c>
      <c r="C245" s="495">
        <v>281646.16695560154</v>
      </c>
      <c r="D245" s="495">
        <v>13089.834061317291</v>
      </c>
      <c r="E245" s="230"/>
      <c r="F245" s="229"/>
      <c r="G245" s="229"/>
      <c r="H245" s="231">
        <f t="shared" si="31"/>
        <v>294736.0010169188</v>
      </c>
      <c r="I245" s="507">
        <v>12107.709078947366</v>
      </c>
      <c r="J245" s="127">
        <f>'B) D RI'!U246</f>
        <v>12077.747368421051</v>
      </c>
      <c r="K245" s="84">
        <f t="shared" si="37"/>
        <v>24.34283802948319</v>
      </c>
      <c r="L245" s="36">
        <f>'B) D RI'!S246</f>
        <v>76</v>
      </c>
      <c r="M245" s="36">
        <f t="shared" si="32"/>
        <v>51.65716197051681</v>
      </c>
      <c r="N245" s="498">
        <f>'J) Plafonnement effort'!G244+'J) Plafonnement effort'!H244-'K) Plafonnement aide'!I244</f>
        <v>10.703492493109039</v>
      </c>
      <c r="O245" s="191">
        <f t="shared" si="33"/>
        <v>62.360654463625849</v>
      </c>
      <c r="P245" s="51">
        <f t="shared" si="34"/>
        <v>0</v>
      </c>
      <c r="Q245" s="67">
        <f t="shared" si="38"/>
        <v>0</v>
      </c>
      <c r="R245" s="222">
        <f t="shared" si="35"/>
        <v>62.360654463625849</v>
      </c>
      <c r="S245" s="191">
        <f t="shared" si="36"/>
        <v>-13.639345536374151</v>
      </c>
      <c r="T245" s="221"/>
    </row>
    <row r="246" spans="1:20" x14ac:dyDescent="0.25">
      <c r="A246" s="53">
        <f>'A) Base RI'!A247</f>
        <v>5791</v>
      </c>
      <c r="B246" s="65" t="str">
        <f>'A) Base RI'!B247</f>
        <v>Mézières</v>
      </c>
      <c r="C246" s="495">
        <v>688734.72359084419</v>
      </c>
      <c r="D246" s="495">
        <v>388277.07396531664</v>
      </c>
      <c r="E246" s="230"/>
      <c r="F246" s="229"/>
      <c r="G246" s="229"/>
      <c r="H246" s="231">
        <f t="shared" si="31"/>
        <v>1077011.7975561609</v>
      </c>
      <c r="I246" s="507">
        <v>42914.858070175447</v>
      </c>
      <c r="J246" s="127">
        <f>'B) D RI'!U247</f>
        <v>47801.173157894729</v>
      </c>
      <c r="K246" s="84">
        <f t="shared" si="37"/>
        <v>25.096478142721676</v>
      </c>
      <c r="L246" s="36">
        <f>'B) D RI'!S247</f>
        <v>76</v>
      </c>
      <c r="M246" s="36">
        <f t="shared" si="32"/>
        <v>50.903521857278321</v>
      </c>
      <c r="N246" s="498">
        <f>'J) Plafonnement effort'!G245+'J) Plafonnement effort'!H245-'K) Plafonnement aide'!I245</f>
        <v>24.474650450743631</v>
      </c>
      <c r="O246" s="191">
        <f t="shared" si="33"/>
        <v>75.378172308021959</v>
      </c>
      <c r="P246" s="51">
        <f t="shared" si="34"/>
        <v>0</v>
      </c>
      <c r="Q246" s="67">
        <f t="shared" si="38"/>
        <v>0</v>
      </c>
      <c r="R246" s="222">
        <f t="shared" si="35"/>
        <v>75.378172308021959</v>
      </c>
      <c r="S246" s="191">
        <f t="shared" si="36"/>
        <v>-0.62182769197804078</v>
      </c>
      <c r="T246" s="221"/>
    </row>
    <row r="247" spans="1:20" x14ac:dyDescent="0.25">
      <c r="A247" s="53">
        <f>'A) Base RI'!A248</f>
        <v>5792</v>
      </c>
      <c r="B247" s="65" t="str">
        <f>'A) Base RI'!B248</f>
        <v>Montpreveyres</v>
      </c>
      <c r="C247" s="495">
        <v>303361.52382656437</v>
      </c>
      <c r="D247" s="495">
        <v>94870.686521887634</v>
      </c>
      <c r="E247" s="230"/>
      <c r="F247" s="229"/>
      <c r="G247" s="229"/>
      <c r="H247" s="231">
        <f t="shared" si="31"/>
        <v>398232.21034845198</v>
      </c>
      <c r="I247" s="507">
        <v>19088.494155844161</v>
      </c>
      <c r="J247" s="127">
        <f>'B) D RI'!U248</f>
        <v>15670.869999999999</v>
      </c>
      <c r="K247" s="84">
        <f t="shared" si="37"/>
        <v>20.862421472179282</v>
      </c>
      <c r="L247" s="36">
        <f>'B) D RI'!S248</f>
        <v>77</v>
      </c>
      <c r="M247" s="36">
        <f t="shared" si="32"/>
        <v>56.137578527820722</v>
      </c>
      <c r="N247" s="498">
        <f>'J) Plafonnement effort'!G246+'J) Plafonnement effort'!H246-'K) Plafonnement aide'!I246</f>
        <v>6.7893870935388669</v>
      </c>
      <c r="O247" s="191">
        <f t="shared" si="33"/>
        <v>62.926965621359585</v>
      </c>
      <c r="P247" s="51">
        <f t="shared" si="34"/>
        <v>0</v>
      </c>
      <c r="Q247" s="67">
        <f t="shared" si="38"/>
        <v>0</v>
      </c>
      <c r="R247" s="222">
        <f t="shared" si="35"/>
        <v>62.926965621359585</v>
      </c>
      <c r="S247" s="191">
        <f t="shared" si="36"/>
        <v>-14.073034378640415</v>
      </c>
      <c r="T247" s="221"/>
    </row>
    <row r="248" spans="1:20" x14ac:dyDescent="0.25">
      <c r="A248" s="53">
        <f>'A) Base RI'!A249</f>
        <v>5798</v>
      </c>
      <c r="B248" s="65" t="str">
        <f>'A) Base RI'!B249</f>
        <v>Ropraz</v>
      </c>
      <c r="C248" s="495">
        <v>180721.7311585377</v>
      </c>
      <c r="D248" s="495">
        <v>-57106.454629432177</v>
      </c>
      <c r="E248" s="230"/>
      <c r="F248" s="229"/>
      <c r="G248" s="229"/>
      <c r="H248" s="231">
        <f t="shared" si="31"/>
        <v>123615.27652910553</v>
      </c>
      <c r="I248" s="507">
        <v>9558.3067096774193</v>
      </c>
      <c r="J248" s="127">
        <f>'B) D RI'!U249</f>
        <v>10971.989935483871</v>
      </c>
      <c r="K248" s="84">
        <f t="shared" si="37"/>
        <v>12.932758937725842</v>
      </c>
      <c r="L248" s="36">
        <f>'B) D RI'!S249</f>
        <v>77.5</v>
      </c>
      <c r="M248" s="36">
        <f t="shared" si="32"/>
        <v>64.567241062274164</v>
      </c>
      <c r="N248" s="498">
        <f>'J) Plafonnement effort'!G247+'J) Plafonnement effort'!H247-'K) Plafonnement aide'!I247</f>
        <v>6.3356825047528078</v>
      </c>
      <c r="O248" s="191">
        <f t="shared" si="33"/>
        <v>70.902923567026974</v>
      </c>
      <c r="P248" s="51">
        <f t="shared" si="34"/>
        <v>0</v>
      </c>
      <c r="Q248" s="67">
        <f t="shared" si="38"/>
        <v>0</v>
      </c>
      <c r="R248" s="222">
        <f t="shared" si="35"/>
        <v>70.902923567026974</v>
      </c>
      <c r="S248" s="191">
        <f t="shared" si="36"/>
        <v>-6.5970764329730258</v>
      </c>
      <c r="T248" s="221"/>
    </row>
    <row r="249" spans="1:20" x14ac:dyDescent="0.25">
      <c r="A249" s="53">
        <f>'A) Base RI'!A250</f>
        <v>5799</v>
      </c>
      <c r="B249" s="65" t="str">
        <f>'A) Base RI'!B250</f>
        <v>Servion</v>
      </c>
      <c r="C249" s="495">
        <v>982080.4271924058</v>
      </c>
      <c r="D249" s="495">
        <v>-67332.647353048669</v>
      </c>
      <c r="E249" s="230"/>
      <c r="F249" s="229"/>
      <c r="G249" s="229"/>
      <c r="H249" s="231">
        <f t="shared" si="31"/>
        <v>914747.77983935713</v>
      </c>
      <c r="I249" s="507">
        <v>51366.477681159435</v>
      </c>
      <c r="J249" s="127">
        <f>'B) D RI'!U250</f>
        <v>60598.657971014502</v>
      </c>
      <c r="K249" s="84">
        <f t="shared" si="37"/>
        <v>17.808263699087057</v>
      </c>
      <c r="L249" s="36">
        <f>'B) D RI'!S250</f>
        <v>69</v>
      </c>
      <c r="M249" s="36">
        <f t="shared" si="32"/>
        <v>51.191736300912943</v>
      </c>
      <c r="N249" s="498">
        <f>'J) Plafonnement effort'!G248+'J) Plafonnement effort'!H248-'K) Plafonnement aide'!I248</f>
        <v>16.851653151137114</v>
      </c>
      <c r="O249" s="191">
        <f t="shared" si="33"/>
        <v>68.043389452050064</v>
      </c>
      <c r="P249" s="51">
        <f t="shared" si="34"/>
        <v>0</v>
      </c>
      <c r="Q249" s="67">
        <f t="shared" si="38"/>
        <v>0</v>
      </c>
      <c r="R249" s="222">
        <f t="shared" si="35"/>
        <v>68.043389452050064</v>
      </c>
      <c r="S249" s="191">
        <f t="shared" si="36"/>
        <v>-0.95661054794993561</v>
      </c>
      <c r="T249" s="221"/>
    </row>
    <row r="250" spans="1:20" x14ac:dyDescent="0.25">
      <c r="A250" s="53">
        <f>'A) Base RI'!A251</f>
        <v>5803</v>
      </c>
      <c r="B250" s="65" t="str">
        <f>'A) Base RI'!B251</f>
        <v>Vulliens</v>
      </c>
      <c r="C250" s="495">
        <v>267454.91914368619</v>
      </c>
      <c r="D250" s="495">
        <v>-10392.446806851774</v>
      </c>
      <c r="E250" s="230"/>
      <c r="F250" s="229"/>
      <c r="G250" s="229"/>
      <c r="H250" s="231">
        <f t="shared" si="31"/>
        <v>257062.47233683441</v>
      </c>
      <c r="I250" s="507">
        <v>12589.149382716048</v>
      </c>
      <c r="J250" s="127">
        <f>'B) D RI'!U251</f>
        <v>14215.08564102564</v>
      </c>
      <c r="K250" s="84">
        <f t="shared" si="37"/>
        <v>20.419367863706643</v>
      </c>
      <c r="L250" s="36">
        <f>'B) D RI'!S251</f>
        <v>78</v>
      </c>
      <c r="M250" s="36">
        <f t="shared" si="32"/>
        <v>57.58063213629336</v>
      </c>
      <c r="N250" s="498">
        <f>'J) Plafonnement effort'!G249+'J) Plafonnement effort'!H249-'K) Plafonnement aide'!I249</f>
        <v>19.620193770981054</v>
      </c>
      <c r="O250" s="191">
        <f t="shared" si="33"/>
        <v>77.200825907274407</v>
      </c>
      <c r="P250" s="51">
        <f t="shared" si="34"/>
        <v>0</v>
      </c>
      <c r="Q250" s="67">
        <f t="shared" si="38"/>
        <v>0</v>
      </c>
      <c r="R250" s="222">
        <f t="shared" si="35"/>
        <v>77.200825907274407</v>
      </c>
      <c r="S250" s="191">
        <f t="shared" si="36"/>
        <v>-0.79917409272559325</v>
      </c>
      <c r="T250" s="221"/>
    </row>
    <row r="251" spans="1:20" x14ac:dyDescent="0.25">
      <c r="A251" s="53">
        <f>'A) Base RI'!A252</f>
        <v>5804</v>
      </c>
      <c r="B251" s="65" t="str">
        <f>'A) Base RI'!B252</f>
        <v>Jorat-Menthue</v>
      </c>
      <c r="C251" s="495">
        <v>708121.51603866159</v>
      </c>
      <c r="D251" s="495">
        <v>-34041.960808979231</v>
      </c>
      <c r="E251" s="230"/>
      <c r="F251" s="229"/>
      <c r="G251" s="229"/>
      <c r="H251" s="231">
        <f t="shared" si="31"/>
        <v>674079.55522968236</v>
      </c>
      <c r="I251" s="507">
        <v>41163.666944444441</v>
      </c>
      <c r="J251" s="127">
        <f>'B) D RI'!U252</f>
        <v>48554.511111111118</v>
      </c>
      <c r="K251" s="84">
        <f>H251/I251</f>
        <v>16.375595404059549</v>
      </c>
      <c r="L251" s="36">
        <f>'B) D RI'!S252</f>
        <v>72</v>
      </c>
      <c r="M251" s="36">
        <f>L251-K251</f>
        <v>55.624404595940447</v>
      </c>
      <c r="N251" s="498">
        <f>'J) Plafonnement effort'!G250+'J) Plafonnement effort'!H250-'K) Plafonnement aide'!I250</f>
        <v>0.66379011472582405</v>
      </c>
      <c r="O251" s="191">
        <f>M251+N251</f>
        <v>56.288194710666275</v>
      </c>
      <c r="P251" s="51">
        <f t="shared" si="34"/>
        <v>0</v>
      </c>
      <c r="Q251" s="67">
        <f>P251*J251</f>
        <v>0</v>
      </c>
      <c r="R251" s="222">
        <f>O251+P251</f>
        <v>56.288194710666275</v>
      </c>
      <c r="S251" s="191">
        <f>R251-L251</f>
        <v>-15.711805289333725</v>
      </c>
      <c r="T251" s="221"/>
    </row>
    <row r="252" spans="1:20" x14ac:dyDescent="0.25">
      <c r="A252" s="53">
        <f>'A) Base RI'!A253</f>
        <v>5805</v>
      </c>
      <c r="B252" s="65" t="str">
        <f>'A) Base RI'!B253</f>
        <v>Oron</v>
      </c>
      <c r="C252" s="495">
        <v>2566560.5731538143</v>
      </c>
      <c r="D252" s="495">
        <v>-850992.47053461522</v>
      </c>
      <c r="E252" s="230"/>
      <c r="F252" s="229"/>
      <c r="G252" s="229"/>
      <c r="H252" s="231">
        <f t="shared" si="31"/>
        <v>1715568.1026191991</v>
      </c>
      <c r="I252" s="507">
        <v>146504.50986824767</v>
      </c>
      <c r="J252" s="127">
        <f>'B) D RI'!U253</f>
        <v>147104.2625559947</v>
      </c>
      <c r="K252" s="84">
        <f>H252/I252</f>
        <v>11.710001993536029</v>
      </c>
      <c r="L252" s="36">
        <f>'B) D RI'!S253</f>
        <v>69</v>
      </c>
      <c r="M252" s="36">
        <f>L252-K252</f>
        <v>57.289998006463975</v>
      </c>
      <c r="N252" s="498">
        <f>'J) Plafonnement effort'!G251+'J) Plafonnement effort'!H251-'K) Plafonnement aide'!I251</f>
        <v>4.7580452747828037</v>
      </c>
      <c r="O252" s="191">
        <f>M252+N252</f>
        <v>62.048043281246777</v>
      </c>
      <c r="P252" s="51">
        <f t="shared" si="34"/>
        <v>0</v>
      </c>
      <c r="Q252" s="67">
        <f>P252*J252</f>
        <v>0</v>
      </c>
      <c r="R252" s="222">
        <f>O252+P252</f>
        <v>62.048043281246777</v>
      </c>
      <c r="S252" s="191">
        <f>R252-L252</f>
        <v>-6.9519567187532232</v>
      </c>
      <c r="T252" s="221"/>
    </row>
    <row r="253" spans="1:20" x14ac:dyDescent="0.25">
      <c r="A253" s="53">
        <f>'A) Base RI'!A254</f>
        <v>5812</v>
      </c>
      <c r="B253" s="65" t="str">
        <f>'A) Base RI'!B254</f>
        <v>Champtauroz</v>
      </c>
      <c r="C253" s="495">
        <v>52316.803646574626</v>
      </c>
      <c r="D253" s="495">
        <v>-48177.268137235944</v>
      </c>
      <c r="E253" s="230"/>
      <c r="F253" s="229"/>
      <c r="G253" s="229"/>
      <c r="H253" s="231">
        <f t="shared" si="31"/>
        <v>4139.5355093386825</v>
      </c>
      <c r="I253" s="507">
        <v>2420.1879870129869</v>
      </c>
      <c r="J253" s="127">
        <f>'B) D RI'!U254</f>
        <v>2326.5760389610391</v>
      </c>
      <c r="K253" s="84">
        <f>H253/I253</f>
        <v>1.7104189970167261</v>
      </c>
      <c r="L253" s="36">
        <f>'B) D RI'!S254</f>
        <v>77</v>
      </c>
      <c r="M253" s="36">
        <f>L253-K253</f>
        <v>75.289581002983269</v>
      </c>
      <c r="N253" s="498">
        <f>'J) Plafonnement effort'!G252+'J) Plafonnement effort'!H252-'K) Plafonnement aide'!I252</f>
        <v>-20.671737546514123</v>
      </c>
      <c r="O253" s="191">
        <f>M253+N253</f>
        <v>54.617843456469146</v>
      </c>
      <c r="P253" s="51">
        <f t="shared" si="34"/>
        <v>0</v>
      </c>
      <c r="Q253" s="67">
        <f>P253*J253</f>
        <v>0</v>
      </c>
      <c r="R253" s="222">
        <f>O253+P253</f>
        <v>54.617843456469146</v>
      </c>
      <c r="S253" s="191">
        <f>R253-L253</f>
        <v>-22.382156543530854</v>
      </c>
      <c r="T253" s="221"/>
    </row>
    <row r="254" spans="1:20" x14ac:dyDescent="0.25">
      <c r="A254" s="53">
        <f>'A) Base RI'!A255</f>
        <v>5813</v>
      </c>
      <c r="B254" s="65" t="str">
        <f>'A) Base RI'!B255</f>
        <v>Chevroux</v>
      </c>
      <c r="C254" s="495">
        <v>199772.11696081588</v>
      </c>
      <c r="D254" s="495">
        <v>32029.654878817179</v>
      </c>
      <c r="E254" s="230"/>
      <c r="F254" s="229"/>
      <c r="G254" s="229"/>
      <c r="H254" s="231">
        <f t="shared" si="31"/>
        <v>231801.77183963306</v>
      </c>
      <c r="I254" s="507">
        <v>11590.298571428571</v>
      </c>
      <c r="J254" s="127">
        <f>'B) D RI'!U255</f>
        <v>11503.329976190478</v>
      </c>
      <c r="K254" s="84">
        <f t="shared" si="37"/>
        <v>19.999637663437877</v>
      </c>
      <c r="L254" s="36">
        <f>'B) D RI'!S255</f>
        <v>70</v>
      </c>
      <c r="M254" s="36">
        <f t="shared" si="32"/>
        <v>50.000362336562119</v>
      </c>
      <c r="N254" s="498">
        <f>'J) Plafonnement effort'!G253+'J) Plafonnement effort'!H253-'K) Plafonnement aide'!I253</f>
        <v>15.179771449263601</v>
      </c>
      <c r="O254" s="191">
        <f t="shared" si="33"/>
        <v>65.180133785825717</v>
      </c>
      <c r="P254" s="51">
        <f t="shared" si="34"/>
        <v>0</v>
      </c>
      <c r="Q254" s="67">
        <f t="shared" si="38"/>
        <v>0</v>
      </c>
      <c r="R254" s="222">
        <f t="shared" si="35"/>
        <v>65.180133785825717</v>
      </c>
      <c r="S254" s="191">
        <f t="shared" si="36"/>
        <v>-4.819866214174283</v>
      </c>
      <c r="T254" s="221"/>
    </row>
    <row r="255" spans="1:20" x14ac:dyDescent="0.25">
      <c r="A255" s="53">
        <f>'A) Base RI'!A256</f>
        <v>5816</v>
      </c>
      <c r="B255" s="65" t="str">
        <f>'A) Base RI'!B256</f>
        <v>Corcelles-près-Payerne</v>
      </c>
      <c r="C255" s="495">
        <v>1001510.7759040482</v>
      </c>
      <c r="D255" s="495">
        <v>-458880.34316088865</v>
      </c>
      <c r="E255" s="230"/>
      <c r="F255" s="229"/>
      <c r="G255" s="229"/>
      <c r="H255" s="231">
        <f t="shared" si="31"/>
        <v>542630.43274315959</v>
      </c>
      <c r="I255" s="507">
        <v>52953.608154761903</v>
      </c>
      <c r="J255" s="127">
        <f>'B) D RI'!U256</f>
        <v>56641.066845238092</v>
      </c>
      <c r="K255" s="84">
        <f t="shared" si="37"/>
        <v>10.247279678417211</v>
      </c>
      <c r="L255" s="36">
        <f>'B) D RI'!S256</f>
        <v>72</v>
      </c>
      <c r="M255" s="36">
        <f t="shared" si="32"/>
        <v>61.752720321582785</v>
      </c>
      <c r="N255" s="498">
        <f>'J) Plafonnement effort'!G254+'J) Plafonnement effort'!H254-'K) Plafonnement aide'!I254</f>
        <v>1.8205896285332406</v>
      </c>
      <c r="O255" s="191">
        <f t="shared" si="33"/>
        <v>63.573309950116027</v>
      </c>
      <c r="P255" s="51">
        <f t="shared" si="34"/>
        <v>0</v>
      </c>
      <c r="Q255" s="67">
        <f t="shared" si="38"/>
        <v>0</v>
      </c>
      <c r="R255" s="222">
        <f t="shared" si="35"/>
        <v>63.573309950116027</v>
      </c>
      <c r="S255" s="191">
        <f t="shared" si="36"/>
        <v>-8.4266900498839732</v>
      </c>
      <c r="T255" s="221"/>
    </row>
    <row r="256" spans="1:20" x14ac:dyDescent="0.25">
      <c r="A256" s="53">
        <f>'A) Base RI'!A257</f>
        <v>5817</v>
      </c>
      <c r="B256" s="65" t="str">
        <f>'A) Base RI'!B257</f>
        <v>Grandcour</v>
      </c>
      <c r="C256" s="495">
        <v>340345.4959890758</v>
      </c>
      <c r="D256" s="495">
        <v>-111845.29328088963</v>
      </c>
      <c r="E256" s="230"/>
      <c r="F256" s="229"/>
      <c r="G256" s="229"/>
      <c r="H256" s="231">
        <f t="shared" si="31"/>
        <v>228500.20270818617</v>
      </c>
      <c r="I256" s="507">
        <v>20895.78968553459</v>
      </c>
      <c r="J256" s="127">
        <f>'B) D RI'!U257</f>
        <v>20990.550314465407</v>
      </c>
      <c r="K256" s="84">
        <f t="shared" si="37"/>
        <v>10.935226959446702</v>
      </c>
      <c r="L256" s="36">
        <f>'B) D RI'!S257</f>
        <v>79.5</v>
      </c>
      <c r="M256" s="36">
        <f t="shared" si="32"/>
        <v>68.564773040553291</v>
      </c>
      <c r="N256" s="498">
        <f>'J) Plafonnement effort'!G255+'J) Plafonnement effort'!H255-'K) Plafonnement aide'!I255</f>
        <v>4.3539318752038145</v>
      </c>
      <c r="O256" s="191">
        <f t="shared" si="33"/>
        <v>72.918704915757104</v>
      </c>
      <c r="P256" s="51">
        <f t="shared" si="34"/>
        <v>0</v>
      </c>
      <c r="Q256" s="67">
        <f t="shared" si="38"/>
        <v>0</v>
      </c>
      <c r="R256" s="222">
        <f t="shared" si="35"/>
        <v>72.918704915757104</v>
      </c>
      <c r="S256" s="191">
        <f t="shared" si="36"/>
        <v>-6.5812950842428961</v>
      </c>
      <c r="T256" s="221"/>
    </row>
    <row r="257" spans="1:20" x14ac:dyDescent="0.25">
      <c r="A257" s="53">
        <f>'A) Base RI'!A258</f>
        <v>5819</v>
      </c>
      <c r="B257" s="65" t="str">
        <f>'A) Base RI'!B258</f>
        <v>Henniez</v>
      </c>
      <c r="C257" s="495">
        <v>213422.94260642238</v>
      </c>
      <c r="D257" s="495">
        <v>178779.26360184181</v>
      </c>
      <c r="E257" s="230"/>
      <c r="F257" s="229"/>
      <c r="G257" s="229"/>
      <c r="H257" s="231">
        <f t="shared" si="31"/>
        <v>392202.20620826422</v>
      </c>
      <c r="I257" s="507">
        <v>13106.979402985076</v>
      </c>
      <c r="J257" s="127">
        <f>'B) D RI'!U258</f>
        <v>14949.743880597016</v>
      </c>
      <c r="K257" s="84">
        <f t="shared" si="37"/>
        <v>29.923157285113405</v>
      </c>
      <c r="L257" s="36">
        <f>'B) D RI'!S258</f>
        <v>67</v>
      </c>
      <c r="M257" s="36">
        <f t="shared" si="32"/>
        <v>37.076842714886595</v>
      </c>
      <c r="N257" s="498">
        <f>'J) Plafonnement effort'!G256+'J) Plafonnement effort'!H256-'K) Plafonnement aide'!I256</f>
        <v>30.620937366708443</v>
      </c>
      <c r="O257" s="191">
        <f t="shared" si="33"/>
        <v>67.697780081595042</v>
      </c>
      <c r="P257" s="51">
        <f t="shared" si="34"/>
        <v>0</v>
      </c>
      <c r="Q257" s="67">
        <f t="shared" si="38"/>
        <v>0</v>
      </c>
      <c r="R257" s="222">
        <f t="shared" si="35"/>
        <v>67.697780081595042</v>
      </c>
      <c r="S257" s="191">
        <f t="shared" si="36"/>
        <v>0.69778008159504168</v>
      </c>
      <c r="T257" s="221"/>
    </row>
    <row r="258" spans="1:20" x14ac:dyDescent="0.25">
      <c r="A258" s="53">
        <f>'A) Base RI'!A259</f>
        <v>5821</v>
      </c>
      <c r="B258" s="65" t="str">
        <f>'A) Base RI'!B259</f>
        <v>Missy</v>
      </c>
      <c r="C258" s="495">
        <v>153671.77345693595</v>
      </c>
      <c r="D258" s="495">
        <v>-63448.969675080938</v>
      </c>
      <c r="E258" s="230"/>
      <c r="F258" s="229"/>
      <c r="G258" s="229"/>
      <c r="H258" s="231">
        <f t="shared" si="31"/>
        <v>90222.803781855007</v>
      </c>
      <c r="I258" s="507">
        <v>7313.8070833333331</v>
      </c>
      <c r="J258" s="127">
        <f>'B) D RI'!U259</f>
        <v>7776.2584722222218</v>
      </c>
      <c r="K258" s="84">
        <f t="shared" si="37"/>
        <v>12.335956192699459</v>
      </c>
      <c r="L258" s="36">
        <f>'B) D RI'!S259</f>
        <v>72</v>
      </c>
      <c r="M258" s="36">
        <f t="shared" si="32"/>
        <v>59.664043807300544</v>
      </c>
      <c r="N258" s="498">
        <f>'J) Plafonnement effort'!G257+'J) Plafonnement effort'!H257-'K) Plafonnement aide'!I257</f>
        <v>2.5577023696766403</v>
      </c>
      <c r="O258" s="191">
        <f t="shared" si="33"/>
        <v>62.221746176977184</v>
      </c>
      <c r="P258" s="51">
        <f t="shared" si="34"/>
        <v>0</v>
      </c>
      <c r="Q258" s="67">
        <f t="shared" si="38"/>
        <v>0</v>
      </c>
      <c r="R258" s="222">
        <f t="shared" si="35"/>
        <v>62.221746176977184</v>
      </c>
      <c r="S258" s="191">
        <f t="shared" si="36"/>
        <v>-9.7782538230228155</v>
      </c>
      <c r="T258" s="221"/>
    </row>
    <row r="259" spans="1:20" x14ac:dyDescent="0.25">
      <c r="A259" s="53">
        <f>'A) Base RI'!A260</f>
        <v>5822</v>
      </c>
      <c r="B259" s="65" t="str">
        <f>'A) Base RI'!B260</f>
        <v>Payerne</v>
      </c>
      <c r="C259" s="495">
        <v>3910232.4839873817</v>
      </c>
      <c r="D259" s="495">
        <v>-4319449.5307110632</v>
      </c>
      <c r="E259" s="230"/>
      <c r="F259" s="229"/>
      <c r="G259" s="229"/>
      <c r="H259" s="231">
        <f t="shared" si="31"/>
        <v>-409217.0467236815</v>
      </c>
      <c r="I259" s="507">
        <v>224445.50853333328</v>
      </c>
      <c r="J259" s="127">
        <f>'B) D RI'!U260</f>
        <v>231493.6713333333</v>
      </c>
      <c r="K259" s="84">
        <f t="shared" si="37"/>
        <v>-1.8232356236387197</v>
      </c>
      <c r="L259" s="36">
        <f>'B) D RI'!S260</f>
        <v>75</v>
      </c>
      <c r="M259" s="36">
        <f t="shared" si="32"/>
        <v>76.823235623638723</v>
      </c>
      <c r="N259" s="498">
        <f>'J) Plafonnement effort'!G258+'J) Plafonnement effort'!H258-'K) Plafonnement aide'!I258</f>
        <v>-3.1430255535339064</v>
      </c>
      <c r="O259" s="191">
        <f t="shared" si="33"/>
        <v>73.68021007010482</v>
      </c>
      <c r="P259" s="51">
        <f t="shared" si="34"/>
        <v>0</v>
      </c>
      <c r="Q259" s="67">
        <f t="shared" si="38"/>
        <v>0</v>
      </c>
      <c r="R259" s="222">
        <f t="shared" si="35"/>
        <v>73.68021007010482</v>
      </c>
      <c r="S259" s="191">
        <f t="shared" si="36"/>
        <v>-1.3197899298951796</v>
      </c>
      <c r="T259" s="221"/>
    </row>
    <row r="260" spans="1:20" x14ac:dyDescent="0.25">
      <c r="A260" s="53">
        <f>'A) Base RI'!A261</f>
        <v>5827</v>
      </c>
      <c r="B260" s="65" t="str">
        <f>'A) Base RI'!B261</f>
        <v>Trey</v>
      </c>
      <c r="C260" s="495">
        <v>120048.08196212993</v>
      </c>
      <c r="D260" s="495">
        <v>-20828.367838660051</v>
      </c>
      <c r="E260" s="230"/>
      <c r="F260" s="229"/>
      <c r="G260" s="229"/>
      <c r="H260" s="231">
        <f t="shared" si="31"/>
        <v>99219.714123469879</v>
      </c>
      <c r="I260" s="507">
        <v>6544.3336250000011</v>
      </c>
      <c r="J260" s="127">
        <f>'B) D RI'!U261</f>
        <v>6204.9173749999991</v>
      </c>
      <c r="K260" s="84">
        <f t="shared" si="37"/>
        <v>15.161163811154243</v>
      </c>
      <c r="L260" s="36">
        <f>'B) D RI'!S261</f>
        <v>80</v>
      </c>
      <c r="M260" s="36">
        <f t="shared" si="32"/>
        <v>64.838836188845761</v>
      </c>
      <c r="N260" s="498">
        <f>'J) Plafonnement effort'!G259+'J) Plafonnement effort'!H259-'K) Plafonnement aide'!I259</f>
        <v>5.7483280922926046</v>
      </c>
      <c r="O260" s="191">
        <f t="shared" si="33"/>
        <v>70.587164281138371</v>
      </c>
      <c r="P260" s="51">
        <f t="shared" si="34"/>
        <v>0</v>
      </c>
      <c r="Q260" s="67">
        <f t="shared" si="38"/>
        <v>0</v>
      </c>
      <c r="R260" s="222">
        <f t="shared" si="35"/>
        <v>70.587164281138371</v>
      </c>
      <c r="S260" s="191">
        <f t="shared" si="36"/>
        <v>-9.4128357188616292</v>
      </c>
      <c r="T260" s="221"/>
    </row>
    <row r="261" spans="1:20" x14ac:dyDescent="0.25">
      <c r="A261" s="53">
        <f>'A) Base RI'!A262</f>
        <v>5828</v>
      </c>
      <c r="B261" s="65" t="str">
        <f>'A) Base RI'!B262</f>
        <v>Treytorrens (Payerne)</v>
      </c>
      <c r="C261" s="495">
        <v>38851.227473799358</v>
      </c>
      <c r="D261" s="495">
        <v>-64635.20096401051</v>
      </c>
      <c r="E261" s="230">
        <v>14033</v>
      </c>
      <c r="F261" s="229"/>
      <c r="G261" s="229"/>
      <c r="H261" s="231">
        <f t="shared" si="31"/>
        <v>-11750.973490211152</v>
      </c>
      <c r="I261" s="507">
        <v>2136.5168650793653</v>
      </c>
      <c r="J261" s="127">
        <f>'B) D RI'!U262</f>
        <v>2352.5354761904764</v>
      </c>
      <c r="K261" s="84">
        <f t="shared" si="37"/>
        <v>-5.5000611894419276</v>
      </c>
      <c r="L261" s="36">
        <f>'B) D RI'!S262</f>
        <v>84</v>
      </c>
      <c r="M261" s="36">
        <f t="shared" si="32"/>
        <v>89.500061189441922</v>
      </c>
      <c r="N261" s="498">
        <f>'J) Plafonnement effort'!G260+'J) Plafonnement effort'!H260-'K) Plafonnement aide'!I260</f>
        <v>-24.672107897745128</v>
      </c>
      <c r="O261" s="191">
        <f t="shared" si="33"/>
        <v>64.827953291696787</v>
      </c>
      <c r="P261" s="51">
        <f t="shared" si="34"/>
        <v>0</v>
      </c>
      <c r="Q261" s="67">
        <f t="shared" si="38"/>
        <v>0</v>
      </c>
      <c r="R261" s="222">
        <f t="shared" si="35"/>
        <v>64.827953291696787</v>
      </c>
      <c r="S261" s="191">
        <f t="shared" si="36"/>
        <v>-19.172046708303213</v>
      </c>
      <c r="T261" s="221"/>
    </row>
    <row r="262" spans="1:20" x14ac:dyDescent="0.25">
      <c r="A262" s="53">
        <f>'A) Base RI'!A263</f>
        <v>5830</v>
      </c>
      <c r="B262" s="65" t="str">
        <f>'A) Base RI'!B263</f>
        <v>Villarzel</v>
      </c>
      <c r="C262" s="495">
        <v>162836.65097471786</v>
      </c>
      <c r="D262" s="495">
        <v>-47100.017764561431</v>
      </c>
      <c r="E262" s="230"/>
      <c r="F262" s="229"/>
      <c r="G262" s="229"/>
      <c r="H262" s="231">
        <f t="shared" si="31"/>
        <v>115736.63321015643</v>
      </c>
      <c r="I262" s="507">
        <v>10236.981518987341</v>
      </c>
      <c r="J262" s="127">
        <f>'B) D RI'!U263</f>
        <v>9737.3892405063307</v>
      </c>
      <c r="K262" s="84">
        <f t="shared" si="37"/>
        <v>11.305738219365789</v>
      </c>
      <c r="L262" s="36">
        <f>'B) D RI'!S263</f>
        <v>79</v>
      </c>
      <c r="M262" s="36">
        <f t="shared" si="32"/>
        <v>67.694261780634207</v>
      </c>
      <c r="N262" s="498">
        <f>'J) Plafonnement effort'!G261+'J) Plafonnement effort'!H261-'K) Plafonnement aide'!I261</f>
        <v>-1.0381666589413925</v>
      </c>
      <c r="O262" s="191">
        <f t="shared" si="33"/>
        <v>66.656095121692815</v>
      </c>
      <c r="P262" s="51">
        <f t="shared" si="34"/>
        <v>0</v>
      </c>
      <c r="Q262" s="67">
        <f t="shared" si="38"/>
        <v>0</v>
      </c>
      <c r="R262" s="222">
        <f t="shared" si="35"/>
        <v>66.656095121692815</v>
      </c>
      <c r="S262" s="191">
        <f t="shared" si="36"/>
        <v>-12.343904878307185</v>
      </c>
      <c r="T262" s="221"/>
    </row>
    <row r="263" spans="1:20" x14ac:dyDescent="0.25">
      <c r="A263" s="53">
        <f>'A) Base RI'!A264</f>
        <v>5831</v>
      </c>
      <c r="B263" s="65" t="str">
        <f>'A) Base RI'!B264</f>
        <v>Valbroye</v>
      </c>
      <c r="C263" s="495">
        <v>1230847.3813114758</v>
      </c>
      <c r="D263" s="495">
        <v>-418116.35848068865</v>
      </c>
      <c r="E263" s="230"/>
      <c r="F263" s="229"/>
      <c r="G263" s="229"/>
      <c r="H263" s="231">
        <f t="shared" ref="H263:H323" si="39">SUM(C263:G263)</f>
        <v>812731.02283078711</v>
      </c>
      <c r="I263" s="507">
        <v>78037.716438356161</v>
      </c>
      <c r="J263" s="127">
        <f>'B) D RI'!U264</f>
        <v>75142.69210045661</v>
      </c>
      <c r="K263" s="84">
        <f>H263/I263</f>
        <v>10.414592583225863</v>
      </c>
      <c r="L263" s="36">
        <f>'B) D RI'!S264</f>
        <v>73</v>
      </c>
      <c r="M263" s="36">
        <f>L263-K263</f>
        <v>62.585407416774139</v>
      </c>
      <c r="N263" s="498">
        <f>'J) Plafonnement effort'!G262+'J) Plafonnement effort'!H262-'K) Plafonnement aide'!I262</f>
        <v>-0.80945681988047014</v>
      </c>
      <c r="O263" s="191">
        <f>M263+N263</f>
        <v>61.775950596893665</v>
      </c>
      <c r="P263" s="51">
        <f t="shared" si="34"/>
        <v>0</v>
      </c>
      <c r="Q263" s="67">
        <f>P263*J263</f>
        <v>0</v>
      </c>
      <c r="R263" s="222">
        <f>O263+P263</f>
        <v>61.775950596893665</v>
      </c>
      <c r="S263" s="191">
        <f>R263-L263</f>
        <v>-11.224049403106335</v>
      </c>
      <c r="T263" s="221"/>
    </row>
    <row r="264" spans="1:20" x14ac:dyDescent="0.25">
      <c r="A264" s="53">
        <f>'A) Base RI'!A265</f>
        <v>5841</v>
      </c>
      <c r="B264" s="65" t="str">
        <f>'A) Base RI'!B265</f>
        <v>Château-d'Oex</v>
      </c>
      <c r="C264" s="495">
        <v>2140660.0200900575</v>
      </c>
      <c r="D264" s="495">
        <v>-133127.86258051801</v>
      </c>
      <c r="E264" s="230"/>
      <c r="F264" s="229"/>
      <c r="G264" s="229"/>
      <c r="H264" s="231">
        <f t="shared" si="39"/>
        <v>2007532.1575095395</v>
      </c>
      <c r="I264" s="507">
        <v>107525.73574297188</v>
      </c>
      <c r="J264" s="127">
        <f>'B) D RI'!U265</f>
        <v>106457.35927710844</v>
      </c>
      <c r="K264" s="84">
        <f>H264/I264</f>
        <v>18.670248044694326</v>
      </c>
      <c r="L264" s="36">
        <f>'B) D RI'!S265</f>
        <v>83</v>
      </c>
      <c r="M264" s="36">
        <f>L264-K264</f>
        <v>64.329751955305682</v>
      </c>
      <c r="N264" s="498">
        <f>'J) Plafonnement effort'!G263+'J) Plafonnement effort'!H263-'K) Plafonnement aide'!I263</f>
        <v>-0.6523766874746606</v>
      </c>
      <c r="O264" s="191">
        <f>M264+N264</f>
        <v>63.677375267831025</v>
      </c>
      <c r="P264" s="51">
        <f t="shared" si="34"/>
        <v>0</v>
      </c>
      <c r="Q264" s="67">
        <f>P264*J264</f>
        <v>0</v>
      </c>
      <c r="R264" s="222">
        <f>O264+P264</f>
        <v>63.677375267831025</v>
      </c>
      <c r="S264" s="191">
        <f>R264-L264</f>
        <v>-19.322624732168975</v>
      </c>
      <c r="T264" s="221"/>
    </row>
    <row r="265" spans="1:20" x14ac:dyDescent="0.25">
      <c r="A265" s="53">
        <f>'A) Base RI'!A266</f>
        <v>5842</v>
      </c>
      <c r="B265" s="65" t="str">
        <f>'A) Base RI'!B266</f>
        <v>Rossinière</v>
      </c>
      <c r="C265" s="495">
        <v>270933.70783178619</v>
      </c>
      <c r="D265" s="495">
        <v>38942.325718328415</v>
      </c>
      <c r="E265" s="230"/>
      <c r="F265" s="229"/>
      <c r="G265" s="229"/>
      <c r="H265" s="231">
        <f t="shared" si="39"/>
        <v>309876.0335501146</v>
      </c>
      <c r="I265" s="507">
        <v>16554.125349794238</v>
      </c>
      <c r="J265" s="127">
        <f>'B) D RI'!U266</f>
        <v>13519.399629629628</v>
      </c>
      <c r="K265" s="84">
        <f t="shared" si="37"/>
        <v>18.71896140704083</v>
      </c>
      <c r="L265" s="36">
        <f>'B) D RI'!S266</f>
        <v>81</v>
      </c>
      <c r="M265" s="36">
        <f t="shared" si="32"/>
        <v>62.28103859295917</v>
      </c>
      <c r="N265" s="498">
        <f>'J) Plafonnement effort'!G264+'J) Plafonnement effort'!H264-'K) Plafonnement aide'!I264</f>
        <v>2.2405500730954895</v>
      </c>
      <c r="O265" s="191">
        <f t="shared" si="33"/>
        <v>64.521588666054654</v>
      </c>
      <c r="P265" s="51">
        <f t="shared" si="34"/>
        <v>0</v>
      </c>
      <c r="Q265" s="67">
        <f t="shared" si="38"/>
        <v>0</v>
      </c>
      <c r="R265" s="222">
        <f t="shared" si="35"/>
        <v>64.521588666054654</v>
      </c>
      <c r="S265" s="191">
        <f t="shared" si="36"/>
        <v>-16.478411333945346</v>
      </c>
      <c r="T265" s="221"/>
    </row>
    <row r="266" spans="1:20" x14ac:dyDescent="0.25">
      <c r="A266" s="53">
        <f>'A) Base RI'!A267</f>
        <v>5843</v>
      </c>
      <c r="B266" s="65" t="str">
        <f>'A) Base RI'!B267</f>
        <v>Rougemont</v>
      </c>
      <c r="C266" s="495">
        <v>3487336.4327212004</v>
      </c>
      <c r="D266" s="495">
        <v>1247582.0586775243</v>
      </c>
      <c r="E266" s="230"/>
      <c r="F266" s="229"/>
      <c r="G266" s="229"/>
      <c r="H266" s="231">
        <f t="shared" si="39"/>
        <v>4734918.4913987247</v>
      </c>
      <c r="I266" s="507">
        <v>92297.453816425128</v>
      </c>
      <c r="J266" s="127">
        <f>'B) D RI'!U267</f>
        <v>88213.430628019312</v>
      </c>
      <c r="K266" s="84">
        <f t="shared" si="37"/>
        <v>51.30064043604316</v>
      </c>
      <c r="L266" s="36">
        <f>'B) D RI'!S267</f>
        <v>69</v>
      </c>
      <c r="M266" s="36">
        <f t="shared" si="32"/>
        <v>17.69935956395684</v>
      </c>
      <c r="N266" s="498">
        <f>'J) Plafonnement effort'!G265+'J) Plafonnement effort'!H265-'K) Plafonnement aide'!I265</f>
        <v>37.260604112370487</v>
      </c>
      <c r="O266" s="191">
        <f t="shared" si="33"/>
        <v>54.959963676327327</v>
      </c>
      <c r="P266" s="51">
        <f t="shared" si="34"/>
        <v>0</v>
      </c>
      <c r="Q266" s="67">
        <f t="shared" si="38"/>
        <v>0</v>
      </c>
      <c r="R266" s="222">
        <f t="shared" si="35"/>
        <v>54.959963676327327</v>
      </c>
      <c r="S266" s="191">
        <f t="shared" si="36"/>
        <v>-14.040036323672673</v>
      </c>
      <c r="T266" s="221"/>
    </row>
    <row r="267" spans="1:20" x14ac:dyDescent="0.25">
      <c r="A267" s="53">
        <f>'A) Base RI'!A268</f>
        <v>5851</v>
      </c>
      <c r="B267" s="65" t="str">
        <f>'A) Base RI'!B268</f>
        <v>Allaman</v>
      </c>
      <c r="C267" s="495">
        <v>218391.02214127441</v>
      </c>
      <c r="D267" s="495">
        <v>416353.84031663556</v>
      </c>
      <c r="E267" s="230"/>
      <c r="F267" s="229"/>
      <c r="G267" s="229"/>
      <c r="H267" s="231">
        <f t="shared" si="39"/>
        <v>634744.86245790997</v>
      </c>
      <c r="I267" s="507">
        <v>26311.895293255133</v>
      </c>
      <c r="J267" s="127">
        <f>'B) D RI'!U268</f>
        <v>26900.629237536661</v>
      </c>
      <c r="K267" s="84">
        <f t="shared" si="37"/>
        <v>24.123874596773053</v>
      </c>
      <c r="L267" s="36">
        <f>'B) D RI'!S268</f>
        <v>62</v>
      </c>
      <c r="M267" s="36">
        <f t="shared" si="32"/>
        <v>37.876125403226951</v>
      </c>
      <c r="N267" s="498">
        <f>'J) Plafonnement effort'!G266+'J) Plafonnement effort'!H266-'K) Plafonnement aide'!I266</f>
        <v>49.343904831052505</v>
      </c>
      <c r="O267" s="191">
        <f t="shared" si="33"/>
        <v>87.220030234279449</v>
      </c>
      <c r="P267" s="51">
        <f t="shared" si="34"/>
        <v>0</v>
      </c>
      <c r="Q267" s="67">
        <f t="shared" si="38"/>
        <v>0</v>
      </c>
      <c r="R267" s="222">
        <f t="shared" si="35"/>
        <v>87.220030234279449</v>
      </c>
      <c r="S267" s="191">
        <f t="shared" si="36"/>
        <v>25.220030234279449</v>
      </c>
      <c r="T267" s="221"/>
    </row>
    <row r="268" spans="1:20" x14ac:dyDescent="0.25">
      <c r="A268" s="53">
        <f>'A) Base RI'!A269</f>
        <v>5852</v>
      </c>
      <c r="B268" s="65" t="str">
        <f>'A) Base RI'!B269</f>
        <v>Bursinel</v>
      </c>
      <c r="C268" s="495">
        <v>670430.24205130665</v>
      </c>
      <c r="D268" s="495">
        <v>501756.67963683367</v>
      </c>
      <c r="E268" s="230"/>
      <c r="F268" s="229"/>
      <c r="G268" s="229"/>
      <c r="H268" s="231">
        <f t="shared" si="39"/>
        <v>1172186.9216881404</v>
      </c>
      <c r="I268" s="507">
        <v>31632.546141732284</v>
      </c>
      <c r="J268" s="127">
        <f>'B) D RI'!U269</f>
        <v>29922.291297709922</v>
      </c>
      <c r="K268" s="84">
        <f t="shared" si="37"/>
        <v>37.056356969687428</v>
      </c>
      <c r="L268" s="36">
        <f>'B) D RI'!S269</f>
        <v>65.5</v>
      </c>
      <c r="M268" s="36">
        <f t="shared" si="32"/>
        <v>28.443643030312572</v>
      </c>
      <c r="N268" s="498">
        <f>'J) Plafonnement effort'!G267+'J) Plafonnement effort'!H267-'K) Plafonnement aide'!I267</f>
        <v>32.018333929251433</v>
      </c>
      <c r="O268" s="191">
        <f t="shared" si="33"/>
        <v>60.461976959564005</v>
      </c>
      <c r="P268" s="51">
        <f t="shared" si="34"/>
        <v>0</v>
      </c>
      <c r="Q268" s="67">
        <f t="shared" si="38"/>
        <v>0</v>
      </c>
      <c r="R268" s="222">
        <f t="shared" si="35"/>
        <v>60.461976959564005</v>
      </c>
      <c r="S268" s="191">
        <f t="shared" si="36"/>
        <v>-5.0380230404359949</v>
      </c>
      <c r="T268" s="221"/>
    </row>
    <row r="269" spans="1:20" x14ac:dyDescent="0.25">
      <c r="A269" s="53">
        <f>'A) Base RI'!A270</f>
        <v>5853</v>
      </c>
      <c r="B269" s="65" t="str">
        <f>'A) Base RI'!B270</f>
        <v>Bursins</v>
      </c>
      <c r="C269" s="495">
        <v>683091.44255801919</v>
      </c>
      <c r="D269" s="495">
        <v>609920.45335857931</v>
      </c>
      <c r="E269" s="230"/>
      <c r="F269" s="229"/>
      <c r="G269" s="229"/>
      <c r="H269" s="231">
        <f t="shared" si="39"/>
        <v>1293011.8959165984</v>
      </c>
      <c r="I269" s="507">
        <v>37118.734366197183</v>
      </c>
      <c r="J269" s="127">
        <f>'B) D RI'!U270</f>
        <v>40543.223380281692</v>
      </c>
      <c r="K269" s="84">
        <f t="shared" si="37"/>
        <v>34.834482317212355</v>
      </c>
      <c r="L269" s="36">
        <f>'B) D RI'!S270</f>
        <v>71</v>
      </c>
      <c r="M269" s="36">
        <f t="shared" si="32"/>
        <v>36.165517682787645</v>
      </c>
      <c r="N269" s="498">
        <f>'J) Plafonnement effort'!G268+'J) Plafonnement effort'!H268-'K) Plafonnement aide'!I268</f>
        <v>35.262818559774935</v>
      </c>
      <c r="O269" s="191">
        <f t="shared" si="33"/>
        <v>71.42833624256258</v>
      </c>
      <c r="P269" s="51">
        <f t="shared" si="34"/>
        <v>0</v>
      </c>
      <c r="Q269" s="67">
        <f t="shared" si="38"/>
        <v>0</v>
      </c>
      <c r="R269" s="222">
        <f t="shared" si="35"/>
        <v>71.42833624256258</v>
      </c>
      <c r="S269" s="191">
        <f t="shared" si="36"/>
        <v>0.42833624256257963</v>
      </c>
      <c r="T269" s="221"/>
    </row>
    <row r="270" spans="1:20" x14ac:dyDescent="0.25">
      <c r="A270" s="53">
        <f>'A) Base RI'!A271</f>
        <v>5854</v>
      </c>
      <c r="B270" s="65" t="str">
        <f>'A) Base RI'!B271</f>
        <v>Burtigny</v>
      </c>
      <c r="C270" s="495">
        <v>158315.08501946772</v>
      </c>
      <c r="D270" s="495">
        <v>24448.950472363969</v>
      </c>
      <c r="E270" s="230"/>
      <c r="F270" s="229"/>
      <c r="G270" s="229"/>
      <c r="H270" s="231">
        <f t="shared" si="39"/>
        <v>182764.03549183169</v>
      </c>
      <c r="I270" s="507">
        <v>10244.164041666669</v>
      </c>
      <c r="J270" s="127">
        <f>'B) D RI'!U271</f>
        <v>10577.787833333332</v>
      </c>
      <c r="K270" s="84">
        <f t="shared" si="37"/>
        <v>17.840795476181871</v>
      </c>
      <c r="L270" s="36">
        <f>'B) D RI'!S271</f>
        <v>80</v>
      </c>
      <c r="M270" s="36">
        <f t="shared" ref="M270:M299" si="40">L270-K270</f>
        <v>62.159204523818133</v>
      </c>
      <c r="N270" s="498">
        <f>'J) Plafonnement effort'!G269+'J) Plafonnement effort'!H269-'K) Plafonnement aide'!I269</f>
        <v>17.097241785805025</v>
      </c>
      <c r="O270" s="191">
        <f t="shared" ref="O270:O323" si="41">M270+N270</f>
        <v>79.256446309623158</v>
      </c>
      <c r="P270" s="51">
        <f t="shared" ref="P270:P323" si="42">IF(O270&gt;$P$5,$P$5-O270,0)</f>
        <v>0</v>
      </c>
      <c r="Q270" s="67">
        <f t="shared" si="38"/>
        <v>0</v>
      </c>
      <c r="R270" s="222">
        <f t="shared" ref="R270:R323" si="43">O270+P270</f>
        <v>79.256446309623158</v>
      </c>
      <c r="S270" s="191">
        <f t="shared" ref="S270:S323" si="44">R270-L270</f>
        <v>-0.74355369037684227</v>
      </c>
      <c r="T270" s="221"/>
    </row>
    <row r="271" spans="1:20" x14ac:dyDescent="0.25">
      <c r="A271" s="53">
        <f>'A) Base RI'!A272</f>
        <v>5855</v>
      </c>
      <c r="B271" s="65" t="str">
        <f>'A) Base RI'!B272</f>
        <v>Dully</v>
      </c>
      <c r="C271" s="495">
        <v>1874748.2212884882</v>
      </c>
      <c r="D271" s="495">
        <v>890248.73025878705</v>
      </c>
      <c r="E271" s="230"/>
      <c r="F271" s="229"/>
      <c r="G271" s="229"/>
      <c r="H271" s="231">
        <f t="shared" si="39"/>
        <v>2764996.9515472753</v>
      </c>
      <c r="I271" s="507">
        <v>65353.176326530607</v>
      </c>
      <c r="J271" s="127">
        <f>'B) D RI'!U272</f>
        <v>79387.772653061227</v>
      </c>
      <c r="K271" s="84">
        <f t="shared" si="37"/>
        <v>42.308531994409037</v>
      </c>
      <c r="L271" s="36">
        <f>'B) D RI'!S272</f>
        <v>49</v>
      </c>
      <c r="M271" s="36">
        <f t="shared" si="40"/>
        <v>6.6914680055909628</v>
      </c>
      <c r="N271" s="498">
        <f>'J) Plafonnement effort'!G270+'J) Plafonnement effort'!H270-'K) Plafonnement aide'!I270</f>
        <v>42.47472682849704</v>
      </c>
      <c r="O271" s="191">
        <f t="shared" si="41"/>
        <v>49.166194834088003</v>
      </c>
      <c r="P271" s="51">
        <f t="shared" si="42"/>
        <v>0</v>
      </c>
      <c r="Q271" s="67">
        <f t="shared" si="38"/>
        <v>0</v>
      </c>
      <c r="R271" s="222">
        <f t="shared" si="43"/>
        <v>49.166194834088003</v>
      </c>
      <c r="S271" s="191">
        <f t="shared" si="44"/>
        <v>0.16619483408800306</v>
      </c>
      <c r="T271" s="221"/>
    </row>
    <row r="272" spans="1:20" x14ac:dyDescent="0.25">
      <c r="A272" s="53">
        <f>'A) Base RI'!A273</f>
        <v>5856</v>
      </c>
      <c r="B272" s="65" t="str">
        <f>'A) Base RI'!B273</f>
        <v>Essertines-sur-Rolle</v>
      </c>
      <c r="C272" s="495">
        <v>432316.68590995425</v>
      </c>
      <c r="D272" s="495">
        <v>430066.29194703785</v>
      </c>
      <c r="E272" s="230"/>
      <c r="F272" s="229"/>
      <c r="G272" s="229"/>
      <c r="H272" s="231">
        <f t="shared" si="39"/>
        <v>862382.97785699205</v>
      </c>
      <c r="I272" s="507">
        <v>28766.256402714938</v>
      </c>
      <c r="J272" s="127">
        <f>'B) D RI'!U273</f>
        <v>31862.802285067875</v>
      </c>
      <c r="K272" s="84">
        <f t="shared" si="37"/>
        <v>29.978978348242805</v>
      </c>
      <c r="L272" s="36">
        <f>'B) D RI'!S273</f>
        <v>68</v>
      </c>
      <c r="M272" s="36">
        <f t="shared" si="40"/>
        <v>38.021021651757195</v>
      </c>
      <c r="N272" s="498">
        <f>'J) Plafonnement effort'!G271+'J) Plafonnement effort'!H271-'K) Plafonnement aide'!I271</f>
        <v>32.875182491919091</v>
      </c>
      <c r="O272" s="191">
        <f t="shared" si="41"/>
        <v>70.896204143676286</v>
      </c>
      <c r="P272" s="51">
        <f t="shared" si="42"/>
        <v>0</v>
      </c>
      <c r="Q272" s="67">
        <f t="shared" si="38"/>
        <v>0</v>
      </c>
      <c r="R272" s="222">
        <f t="shared" si="43"/>
        <v>70.896204143676286</v>
      </c>
      <c r="S272" s="191">
        <f t="shared" si="44"/>
        <v>2.896204143676286</v>
      </c>
      <c r="T272" s="221"/>
    </row>
    <row r="273" spans="1:20" x14ac:dyDescent="0.25">
      <c r="A273" s="53">
        <f>'A) Base RI'!A274</f>
        <v>5857</v>
      </c>
      <c r="B273" s="65" t="str">
        <f>'A) Base RI'!B274</f>
        <v>Gilly</v>
      </c>
      <c r="C273" s="495">
        <v>1150979.9403507556</v>
      </c>
      <c r="D273" s="495">
        <v>885443.95299670426</v>
      </c>
      <c r="E273" s="230"/>
      <c r="F273" s="229"/>
      <c r="G273" s="229"/>
      <c r="H273" s="231">
        <f t="shared" si="39"/>
        <v>2036423.8933474598</v>
      </c>
      <c r="I273" s="507">
        <v>55694.918787878785</v>
      </c>
      <c r="J273" s="127">
        <f>'B) D RI'!U274</f>
        <v>62540.44560606061</v>
      </c>
      <c r="K273" s="84">
        <f t="shared" si="37"/>
        <v>36.563908120657118</v>
      </c>
      <c r="L273" s="36">
        <f>'B) D RI'!S274</f>
        <v>66</v>
      </c>
      <c r="M273" s="36">
        <f t="shared" si="40"/>
        <v>29.436091879342882</v>
      </c>
      <c r="N273" s="498">
        <f>'J) Plafonnement effort'!G272+'J) Plafonnement effort'!H272-'K) Plafonnement aide'!I272</f>
        <v>38.607416930106119</v>
      </c>
      <c r="O273" s="191">
        <f t="shared" si="41"/>
        <v>68.043508809449008</v>
      </c>
      <c r="P273" s="51">
        <f t="shared" si="42"/>
        <v>0</v>
      </c>
      <c r="Q273" s="67">
        <f t="shared" si="38"/>
        <v>0</v>
      </c>
      <c r="R273" s="222">
        <f t="shared" si="43"/>
        <v>68.043508809449008</v>
      </c>
      <c r="S273" s="191">
        <f t="shared" si="44"/>
        <v>2.0435088094490084</v>
      </c>
      <c r="T273" s="221"/>
    </row>
    <row r="274" spans="1:20" x14ac:dyDescent="0.25">
      <c r="A274" s="53">
        <f>'A) Base RI'!A275</f>
        <v>5858</v>
      </c>
      <c r="B274" s="65" t="str">
        <f>'A) Base RI'!B275</f>
        <v>Luins</v>
      </c>
      <c r="C274" s="495">
        <v>512624.71799631492</v>
      </c>
      <c r="D274" s="495">
        <v>558517.09851001692</v>
      </c>
      <c r="E274" s="230"/>
      <c r="F274" s="229"/>
      <c r="G274" s="229"/>
      <c r="H274" s="231">
        <f t="shared" si="39"/>
        <v>1071141.8165063318</v>
      </c>
      <c r="I274" s="507">
        <v>33594.571611111111</v>
      </c>
      <c r="J274" s="127">
        <f>'B) D RI'!U275</f>
        <v>35045.301944444444</v>
      </c>
      <c r="K274" s="84">
        <f t="shared" ref="K274:K323" si="45">H274/I274</f>
        <v>31.884371942759376</v>
      </c>
      <c r="L274" s="36">
        <f>'B) D RI'!S275</f>
        <v>60</v>
      </c>
      <c r="M274" s="36">
        <f t="shared" si="40"/>
        <v>28.115628057240624</v>
      </c>
      <c r="N274" s="498">
        <f>'J) Plafonnement effort'!G273+'J) Plafonnement effort'!H273-'K) Plafonnement aide'!I273</f>
        <v>31.490717053198914</v>
      </c>
      <c r="O274" s="191">
        <f t="shared" si="41"/>
        <v>59.606345110439534</v>
      </c>
      <c r="P274" s="51">
        <f t="shared" si="42"/>
        <v>0</v>
      </c>
      <c r="Q274" s="67">
        <f t="shared" si="38"/>
        <v>0</v>
      </c>
      <c r="R274" s="222">
        <f t="shared" si="43"/>
        <v>59.606345110439534</v>
      </c>
      <c r="S274" s="191">
        <f t="shared" si="44"/>
        <v>-0.3936548895604659</v>
      </c>
      <c r="T274" s="221"/>
    </row>
    <row r="275" spans="1:20" x14ac:dyDescent="0.25">
      <c r="A275" s="53">
        <f>'A) Base RI'!A276</f>
        <v>5859</v>
      </c>
      <c r="B275" s="65" t="str">
        <f>'A) Base RI'!B276</f>
        <v>Mont-sur-Rolle</v>
      </c>
      <c r="C275" s="495">
        <v>2494242.7386656124</v>
      </c>
      <c r="D275" s="495">
        <v>2045450.0874643838</v>
      </c>
      <c r="E275" s="230"/>
      <c r="F275" s="229"/>
      <c r="G275" s="229"/>
      <c r="H275" s="231">
        <f t="shared" si="39"/>
        <v>4539692.8261299962</v>
      </c>
      <c r="I275" s="507">
        <v>147627.58999999997</v>
      </c>
      <c r="J275" s="127">
        <f>'B) D RI'!U276</f>
        <v>130430.38093750003</v>
      </c>
      <c r="K275" s="84">
        <f t="shared" si="45"/>
        <v>30.75097836474874</v>
      </c>
      <c r="L275" s="36">
        <f>'B) D RI'!S276</f>
        <v>64</v>
      </c>
      <c r="M275" s="36">
        <f t="shared" si="40"/>
        <v>33.24902163525126</v>
      </c>
      <c r="N275" s="498">
        <f>'J) Plafonnement effort'!G274+'J) Plafonnement effort'!H274-'K) Plafonnement aide'!I274</f>
        <v>30.765984462572661</v>
      </c>
      <c r="O275" s="191">
        <f t="shared" si="41"/>
        <v>64.015006097823914</v>
      </c>
      <c r="P275" s="51">
        <f t="shared" si="42"/>
        <v>0</v>
      </c>
      <c r="Q275" s="67">
        <f t="shared" ref="Q275:Q323" si="46">P275*J275</f>
        <v>0</v>
      </c>
      <c r="R275" s="222">
        <f t="shared" si="43"/>
        <v>64.015006097823914</v>
      </c>
      <c r="S275" s="191">
        <f t="shared" si="44"/>
        <v>1.5006097823913933E-2</v>
      </c>
      <c r="T275" s="221"/>
    </row>
    <row r="276" spans="1:20" x14ac:dyDescent="0.25">
      <c r="A276" s="53">
        <f>'A) Base RI'!A277</f>
        <v>5860</v>
      </c>
      <c r="B276" s="65" t="str">
        <f>'A) Base RI'!B277</f>
        <v>Perroy</v>
      </c>
      <c r="C276" s="495">
        <v>1773992.813277914</v>
      </c>
      <c r="D276" s="495">
        <v>1320486.7948880286</v>
      </c>
      <c r="E276" s="230"/>
      <c r="F276" s="229"/>
      <c r="G276" s="229"/>
      <c r="H276" s="231">
        <f t="shared" si="39"/>
        <v>3094479.6081659426</v>
      </c>
      <c r="I276" s="507">
        <v>88241.731705128201</v>
      </c>
      <c r="J276" s="127">
        <f>'B) D RI'!U277</f>
        <v>92749.778038461533</v>
      </c>
      <c r="K276" s="84">
        <f t="shared" si="45"/>
        <v>35.06821033959951</v>
      </c>
      <c r="L276" s="36">
        <f>'B) D RI'!S277</f>
        <v>60</v>
      </c>
      <c r="M276" s="36">
        <f t="shared" si="40"/>
        <v>24.93178966040049</v>
      </c>
      <c r="N276" s="498">
        <f>'J) Plafonnement effort'!G275+'J) Plafonnement effort'!H275-'K) Plafonnement aide'!I275</f>
        <v>34.338349823754967</v>
      </c>
      <c r="O276" s="191">
        <f t="shared" si="41"/>
        <v>59.270139484155457</v>
      </c>
      <c r="P276" s="51">
        <f t="shared" si="42"/>
        <v>0</v>
      </c>
      <c r="Q276" s="67">
        <f t="shared" si="46"/>
        <v>0</v>
      </c>
      <c r="R276" s="222">
        <f t="shared" si="43"/>
        <v>59.270139484155457</v>
      </c>
      <c r="S276" s="191">
        <f t="shared" si="44"/>
        <v>-0.72986051584454259</v>
      </c>
      <c r="T276" s="221"/>
    </row>
    <row r="277" spans="1:20" x14ac:dyDescent="0.25">
      <c r="A277" s="53">
        <f>'A) Base RI'!A278</f>
        <v>5861</v>
      </c>
      <c r="B277" s="65" t="str">
        <f>'A) Base RI'!B278</f>
        <v>Rolle</v>
      </c>
      <c r="C277" s="495">
        <v>16951639.559979185</v>
      </c>
      <c r="D277" s="495">
        <v>6819960.198607171</v>
      </c>
      <c r="E277" s="230"/>
      <c r="F277" s="229"/>
      <c r="G277" s="229"/>
      <c r="H277" s="231">
        <f t="shared" si="39"/>
        <v>23771599.758586355</v>
      </c>
      <c r="I277" s="507">
        <v>641127.68151260505</v>
      </c>
      <c r="J277" s="127">
        <f>'B) D RI'!U278</f>
        <v>834788.40991596645</v>
      </c>
      <c r="K277" s="84">
        <f t="shared" si="45"/>
        <v>37.077793463077896</v>
      </c>
      <c r="L277" s="36">
        <f>'B) D RI'!S278</f>
        <v>59.5</v>
      </c>
      <c r="M277" s="36">
        <f t="shared" si="40"/>
        <v>22.422206536922104</v>
      </c>
      <c r="N277" s="498">
        <f>'J) Plafonnement effort'!G276+'J) Plafonnement effort'!H276-'K) Plafonnement aide'!I276</f>
        <v>39.115320586148307</v>
      </c>
      <c r="O277" s="191">
        <f t="shared" si="41"/>
        <v>61.537527123070412</v>
      </c>
      <c r="P277" s="51">
        <f t="shared" si="42"/>
        <v>0</v>
      </c>
      <c r="Q277" s="67">
        <f t="shared" si="46"/>
        <v>0</v>
      </c>
      <c r="R277" s="222">
        <f t="shared" si="43"/>
        <v>61.537527123070412</v>
      </c>
      <c r="S277" s="191">
        <f t="shared" si="44"/>
        <v>2.0375271230704115</v>
      </c>
      <c r="T277" s="221"/>
    </row>
    <row r="278" spans="1:20" x14ac:dyDescent="0.25">
      <c r="A278" s="53">
        <f>'A) Base RI'!A279</f>
        <v>5862</v>
      </c>
      <c r="B278" s="65" t="str">
        <f>'A) Base RI'!B279</f>
        <v>Tartegnin</v>
      </c>
      <c r="C278" s="495">
        <v>158277.17507676414</v>
      </c>
      <c r="D278" s="495">
        <v>160785.42980487214</v>
      </c>
      <c r="E278" s="230"/>
      <c r="F278" s="229"/>
      <c r="G278" s="229"/>
      <c r="H278" s="231">
        <f t="shared" si="39"/>
        <v>319062.60488163627</v>
      </c>
      <c r="I278" s="507">
        <v>9990.8663492063497</v>
      </c>
      <c r="J278" s="127">
        <f>'B) D RI'!U279</f>
        <v>8301.4215873015874</v>
      </c>
      <c r="K278" s="84">
        <f t="shared" si="45"/>
        <v>31.935429193983946</v>
      </c>
      <c r="L278" s="36">
        <f>'B) D RI'!S279</f>
        <v>84</v>
      </c>
      <c r="M278" s="36">
        <f t="shared" si="40"/>
        <v>52.06457080601605</v>
      </c>
      <c r="N278" s="498">
        <f>'J) Plafonnement effort'!G277+'J) Plafonnement effort'!H277-'K) Plafonnement aide'!I277</f>
        <v>26.580966608749684</v>
      </c>
      <c r="O278" s="191">
        <f t="shared" si="41"/>
        <v>78.645537414765727</v>
      </c>
      <c r="P278" s="51">
        <f t="shared" si="42"/>
        <v>0</v>
      </c>
      <c r="Q278" s="67">
        <f t="shared" si="46"/>
        <v>0</v>
      </c>
      <c r="R278" s="222">
        <f t="shared" si="43"/>
        <v>78.645537414765727</v>
      </c>
      <c r="S278" s="191">
        <f t="shared" si="44"/>
        <v>-5.3544625852342733</v>
      </c>
      <c r="T278" s="221"/>
    </row>
    <row r="279" spans="1:20" x14ac:dyDescent="0.25">
      <c r="A279" s="53">
        <f>'A) Base RI'!A280</f>
        <v>5863</v>
      </c>
      <c r="B279" s="65" t="str">
        <f>'A) Base RI'!B280</f>
        <v>Vinzel</v>
      </c>
      <c r="C279" s="495">
        <v>534711.90461403923</v>
      </c>
      <c r="D279" s="495">
        <v>393813.86161543115</v>
      </c>
      <c r="E279" s="230"/>
      <c r="F279" s="229"/>
      <c r="G279" s="229"/>
      <c r="H279" s="231">
        <f t="shared" si="39"/>
        <v>928525.76622947038</v>
      </c>
      <c r="I279" s="507">
        <v>25660.793857142853</v>
      </c>
      <c r="J279" s="127">
        <f>'B) D RI'!U280</f>
        <v>24528.370999999999</v>
      </c>
      <c r="K279" s="84">
        <f t="shared" si="45"/>
        <v>36.184607982071803</v>
      </c>
      <c r="L279" s="36">
        <f>'B) D RI'!S280</f>
        <v>70</v>
      </c>
      <c r="M279" s="36">
        <f t="shared" si="40"/>
        <v>33.815392017928197</v>
      </c>
      <c r="N279" s="498">
        <f>'J) Plafonnement effort'!G278+'J) Plafonnement effort'!H278-'K) Plafonnement aide'!I278</f>
        <v>34.943457822919399</v>
      </c>
      <c r="O279" s="191">
        <f t="shared" si="41"/>
        <v>68.758849840847603</v>
      </c>
      <c r="P279" s="51">
        <f t="shared" si="42"/>
        <v>0</v>
      </c>
      <c r="Q279" s="67">
        <f t="shared" si="46"/>
        <v>0</v>
      </c>
      <c r="R279" s="222">
        <f t="shared" si="43"/>
        <v>68.758849840847603</v>
      </c>
      <c r="S279" s="191">
        <f t="shared" si="44"/>
        <v>-1.2411501591523972</v>
      </c>
      <c r="T279" s="221"/>
    </row>
    <row r="280" spans="1:20" x14ac:dyDescent="0.25">
      <c r="A280" s="53">
        <f>'A) Base RI'!A281</f>
        <v>5871</v>
      </c>
      <c r="B280" s="65" t="str">
        <f>'A) Base RI'!B281</f>
        <v>L'Abbaye</v>
      </c>
      <c r="C280" s="495">
        <v>964842.59287786041</v>
      </c>
      <c r="D280" s="495">
        <v>362627.64778016566</v>
      </c>
      <c r="E280" s="230"/>
      <c r="F280" s="229"/>
      <c r="G280" s="229"/>
      <c r="H280" s="231">
        <f t="shared" si="39"/>
        <v>1327470.2406580262</v>
      </c>
      <c r="I280" s="507">
        <v>49270.614706263776</v>
      </c>
      <c r="J280" s="127">
        <f>'B) D RI'!U281</f>
        <v>41169.431926700228</v>
      </c>
      <c r="K280" s="84">
        <f t="shared" si="45"/>
        <v>26.942433102813812</v>
      </c>
      <c r="L280" s="36">
        <f>'B) D RI'!S281</f>
        <v>77.489999999999995</v>
      </c>
      <c r="M280" s="36">
        <f t="shared" si="40"/>
        <v>50.547566897186186</v>
      </c>
      <c r="N280" s="498">
        <f>'J) Plafonnement effort'!G279+'J) Plafonnement effort'!H279-'K) Plafonnement aide'!I279</f>
        <v>14.426843990245672</v>
      </c>
      <c r="O280" s="191">
        <f t="shared" si="41"/>
        <v>64.974410887431858</v>
      </c>
      <c r="P280" s="51">
        <f t="shared" si="42"/>
        <v>0</v>
      </c>
      <c r="Q280" s="67">
        <f t="shared" si="46"/>
        <v>0</v>
      </c>
      <c r="R280" s="222">
        <f t="shared" si="43"/>
        <v>64.974410887431858</v>
      </c>
      <c r="S280" s="191">
        <f t="shared" si="44"/>
        <v>-12.515589112568136</v>
      </c>
      <c r="T280" s="221"/>
    </row>
    <row r="281" spans="1:20" x14ac:dyDescent="0.25">
      <c r="A281" s="53">
        <f>'A) Base RI'!A282</f>
        <v>5872</v>
      </c>
      <c r="B281" s="65" t="str">
        <f>'A) Base RI'!B282</f>
        <v>Le Chenit</v>
      </c>
      <c r="C281" s="495">
        <v>7244306.0301612634</v>
      </c>
      <c r="D281" s="495">
        <v>3797324.7808682662</v>
      </c>
      <c r="E281" s="230"/>
      <c r="F281" s="229"/>
      <c r="G281" s="229"/>
      <c r="H281" s="231">
        <f t="shared" si="39"/>
        <v>11041630.811029529</v>
      </c>
      <c r="I281" s="507">
        <v>312565.48082674423</v>
      </c>
      <c r="J281" s="127">
        <f>'B) D RI'!U282</f>
        <v>315523.99059233442</v>
      </c>
      <c r="K281" s="84">
        <f t="shared" si="45"/>
        <v>35.325816471556983</v>
      </c>
      <c r="L281" s="36">
        <f>'B) D RI'!S282</f>
        <v>69.7</v>
      </c>
      <c r="M281" s="36">
        <f t="shared" si="40"/>
        <v>34.374183528443019</v>
      </c>
      <c r="N281" s="498">
        <f>'J) Plafonnement effort'!G280+'J) Plafonnement effort'!H280-'K) Plafonnement aide'!I280</f>
        <v>31.908678273482192</v>
      </c>
      <c r="O281" s="191">
        <f t="shared" si="41"/>
        <v>66.282861801925208</v>
      </c>
      <c r="P281" s="51">
        <f t="shared" si="42"/>
        <v>0</v>
      </c>
      <c r="Q281" s="67">
        <f t="shared" si="46"/>
        <v>0</v>
      </c>
      <c r="R281" s="222">
        <f t="shared" si="43"/>
        <v>66.282861801925208</v>
      </c>
      <c r="S281" s="191">
        <f t="shared" si="44"/>
        <v>-3.4171381980747952</v>
      </c>
      <c r="T281" s="221"/>
    </row>
    <row r="282" spans="1:20" x14ac:dyDescent="0.25">
      <c r="A282" s="53">
        <f>'A) Base RI'!A283</f>
        <v>5873</v>
      </c>
      <c r="B282" s="65" t="str">
        <f>'A) Base RI'!B283</f>
        <v>Le Lieu</v>
      </c>
      <c r="C282" s="495">
        <v>857767.17832542816</v>
      </c>
      <c r="D282" s="495">
        <v>552598.57596954796</v>
      </c>
      <c r="E282" s="230"/>
      <c r="F282" s="229"/>
      <c r="G282" s="229"/>
      <c r="H282" s="231">
        <f t="shared" si="39"/>
        <v>1410365.7542949761</v>
      </c>
      <c r="I282" s="507">
        <v>35906.558461538458</v>
      </c>
      <c r="J282" s="127">
        <f>'B) D RI'!U283</f>
        <v>30587.067025641027</v>
      </c>
      <c r="K282" s="84">
        <f t="shared" si="45"/>
        <v>39.278778438365194</v>
      </c>
      <c r="L282" s="36">
        <f>'B) D RI'!S283</f>
        <v>65</v>
      </c>
      <c r="M282" s="36">
        <f t="shared" si="40"/>
        <v>25.721221561634806</v>
      </c>
      <c r="N282" s="498">
        <f>'J) Plafonnement effort'!G281+'J) Plafonnement effort'!H281-'K) Plafonnement aide'!I281</f>
        <v>6.1715051580789471</v>
      </c>
      <c r="O282" s="191">
        <f t="shared" si="41"/>
        <v>31.892726719713753</v>
      </c>
      <c r="P282" s="51">
        <f t="shared" si="42"/>
        <v>0</v>
      </c>
      <c r="Q282" s="67">
        <f t="shared" si="46"/>
        <v>0</v>
      </c>
      <c r="R282" s="222">
        <f t="shared" si="43"/>
        <v>31.892726719713753</v>
      </c>
      <c r="S282" s="191">
        <f t="shared" si="44"/>
        <v>-33.10727328028625</v>
      </c>
      <c r="T282" s="221"/>
    </row>
    <row r="283" spans="1:20" x14ac:dyDescent="0.25">
      <c r="A283" s="53">
        <f>'A) Base RI'!A284</f>
        <v>5881</v>
      </c>
      <c r="B283" s="65" t="str">
        <f>'A) Base RI'!B284</f>
        <v>Blonay</v>
      </c>
      <c r="C283" s="495">
        <v>6265681.9104724666</v>
      </c>
      <c r="D283" s="495">
        <v>3936250.2751742471</v>
      </c>
      <c r="E283" s="230"/>
      <c r="F283" s="229"/>
      <c r="G283" s="229"/>
      <c r="H283" s="231">
        <f t="shared" si="39"/>
        <v>10201932.185646713</v>
      </c>
      <c r="I283" s="507">
        <v>350302.66257142869</v>
      </c>
      <c r="J283" s="127">
        <f>'B) D RI'!U284</f>
        <v>332407.86157142854</v>
      </c>
      <c r="K283" s="84">
        <f t="shared" si="45"/>
        <v>29.123193385852389</v>
      </c>
      <c r="L283" s="36">
        <f>'B) D RI'!S284</f>
        <v>70</v>
      </c>
      <c r="M283" s="36">
        <f t="shared" si="40"/>
        <v>40.876806614147611</v>
      </c>
      <c r="N283" s="498">
        <f>'J) Plafonnement effort'!G282+'J) Plafonnement effort'!H282-'K) Plafonnement aide'!I282</f>
        <v>27.5526189231689</v>
      </c>
      <c r="O283" s="191">
        <f t="shared" si="41"/>
        <v>68.429425537316519</v>
      </c>
      <c r="P283" s="51">
        <f t="shared" si="42"/>
        <v>0</v>
      </c>
      <c r="Q283" s="67">
        <f t="shared" si="46"/>
        <v>0</v>
      </c>
      <c r="R283" s="222">
        <f t="shared" si="43"/>
        <v>68.429425537316519</v>
      </c>
      <c r="S283" s="191">
        <f t="shared" si="44"/>
        <v>-1.5705744626834814</v>
      </c>
      <c r="T283" s="221"/>
    </row>
    <row r="284" spans="1:20" x14ac:dyDescent="0.25">
      <c r="A284" s="53">
        <f>'A) Base RI'!A285</f>
        <v>5882</v>
      </c>
      <c r="B284" s="65" t="str">
        <f>'A) Base RI'!B285</f>
        <v>Chardonne</v>
      </c>
      <c r="C284" s="495">
        <v>3141150.6451142225</v>
      </c>
      <c r="D284" s="495">
        <v>2231672.2974069989</v>
      </c>
      <c r="E284" s="230"/>
      <c r="F284" s="229"/>
      <c r="G284" s="229"/>
      <c r="H284" s="231">
        <f t="shared" si="39"/>
        <v>5372822.9425212219</v>
      </c>
      <c r="I284" s="507">
        <v>162874.24803030302</v>
      </c>
      <c r="J284" s="127">
        <f>'B) D RI'!U285</f>
        <v>151089.46617647054</v>
      </c>
      <c r="K284" s="84">
        <f t="shared" si="45"/>
        <v>32.98755332716317</v>
      </c>
      <c r="L284" s="36">
        <f>'B) D RI'!S285</f>
        <v>68</v>
      </c>
      <c r="M284" s="36">
        <f t="shared" si="40"/>
        <v>35.01244667283683</v>
      </c>
      <c r="N284" s="498">
        <f>'J) Plafonnement effort'!G283+'J) Plafonnement effort'!H283-'K) Plafonnement aide'!I283</f>
        <v>30.083497448019855</v>
      </c>
      <c r="O284" s="191">
        <f t="shared" si="41"/>
        <v>65.095944120856686</v>
      </c>
      <c r="P284" s="51">
        <f t="shared" si="42"/>
        <v>0</v>
      </c>
      <c r="Q284" s="67">
        <f t="shared" si="46"/>
        <v>0</v>
      </c>
      <c r="R284" s="222">
        <f t="shared" si="43"/>
        <v>65.095944120856686</v>
      </c>
      <c r="S284" s="191">
        <f t="shared" si="44"/>
        <v>-2.9040558791433142</v>
      </c>
      <c r="T284" s="221"/>
    </row>
    <row r="285" spans="1:20" x14ac:dyDescent="0.25">
      <c r="A285" s="53">
        <f>'A) Base RI'!A286</f>
        <v>5883</v>
      </c>
      <c r="B285" s="65" t="str">
        <f>'A) Base RI'!B286</f>
        <v>Corseaux</v>
      </c>
      <c r="C285" s="495">
        <v>3083495.1809364734</v>
      </c>
      <c r="D285" s="495">
        <v>1999179.5925533855</v>
      </c>
      <c r="E285" s="230"/>
      <c r="F285" s="229"/>
      <c r="G285" s="229"/>
      <c r="H285" s="231">
        <f t="shared" si="39"/>
        <v>5082674.773489859</v>
      </c>
      <c r="I285" s="507">
        <v>144418.05406250001</v>
      </c>
      <c r="J285" s="127">
        <f>'B) D RI'!U286</f>
        <v>151117.63015625</v>
      </c>
      <c r="K285" s="84">
        <f t="shared" si="45"/>
        <v>35.19417850132659</v>
      </c>
      <c r="L285" s="36">
        <f>'B) D RI'!S286</f>
        <v>64</v>
      </c>
      <c r="M285" s="36">
        <f t="shared" si="40"/>
        <v>28.80582149867341</v>
      </c>
      <c r="N285" s="498">
        <f>'J) Plafonnement effort'!G284+'J) Plafonnement effort'!H284-'K) Plafonnement aide'!I284</f>
        <v>34.923711160225437</v>
      </c>
      <c r="O285" s="191">
        <f t="shared" si="41"/>
        <v>63.729532658898847</v>
      </c>
      <c r="P285" s="51">
        <f t="shared" si="42"/>
        <v>0</v>
      </c>
      <c r="Q285" s="67">
        <f t="shared" si="46"/>
        <v>0</v>
      </c>
      <c r="R285" s="222">
        <f t="shared" si="43"/>
        <v>63.729532658898847</v>
      </c>
      <c r="S285" s="191">
        <f t="shared" si="44"/>
        <v>-0.27046734110115267</v>
      </c>
      <c r="T285" s="221"/>
    </row>
    <row r="286" spans="1:20" x14ac:dyDescent="0.25">
      <c r="A286" s="53">
        <f>'A) Base RI'!A287</f>
        <v>5884</v>
      </c>
      <c r="B286" s="65" t="str">
        <f>'A) Base RI'!B287</f>
        <v>Corsier-sur-Vevey</v>
      </c>
      <c r="C286" s="495">
        <v>2245086.7026375411</v>
      </c>
      <c r="D286" s="495">
        <v>1147930.8555719084</v>
      </c>
      <c r="E286" s="230"/>
      <c r="F286" s="229"/>
      <c r="G286" s="229"/>
      <c r="H286" s="231">
        <f t="shared" si="39"/>
        <v>3393017.5582094495</v>
      </c>
      <c r="I286" s="507">
        <v>132379.93277777778</v>
      </c>
      <c r="J286" s="127">
        <f>'B) D RI'!U287</f>
        <v>116440.6211111111</v>
      </c>
      <c r="K286" s="84">
        <f t="shared" si="45"/>
        <v>25.630905583742866</v>
      </c>
      <c r="L286" s="36">
        <f>'B) D RI'!S287</f>
        <v>66</v>
      </c>
      <c r="M286" s="36">
        <f t="shared" si="40"/>
        <v>40.369094416257134</v>
      </c>
      <c r="N286" s="498">
        <f>'J) Plafonnement effort'!G285+'J) Plafonnement effort'!H285-'K) Plafonnement aide'!I285</f>
        <v>14.84152803838945</v>
      </c>
      <c r="O286" s="191">
        <f t="shared" si="41"/>
        <v>55.210622454646582</v>
      </c>
      <c r="P286" s="51">
        <f t="shared" si="42"/>
        <v>0</v>
      </c>
      <c r="Q286" s="67">
        <f t="shared" si="46"/>
        <v>0</v>
      </c>
      <c r="R286" s="222">
        <f t="shared" si="43"/>
        <v>55.210622454646582</v>
      </c>
      <c r="S286" s="191">
        <f t="shared" si="44"/>
        <v>-10.789377545353418</v>
      </c>
      <c r="T286" s="221"/>
    </row>
    <row r="287" spans="1:20" x14ac:dyDescent="0.25">
      <c r="A287" s="53">
        <f>'A) Base RI'!A288</f>
        <v>5885</v>
      </c>
      <c r="B287" s="65" t="str">
        <f>'A) Base RI'!B288</f>
        <v>Jongny</v>
      </c>
      <c r="C287" s="495">
        <v>6147256.4146442283</v>
      </c>
      <c r="D287" s="495">
        <v>2326303.2588328221</v>
      </c>
      <c r="E287" s="230"/>
      <c r="F287" s="229"/>
      <c r="G287" s="229"/>
      <c r="H287" s="231">
        <f t="shared" si="39"/>
        <v>8473559.6734770499</v>
      </c>
      <c r="I287" s="507">
        <v>197476.07983091791</v>
      </c>
      <c r="J287" s="127">
        <f>'B) D RI'!U288</f>
        <v>81843.123028169022</v>
      </c>
      <c r="K287" s="84">
        <f t="shared" si="45"/>
        <v>42.909296562562126</v>
      </c>
      <c r="L287" s="36">
        <f>'B) D RI'!S288</f>
        <v>71</v>
      </c>
      <c r="M287" s="36">
        <f t="shared" si="40"/>
        <v>28.090703437437874</v>
      </c>
      <c r="N287" s="498">
        <f>'J) Plafonnement effort'!G286+'J) Plafonnement effort'!H286-'K) Plafonnement aide'!I286</f>
        <v>31.789535644222553</v>
      </c>
      <c r="O287" s="191">
        <f t="shared" si="41"/>
        <v>59.880239081660427</v>
      </c>
      <c r="P287" s="51">
        <f t="shared" si="42"/>
        <v>0</v>
      </c>
      <c r="Q287" s="67">
        <f t="shared" si="46"/>
        <v>0</v>
      </c>
      <c r="R287" s="222">
        <f t="shared" si="43"/>
        <v>59.880239081660427</v>
      </c>
      <c r="S287" s="191">
        <f t="shared" si="44"/>
        <v>-11.119760918339573</v>
      </c>
      <c r="T287" s="221"/>
    </row>
    <row r="288" spans="1:20" x14ac:dyDescent="0.25">
      <c r="A288" s="53">
        <f>'A) Base RI'!A289</f>
        <v>5886</v>
      </c>
      <c r="B288" s="65" t="str">
        <f>'A) Base RI'!B289</f>
        <v>Montreux</v>
      </c>
      <c r="C288" s="495">
        <v>22934834.543012403</v>
      </c>
      <c r="D288" s="495">
        <v>-1358031.9642069601</v>
      </c>
      <c r="E288" s="230"/>
      <c r="F288" s="229"/>
      <c r="G288" s="229"/>
      <c r="H288" s="231">
        <f t="shared" si="39"/>
        <v>21576802.578805443</v>
      </c>
      <c r="I288" s="507">
        <v>1113145.3400000003</v>
      </c>
      <c r="J288" s="127">
        <f>'B) D RI'!U289</f>
        <v>1175239.0178974359</v>
      </c>
      <c r="K288" s="84">
        <f t="shared" si="45"/>
        <v>19.383634646312615</v>
      </c>
      <c r="L288" s="36">
        <f>'B) D RI'!S289</f>
        <v>65</v>
      </c>
      <c r="M288" s="36">
        <f t="shared" si="40"/>
        <v>45.616365353687385</v>
      </c>
      <c r="N288" s="498">
        <f>'J) Plafonnement effort'!G287+'J) Plafonnement effort'!H287-'K) Plafonnement aide'!I287</f>
        <v>16.700084868622142</v>
      </c>
      <c r="O288" s="191">
        <f t="shared" si="41"/>
        <v>62.316450222309527</v>
      </c>
      <c r="P288" s="51">
        <f t="shared" si="42"/>
        <v>0</v>
      </c>
      <c r="Q288" s="67">
        <f t="shared" si="46"/>
        <v>0</v>
      </c>
      <c r="R288" s="222">
        <f t="shared" si="43"/>
        <v>62.316450222309527</v>
      </c>
      <c r="S288" s="191">
        <f t="shared" si="44"/>
        <v>-2.6835497776904731</v>
      </c>
      <c r="T288" s="221"/>
    </row>
    <row r="289" spans="1:20" x14ac:dyDescent="0.25">
      <c r="A289" s="53">
        <f>'A) Base RI'!A290</f>
        <v>5888</v>
      </c>
      <c r="B289" s="65" t="str">
        <f>'A) Base RI'!B290</f>
        <v>Saint-Légier-La Chiésaz</v>
      </c>
      <c r="C289" s="495">
        <v>5820231.1462040497</v>
      </c>
      <c r="D289" s="495">
        <v>3740682.7515696902</v>
      </c>
      <c r="E289" s="230"/>
      <c r="F289" s="229"/>
      <c r="G289" s="229"/>
      <c r="H289" s="231">
        <f t="shared" si="39"/>
        <v>9560913.897773739</v>
      </c>
      <c r="I289" s="507">
        <v>313348.84833333333</v>
      </c>
      <c r="J289" s="127">
        <f>'B) D RI'!U290</f>
        <v>307135.62007462693</v>
      </c>
      <c r="K289" s="84">
        <f t="shared" si="45"/>
        <v>30.512044159814678</v>
      </c>
      <c r="L289" s="36">
        <f>'B) D RI'!S290</f>
        <v>67</v>
      </c>
      <c r="M289" s="36">
        <f t="shared" si="40"/>
        <v>36.487955840185322</v>
      </c>
      <c r="N289" s="498">
        <f>'J) Plafonnement effort'!G288+'J) Plafonnement effort'!H288-'K) Plafonnement aide'!I288</f>
        <v>29.474400751314274</v>
      </c>
      <c r="O289" s="191">
        <f t="shared" si="41"/>
        <v>65.962356591499599</v>
      </c>
      <c r="P289" s="51">
        <f t="shared" si="42"/>
        <v>0</v>
      </c>
      <c r="Q289" s="67">
        <f t="shared" si="46"/>
        <v>0</v>
      </c>
      <c r="R289" s="222">
        <f t="shared" si="43"/>
        <v>65.962356591499599</v>
      </c>
      <c r="S289" s="191">
        <f t="shared" si="44"/>
        <v>-1.0376434085004007</v>
      </c>
      <c r="T289" s="221"/>
    </row>
    <row r="290" spans="1:20" x14ac:dyDescent="0.25">
      <c r="A290" s="53">
        <f>'A) Base RI'!A291</f>
        <v>5889</v>
      </c>
      <c r="B290" s="65" t="str">
        <f>'A) Base RI'!B291</f>
        <v>La Tour-de-Peilz</v>
      </c>
      <c r="C290" s="495">
        <v>9560136.4253832698</v>
      </c>
      <c r="D290" s="495">
        <v>4717114.2633267082</v>
      </c>
      <c r="E290" s="230"/>
      <c r="F290" s="229"/>
      <c r="G290" s="229"/>
      <c r="H290" s="231">
        <f t="shared" si="39"/>
        <v>14277250.688709978</v>
      </c>
      <c r="I290" s="507">
        <v>590141.45856770838</v>
      </c>
      <c r="J290" s="127">
        <f>'B) D RI'!U291</f>
        <v>618611.02559895837</v>
      </c>
      <c r="K290" s="84">
        <f t="shared" si="45"/>
        <v>24.192929477216037</v>
      </c>
      <c r="L290" s="36">
        <f>'B) D RI'!S291</f>
        <v>64</v>
      </c>
      <c r="M290" s="36">
        <f t="shared" si="40"/>
        <v>39.80707052278396</v>
      </c>
      <c r="N290" s="498">
        <f>'J) Plafonnement effort'!G289+'J) Plafonnement effort'!H289-'K) Plafonnement aide'!I289</f>
        <v>26.451599259777463</v>
      </c>
      <c r="O290" s="191">
        <f t="shared" si="41"/>
        <v>66.258669782561427</v>
      </c>
      <c r="P290" s="51">
        <f t="shared" si="42"/>
        <v>0</v>
      </c>
      <c r="Q290" s="67">
        <f t="shared" si="46"/>
        <v>0</v>
      </c>
      <c r="R290" s="222">
        <f t="shared" si="43"/>
        <v>66.258669782561427</v>
      </c>
      <c r="S290" s="191">
        <f t="shared" si="44"/>
        <v>2.2586697825614266</v>
      </c>
      <c r="T290" s="221"/>
    </row>
    <row r="291" spans="1:20" x14ac:dyDescent="0.25">
      <c r="A291" s="53">
        <f>'A) Base RI'!A292</f>
        <v>5890</v>
      </c>
      <c r="B291" s="65" t="str">
        <f>'A) Base RI'!B292</f>
        <v>Vevey</v>
      </c>
      <c r="C291" s="495">
        <v>15595360.695266016</v>
      </c>
      <c r="D291" s="495">
        <v>3015900.0695978366</v>
      </c>
      <c r="E291" s="230"/>
      <c r="F291" s="229"/>
      <c r="G291" s="229"/>
      <c r="H291" s="231">
        <f t="shared" si="39"/>
        <v>18611260.764863852</v>
      </c>
      <c r="I291" s="507">
        <v>922155.6933561645</v>
      </c>
      <c r="J291" s="127">
        <f>'B) D RI'!U292</f>
        <v>909212.90865296812</v>
      </c>
      <c r="K291" s="84">
        <f t="shared" si="45"/>
        <v>20.182341115445045</v>
      </c>
      <c r="L291" s="36">
        <f>'B) D RI'!S292</f>
        <v>73</v>
      </c>
      <c r="M291" s="36">
        <f t="shared" si="40"/>
        <v>52.817658884554959</v>
      </c>
      <c r="N291" s="498">
        <f>'J) Plafonnement effort'!G290+'J) Plafonnement effort'!H290-'K) Plafonnement aide'!I290</f>
        <v>18.004174754516622</v>
      </c>
      <c r="O291" s="191">
        <f t="shared" si="41"/>
        <v>70.821833639071585</v>
      </c>
      <c r="P291" s="51">
        <f t="shared" si="42"/>
        <v>0</v>
      </c>
      <c r="Q291" s="67">
        <f t="shared" si="46"/>
        <v>0</v>
      </c>
      <c r="R291" s="222">
        <f t="shared" si="43"/>
        <v>70.821833639071585</v>
      </c>
      <c r="S291" s="191">
        <f t="shared" si="44"/>
        <v>-2.1781663609284152</v>
      </c>
      <c r="T291" s="221"/>
    </row>
    <row r="292" spans="1:20" x14ac:dyDescent="0.25">
      <c r="A292" s="53">
        <f>'A) Base RI'!A293</f>
        <v>5891</v>
      </c>
      <c r="B292" s="65" t="str">
        <f>'A) Base RI'!B293</f>
        <v>Veytaux</v>
      </c>
      <c r="C292" s="495">
        <v>648091.36601855257</v>
      </c>
      <c r="D292" s="495">
        <v>604404.75544636848</v>
      </c>
      <c r="E292" s="230"/>
      <c r="F292" s="229"/>
      <c r="G292" s="229"/>
      <c r="H292" s="231">
        <f t="shared" si="39"/>
        <v>1252496.1214649212</v>
      </c>
      <c r="I292" s="507">
        <v>37259.444879227056</v>
      </c>
      <c r="J292" s="127">
        <f>'B) D RI'!U293</f>
        <v>39510.481835748789</v>
      </c>
      <c r="K292" s="84">
        <f t="shared" si="45"/>
        <v>33.615533605633907</v>
      </c>
      <c r="L292" s="36">
        <f>'B) D RI'!S293</f>
        <v>69</v>
      </c>
      <c r="M292" s="36">
        <f t="shared" si="40"/>
        <v>35.384466394366093</v>
      </c>
      <c r="N292" s="498">
        <f>'J) Plafonnement effort'!G291+'J) Plafonnement effort'!H291-'K) Plafonnement aide'!I291</f>
        <v>27.943238849153623</v>
      </c>
      <c r="O292" s="191">
        <f t="shared" si="41"/>
        <v>63.327705243519716</v>
      </c>
      <c r="P292" s="51">
        <f t="shared" si="42"/>
        <v>0</v>
      </c>
      <c r="Q292" s="67">
        <f t="shared" si="46"/>
        <v>0</v>
      </c>
      <c r="R292" s="222">
        <f t="shared" si="43"/>
        <v>63.327705243519716</v>
      </c>
      <c r="S292" s="191">
        <f t="shared" si="44"/>
        <v>-5.6722947564802837</v>
      </c>
      <c r="T292" s="221"/>
    </row>
    <row r="293" spans="1:20" x14ac:dyDescent="0.25">
      <c r="A293" s="53">
        <f>'A) Base RI'!A294</f>
        <v>5902</v>
      </c>
      <c r="B293" s="65" t="str">
        <f>'A) Base RI'!B294</f>
        <v>Belmont-sur-Yverdon</v>
      </c>
      <c r="C293" s="495">
        <v>180855.01594170392</v>
      </c>
      <c r="D293" s="495">
        <v>-48018.904895799671</v>
      </c>
      <c r="E293" s="230"/>
      <c r="F293" s="229"/>
      <c r="G293" s="229"/>
      <c r="H293" s="231">
        <f t="shared" si="39"/>
        <v>132836.11104590425</v>
      </c>
      <c r="I293" s="507">
        <v>8642.2247368421067</v>
      </c>
      <c r="J293" s="127">
        <f>'B) D RI'!U294</f>
        <v>9227.1448684210518</v>
      </c>
      <c r="K293" s="84">
        <f t="shared" si="45"/>
        <v>15.370592074471201</v>
      </c>
      <c r="L293" s="36">
        <f>'B) D RI'!S294</f>
        <v>76</v>
      </c>
      <c r="M293" s="36">
        <f t="shared" si="40"/>
        <v>60.629407925528795</v>
      </c>
      <c r="N293" s="498">
        <f>'J) Plafonnement effort'!G292+'J) Plafonnement effort'!H292-'K) Plafonnement aide'!I292</f>
        <v>11.857169887235598</v>
      </c>
      <c r="O293" s="191">
        <f t="shared" si="41"/>
        <v>72.486577812764395</v>
      </c>
      <c r="P293" s="51">
        <f t="shared" si="42"/>
        <v>0</v>
      </c>
      <c r="Q293" s="67">
        <f t="shared" si="46"/>
        <v>0</v>
      </c>
      <c r="R293" s="222">
        <f t="shared" si="43"/>
        <v>72.486577812764395</v>
      </c>
      <c r="S293" s="191">
        <f t="shared" si="44"/>
        <v>-3.5134221872356051</v>
      </c>
      <c r="T293" s="221"/>
    </row>
    <row r="294" spans="1:20" x14ac:dyDescent="0.25">
      <c r="A294" s="53">
        <f>'A) Base RI'!A295</f>
        <v>5903</v>
      </c>
      <c r="B294" s="65" t="str">
        <f>'A) Base RI'!B295</f>
        <v>Bioley-Magnoux</v>
      </c>
      <c r="C294" s="495">
        <v>132378.11034790921</v>
      </c>
      <c r="D294" s="495">
        <v>32617.986536828335</v>
      </c>
      <c r="E294" s="230"/>
      <c r="F294" s="229"/>
      <c r="G294" s="229"/>
      <c r="H294" s="231">
        <f t="shared" si="39"/>
        <v>164996.09688473755</v>
      </c>
      <c r="I294" s="507">
        <v>6046.5271621621623</v>
      </c>
      <c r="J294" s="127">
        <f>'B) D RI'!U295</f>
        <v>5953.911158301159</v>
      </c>
      <c r="K294" s="84">
        <f t="shared" si="45"/>
        <v>27.287745917565186</v>
      </c>
      <c r="L294" s="36">
        <f>'B) D RI'!S295</f>
        <v>74</v>
      </c>
      <c r="M294" s="36">
        <f t="shared" si="40"/>
        <v>46.712254082434811</v>
      </c>
      <c r="N294" s="498">
        <f>'J) Plafonnement effort'!G293+'J) Plafonnement effort'!H293-'K) Plafonnement aide'!I293</f>
        <v>-20.697713494707529</v>
      </c>
      <c r="O294" s="191">
        <f t="shared" si="41"/>
        <v>26.014540587727282</v>
      </c>
      <c r="P294" s="51">
        <f t="shared" si="42"/>
        <v>0</v>
      </c>
      <c r="Q294" s="67">
        <f t="shared" si="46"/>
        <v>0</v>
      </c>
      <c r="R294" s="222">
        <f t="shared" si="43"/>
        <v>26.014540587727282</v>
      </c>
      <c r="S294" s="191">
        <f t="shared" si="44"/>
        <v>-47.985459412272718</v>
      </c>
      <c r="T294" s="221"/>
    </row>
    <row r="295" spans="1:20" x14ac:dyDescent="0.25">
      <c r="A295" s="53">
        <f>'A) Base RI'!A296</f>
        <v>5904</v>
      </c>
      <c r="B295" s="65" t="str">
        <f>'A) Base RI'!B296</f>
        <v>Chamblon</v>
      </c>
      <c r="C295" s="495">
        <v>365507.52206072584</v>
      </c>
      <c r="D295" s="495">
        <v>236900.70731369761</v>
      </c>
      <c r="E295" s="230"/>
      <c r="F295" s="229"/>
      <c r="G295" s="229"/>
      <c r="H295" s="231">
        <f t="shared" si="39"/>
        <v>602408.22937442339</v>
      </c>
      <c r="I295" s="507">
        <v>20170.434545454544</v>
      </c>
      <c r="J295" s="127">
        <f>'B) D RI'!U296</f>
        <v>22914.009848484849</v>
      </c>
      <c r="K295" s="84">
        <f t="shared" si="45"/>
        <v>29.865902393767591</v>
      </c>
      <c r="L295" s="36">
        <f>'B) D RI'!S296</f>
        <v>66</v>
      </c>
      <c r="M295" s="36">
        <f t="shared" si="40"/>
        <v>36.134097606232409</v>
      </c>
      <c r="N295" s="498">
        <f>'J) Plafonnement effort'!G294+'J) Plafonnement effort'!H294-'K) Plafonnement aide'!I294</f>
        <v>31.394607180828189</v>
      </c>
      <c r="O295" s="191">
        <f t="shared" si="41"/>
        <v>67.528704787060605</v>
      </c>
      <c r="P295" s="51">
        <f t="shared" si="42"/>
        <v>0</v>
      </c>
      <c r="Q295" s="67">
        <f t="shared" si="46"/>
        <v>0</v>
      </c>
      <c r="R295" s="222">
        <f t="shared" si="43"/>
        <v>67.528704787060605</v>
      </c>
      <c r="S295" s="191">
        <f t="shared" si="44"/>
        <v>1.5287047870606045</v>
      </c>
      <c r="T295" s="221"/>
    </row>
    <row r="296" spans="1:20" x14ac:dyDescent="0.25">
      <c r="A296" s="53">
        <f>'A) Base RI'!A297</f>
        <v>5905</v>
      </c>
      <c r="B296" s="65" t="str">
        <f>'A) Base RI'!B297</f>
        <v>Champvent</v>
      </c>
      <c r="C296" s="495">
        <v>309779.26073474169</v>
      </c>
      <c r="D296" s="495">
        <v>101478.68913694372</v>
      </c>
      <c r="E296" s="230"/>
      <c r="F296" s="229"/>
      <c r="G296" s="229"/>
      <c r="H296" s="231">
        <f t="shared" si="39"/>
        <v>411257.94987168541</v>
      </c>
      <c r="I296" s="507">
        <v>18220.765633802814</v>
      </c>
      <c r="J296" s="127">
        <f>'B) D RI'!U297</f>
        <v>21038.740140845071</v>
      </c>
      <c r="K296" s="84">
        <f t="shared" si="45"/>
        <v>22.570838028272949</v>
      </c>
      <c r="L296" s="36">
        <f>'B) D RI'!S297</f>
        <v>71</v>
      </c>
      <c r="M296" s="36">
        <f t="shared" si="40"/>
        <v>48.429161971727055</v>
      </c>
      <c r="N296" s="498">
        <f>'J) Plafonnement effort'!G295+'J) Plafonnement effort'!H295-'K) Plafonnement aide'!I295</f>
        <v>26.978522672594107</v>
      </c>
      <c r="O296" s="191">
        <f t="shared" si="41"/>
        <v>75.407684644321165</v>
      </c>
      <c r="P296" s="51">
        <f t="shared" si="42"/>
        <v>0</v>
      </c>
      <c r="Q296" s="67">
        <f t="shared" si="46"/>
        <v>0</v>
      </c>
      <c r="R296" s="222">
        <f t="shared" si="43"/>
        <v>75.407684644321165</v>
      </c>
      <c r="S296" s="191">
        <f t="shared" si="44"/>
        <v>4.407684644321165</v>
      </c>
      <c r="T296" s="221"/>
    </row>
    <row r="297" spans="1:20" x14ac:dyDescent="0.25">
      <c r="A297" s="53">
        <f>'A) Base RI'!A298</f>
        <v>5907</v>
      </c>
      <c r="B297" s="65" t="str">
        <f>'A) Base RI'!B298</f>
        <v>Chavannes-le-Chêne</v>
      </c>
      <c r="C297" s="495">
        <v>120123.30167027769</v>
      </c>
      <c r="D297" s="495">
        <v>-24238.131123732048</v>
      </c>
      <c r="E297" s="230"/>
      <c r="F297" s="229"/>
      <c r="G297" s="229"/>
      <c r="H297" s="231">
        <f t="shared" si="39"/>
        <v>95885.170546545647</v>
      </c>
      <c r="I297" s="507">
        <v>6951.74782051282</v>
      </c>
      <c r="J297" s="127">
        <f>'B) D RI'!U298</f>
        <v>8819.3566666666684</v>
      </c>
      <c r="K297" s="84">
        <f t="shared" si="45"/>
        <v>13.792958695022447</v>
      </c>
      <c r="L297" s="36">
        <f>'B) D RI'!S298</f>
        <v>78</v>
      </c>
      <c r="M297" s="36">
        <f t="shared" si="40"/>
        <v>64.207041304977551</v>
      </c>
      <c r="N297" s="498">
        <f>'J) Plafonnement effort'!G296+'J) Plafonnement effort'!H296-'K) Plafonnement aide'!I296</f>
        <v>12.620659793292926</v>
      </c>
      <c r="O297" s="191">
        <f t="shared" si="41"/>
        <v>76.827701098270481</v>
      </c>
      <c r="P297" s="51">
        <f t="shared" si="42"/>
        <v>0</v>
      </c>
      <c r="Q297" s="67">
        <f t="shared" si="46"/>
        <v>0</v>
      </c>
      <c r="R297" s="222">
        <f t="shared" si="43"/>
        <v>76.827701098270481</v>
      </c>
      <c r="S297" s="191">
        <f t="shared" si="44"/>
        <v>-1.1722989017295191</v>
      </c>
      <c r="T297" s="221"/>
    </row>
    <row r="298" spans="1:20" x14ac:dyDescent="0.25">
      <c r="A298" s="53">
        <f>'A) Base RI'!A299</f>
        <v>5908</v>
      </c>
      <c r="B298" s="65" t="str">
        <f>'A) Base RI'!B299</f>
        <v>Chêne-Pâquier</v>
      </c>
      <c r="C298" s="495">
        <v>48611.137325380878</v>
      </c>
      <c r="D298" s="495">
        <v>-22176.00184361382</v>
      </c>
      <c r="E298" s="230"/>
      <c r="F298" s="229"/>
      <c r="G298" s="229"/>
      <c r="H298" s="231">
        <f t="shared" si="39"/>
        <v>26435.135481767058</v>
      </c>
      <c r="I298" s="507">
        <v>2899.0017721518989</v>
      </c>
      <c r="J298" s="127">
        <f>'B) D RI'!U299</f>
        <v>2915.1287341772154</v>
      </c>
      <c r="K298" s="84">
        <f t="shared" si="45"/>
        <v>9.1187027671751064</v>
      </c>
      <c r="L298" s="36">
        <f>'B) D RI'!S299</f>
        <v>79</v>
      </c>
      <c r="M298" s="36">
        <f t="shared" si="40"/>
        <v>69.881297232824892</v>
      </c>
      <c r="N298" s="498">
        <f>'J) Plafonnement effort'!G297+'J) Plafonnement effort'!H297-'K) Plafonnement aide'!I297</f>
        <v>-1.6119236101804368</v>
      </c>
      <c r="O298" s="191">
        <f t="shared" si="41"/>
        <v>68.269373622644451</v>
      </c>
      <c r="P298" s="51">
        <f t="shared" si="42"/>
        <v>0</v>
      </c>
      <c r="Q298" s="67">
        <f t="shared" si="46"/>
        <v>0</v>
      </c>
      <c r="R298" s="222">
        <f t="shared" si="43"/>
        <v>68.269373622644451</v>
      </c>
      <c r="S298" s="191">
        <f t="shared" si="44"/>
        <v>-10.730626377355549</v>
      </c>
      <c r="T298" s="221"/>
    </row>
    <row r="299" spans="1:20" x14ac:dyDescent="0.25">
      <c r="A299" s="53">
        <f>'A) Base RI'!A300</f>
        <v>5909</v>
      </c>
      <c r="B299" s="65" t="str">
        <f>'A) Base RI'!B300</f>
        <v>Cheseaux-Noréaz</v>
      </c>
      <c r="C299" s="495">
        <v>380222.19403860386</v>
      </c>
      <c r="D299" s="495">
        <v>230427.96911179711</v>
      </c>
      <c r="E299" s="230"/>
      <c r="F299" s="229"/>
      <c r="G299" s="229"/>
      <c r="H299" s="231">
        <f t="shared" si="39"/>
        <v>610650.16315040097</v>
      </c>
      <c r="I299" s="507">
        <v>22661.846714285719</v>
      </c>
      <c r="J299" s="127">
        <f>'B) D RI'!U300</f>
        <v>24771.110857142852</v>
      </c>
      <c r="K299" s="84">
        <f t="shared" si="45"/>
        <v>26.946178343243997</v>
      </c>
      <c r="L299" s="36">
        <f>'B) D RI'!S300</f>
        <v>70</v>
      </c>
      <c r="M299" s="36">
        <f t="shared" si="40"/>
        <v>43.053821656756</v>
      </c>
      <c r="N299" s="498">
        <f>'J) Plafonnement effort'!G298+'J) Plafonnement effort'!H298-'K) Plafonnement aide'!I298</f>
        <v>24.018942874158611</v>
      </c>
      <c r="O299" s="191">
        <f t="shared" si="41"/>
        <v>67.072764530914611</v>
      </c>
      <c r="P299" s="51">
        <f t="shared" si="42"/>
        <v>0</v>
      </c>
      <c r="Q299" s="67">
        <f t="shared" si="46"/>
        <v>0</v>
      </c>
      <c r="R299" s="222">
        <f t="shared" si="43"/>
        <v>67.072764530914611</v>
      </c>
      <c r="S299" s="191">
        <f t="shared" si="44"/>
        <v>-2.9272354690853888</v>
      </c>
      <c r="T299" s="221"/>
    </row>
    <row r="300" spans="1:20" x14ac:dyDescent="0.25">
      <c r="A300" s="53">
        <f>'A) Base RI'!A301</f>
        <v>5910</v>
      </c>
      <c r="B300" s="65" t="str">
        <f>'A) Base RI'!B301</f>
        <v>Cronay</v>
      </c>
      <c r="C300" s="495">
        <v>201161.23389016025</v>
      </c>
      <c r="D300" s="495">
        <v>13708.253617819835</v>
      </c>
      <c r="E300" s="230"/>
      <c r="F300" s="229"/>
      <c r="G300" s="229"/>
      <c r="H300" s="231">
        <f t="shared" si="39"/>
        <v>214869.48750798008</v>
      </c>
      <c r="I300" s="507">
        <v>10409.753209876544</v>
      </c>
      <c r="J300" s="127">
        <f>'B) D RI'!U301</f>
        <v>10097.267848101266</v>
      </c>
      <c r="K300" s="84">
        <f t="shared" si="45"/>
        <v>20.641170177225398</v>
      </c>
      <c r="L300" s="36">
        <f>'B) D RI'!S301</f>
        <v>79</v>
      </c>
      <c r="M300" s="36">
        <f t="shared" ref="M300:M323" si="47">L300-K300</f>
        <v>58.358829822774602</v>
      </c>
      <c r="N300" s="498">
        <f>'J) Plafonnement effort'!G299+'J) Plafonnement effort'!H299-'K) Plafonnement aide'!I299</f>
        <v>3.3705091877580973</v>
      </c>
      <c r="O300" s="191">
        <f t="shared" si="41"/>
        <v>61.729339010532698</v>
      </c>
      <c r="P300" s="51">
        <f t="shared" si="42"/>
        <v>0</v>
      </c>
      <c r="Q300" s="67">
        <f t="shared" si="46"/>
        <v>0</v>
      </c>
      <c r="R300" s="222">
        <f t="shared" si="43"/>
        <v>61.729339010532698</v>
      </c>
      <c r="S300" s="191">
        <f t="shared" si="44"/>
        <v>-17.270660989467302</v>
      </c>
      <c r="T300" s="221"/>
    </row>
    <row r="301" spans="1:20" x14ac:dyDescent="0.25">
      <c r="A301" s="53">
        <f>'A) Base RI'!A302</f>
        <v>5911</v>
      </c>
      <c r="B301" s="65" t="str">
        <f>'A) Base RI'!B302</f>
        <v>Cuarny</v>
      </c>
      <c r="C301" s="495">
        <v>97827.612260176684</v>
      </c>
      <c r="D301" s="495">
        <v>35176.001497343634</v>
      </c>
      <c r="E301" s="230"/>
      <c r="F301" s="229"/>
      <c r="G301" s="229"/>
      <c r="H301" s="231">
        <f>SUM(C301:G301)</f>
        <v>133003.61375752033</v>
      </c>
      <c r="I301" s="507">
        <v>6783.6280246913584</v>
      </c>
      <c r="J301" s="127">
        <f>'B) D RI'!U302</f>
        <v>7741.5774683544305</v>
      </c>
      <c r="K301" s="84">
        <f t="shared" si="45"/>
        <v>19.606560571040706</v>
      </c>
      <c r="L301" s="36">
        <f>'B) D RI'!S302</f>
        <v>79</v>
      </c>
      <c r="M301" s="36">
        <f t="shared" si="47"/>
        <v>59.393439428959297</v>
      </c>
      <c r="N301" s="498">
        <f>'J) Plafonnement effort'!G300+'J) Plafonnement effort'!H300-'K) Plafonnement aide'!I300</f>
        <v>8.3092347512700133</v>
      </c>
      <c r="O301" s="191">
        <f t="shared" si="41"/>
        <v>67.702674180229309</v>
      </c>
      <c r="P301" s="51">
        <f t="shared" si="42"/>
        <v>0</v>
      </c>
      <c r="Q301" s="67">
        <f t="shared" si="46"/>
        <v>0</v>
      </c>
      <c r="R301" s="222">
        <f t="shared" si="43"/>
        <v>67.702674180229309</v>
      </c>
      <c r="S301" s="191">
        <f t="shared" si="44"/>
        <v>-11.297325819770691</v>
      </c>
      <c r="T301" s="221"/>
    </row>
    <row r="302" spans="1:20" x14ac:dyDescent="0.25">
      <c r="A302" s="53">
        <f>'A) Base RI'!A303</f>
        <v>5912</v>
      </c>
      <c r="B302" s="65" t="str">
        <f>'A) Base RI'!B303</f>
        <v>Démoret</v>
      </c>
      <c r="C302" s="495">
        <v>95409.602270253003</v>
      </c>
      <c r="D302" s="495">
        <v>-11910.698112238395</v>
      </c>
      <c r="E302" s="230"/>
      <c r="F302" s="229"/>
      <c r="G302" s="229">
        <v>-1838</v>
      </c>
      <c r="H302" s="231">
        <f t="shared" si="39"/>
        <v>81660.9041580146</v>
      </c>
      <c r="I302" s="507">
        <v>3146.6025925925924</v>
      </c>
      <c r="J302" s="127">
        <f>'B) D RI'!U303</f>
        <v>2761.8208641975311</v>
      </c>
      <c r="K302" s="84">
        <f t="shared" si="45"/>
        <v>25.952086974774726</v>
      </c>
      <c r="L302" s="36">
        <f>'B) D RI'!S303</f>
        <v>81</v>
      </c>
      <c r="M302" s="36">
        <f t="shared" si="47"/>
        <v>55.04791302522527</v>
      </c>
      <c r="N302" s="498">
        <f>'J) Plafonnement effort'!G301+'J) Plafonnement effort'!H301-'K) Plafonnement aide'!I301</f>
        <v>-2.0624481474086283</v>
      </c>
      <c r="O302" s="191">
        <f t="shared" si="41"/>
        <v>52.985464877816639</v>
      </c>
      <c r="P302" s="51">
        <f t="shared" si="42"/>
        <v>0</v>
      </c>
      <c r="Q302" s="67">
        <f t="shared" si="46"/>
        <v>0</v>
      </c>
      <c r="R302" s="222">
        <f t="shared" si="43"/>
        <v>52.985464877816639</v>
      </c>
      <c r="S302" s="191">
        <f t="shared" si="44"/>
        <v>-28.014535122183361</v>
      </c>
      <c r="T302" s="221"/>
    </row>
    <row r="303" spans="1:20" x14ac:dyDescent="0.25">
      <c r="A303" s="53">
        <f>'A) Base RI'!A304</f>
        <v>5913</v>
      </c>
      <c r="B303" s="65" t="str">
        <f>'A) Base RI'!B304</f>
        <v>Donneloye</v>
      </c>
      <c r="C303" s="495">
        <v>395851.01336496481</v>
      </c>
      <c r="D303" s="495">
        <v>134301.9934977559</v>
      </c>
      <c r="E303" s="230"/>
      <c r="F303" s="229"/>
      <c r="G303" s="229"/>
      <c r="H303" s="231">
        <f t="shared" si="39"/>
        <v>530153.00686272071</v>
      </c>
      <c r="I303" s="507">
        <v>23116.238767123283</v>
      </c>
      <c r="J303" s="127">
        <f>'B) D RI'!U304</f>
        <v>21023.999589041094</v>
      </c>
      <c r="K303" s="84">
        <f t="shared" si="45"/>
        <v>22.934224386742478</v>
      </c>
      <c r="L303" s="36">
        <f>'B) D RI'!S304</f>
        <v>73</v>
      </c>
      <c r="M303" s="36">
        <f t="shared" si="47"/>
        <v>50.065775613257522</v>
      </c>
      <c r="N303" s="498">
        <f>'J) Plafonnement effort'!G302+'J) Plafonnement effort'!H302-'K) Plafonnement aide'!I302</f>
        <v>15.686834800016605</v>
      </c>
      <c r="O303" s="191">
        <f t="shared" si="41"/>
        <v>65.752610413274127</v>
      </c>
      <c r="P303" s="51">
        <f t="shared" si="42"/>
        <v>0</v>
      </c>
      <c r="Q303" s="67">
        <f t="shared" si="46"/>
        <v>0</v>
      </c>
      <c r="R303" s="222">
        <f t="shared" si="43"/>
        <v>65.752610413274127</v>
      </c>
      <c r="S303" s="191">
        <f t="shared" si="44"/>
        <v>-7.2473895867258733</v>
      </c>
      <c r="T303" s="221"/>
    </row>
    <row r="304" spans="1:20" x14ac:dyDescent="0.25">
      <c r="A304" s="53">
        <f>'A) Base RI'!A305</f>
        <v>5914</v>
      </c>
      <c r="B304" s="65" t="str">
        <f>'A) Base RI'!B305</f>
        <v>Ependes</v>
      </c>
      <c r="C304" s="495">
        <v>134011.35622382321</v>
      </c>
      <c r="D304" s="495">
        <v>-13320.253531231458</v>
      </c>
      <c r="E304" s="230"/>
      <c r="F304" s="229"/>
      <c r="G304" s="229"/>
      <c r="H304" s="231">
        <f t="shared" si="39"/>
        <v>120691.10269259175</v>
      </c>
      <c r="I304" s="507">
        <v>8750.2923999999985</v>
      </c>
      <c r="J304" s="127">
        <f>'B) D RI'!U305</f>
        <v>8838.0616000000009</v>
      </c>
      <c r="K304" s="84">
        <f t="shared" si="45"/>
        <v>13.792807962919248</v>
      </c>
      <c r="L304" s="36">
        <f>'B) D RI'!S305</f>
        <v>75</v>
      </c>
      <c r="M304" s="36">
        <f t="shared" si="47"/>
        <v>61.207192037080752</v>
      </c>
      <c r="N304" s="498">
        <f>'J) Plafonnement effort'!G303+'J) Plafonnement effort'!H303-'K) Plafonnement aide'!I303</f>
        <v>9.2505996528024568</v>
      </c>
      <c r="O304" s="191">
        <f t="shared" si="41"/>
        <v>70.457791689883209</v>
      </c>
      <c r="P304" s="51">
        <f t="shared" si="42"/>
        <v>0</v>
      </c>
      <c r="Q304" s="67">
        <f t="shared" si="46"/>
        <v>0</v>
      </c>
      <c r="R304" s="222">
        <f t="shared" si="43"/>
        <v>70.457791689883209</v>
      </c>
      <c r="S304" s="191">
        <f t="shared" si="44"/>
        <v>-4.5422083101167914</v>
      </c>
      <c r="T304" s="221"/>
    </row>
    <row r="305" spans="1:20" x14ac:dyDescent="0.25">
      <c r="A305" s="53">
        <f>'A) Base RI'!A306</f>
        <v>5915</v>
      </c>
      <c r="B305" s="65" t="str">
        <f>'A) Base RI'!B306</f>
        <v>Essert-Pittet</v>
      </c>
      <c r="C305" s="495">
        <v>81381.550824556121</v>
      </c>
      <c r="D305" s="495">
        <v>35441.937209771364</v>
      </c>
      <c r="E305" s="230"/>
      <c r="F305" s="229"/>
      <c r="G305" s="229"/>
      <c r="H305" s="231">
        <f t="shared" si="39"/>
        <v>116823.48803432749</v>
      </c>
      <c r="I305" s="507">
        <v>5181.7059529411763</v>
      </c>
      <c r="J305" s="127">
        <f>'B) D RI'!U306</f>
        <v>3860.3839529411766</v>
      </c>
      <c r="K305" s="84">
        <f t="shared" si="45"/>
        <v>22.545371948019856</v>
      </c>
      <c r="L305" s="36">
        <f>'B) D RI'!S306</f>
        <v>75</v>
      </c>
      <c r="M305" s="36">
        <f t="shared" si="47"/>
        <v>52.454628051980144</v>
      </c>
      <c r="N305" s="498">
        <f>'J) Plafonnement effort'!G304+'J) Plafonnement effort'!H304-'K) Plafonnement aide'!I304</f>
        <v>-2.2837224523566562</v>
      </c>
      <c r="O305" s="191">
        <f t="shared" si="41"/>
        <v>50.170905599623488</v>
      </c>
      <c r="P305" s="51">
        <f t="shared" si="42"/>
        <v>0</v>
      </c>
      <c r="Q305" s="67">
        <f t="shared" si="46"/>
        <v>0</v>
      </c>
      <c r="R305" s="222">
        <f t="shared" si="43"/>
        <v>50.170905599623488</v>
      </c>
      <c r="S305" s="191">
        <f t="shared" si="44"/>
        <v>-24.829094400376512</v>
      </c>
      <c r="T305" s="221"/>
    </row>
    <row r="306" spans="1:20" x14ac:dyDescent="0.25">
      <c r="A306" s="53">
        <f>'A) Base RI'!A307</f>
        <v>5919</v>
      </c>
      <c r="B306" s="65" t="str">
        <f>'A) Base RI'!B307</f>
        <v>Mathod</v>
      </c>
      <c r="C306" s="495">
        <v>239855.2295312316</v>
      </c>
      <c r="D306" s="495">
        <v>45265.977609526628</v>
      </c>
      <c r="E306" s="230"/>
      <c r="F306" s="229"/>
      <c r="G306" s="229"/>
      <c r="H306" s="231">
        <f>SUM(C306:G306)</f>
        <v>285121.20714075823</v>
      </c>
      <c r="I306" s="507">
        <v>16260.723851351351</v>
      </c>
      <c r="J306" s="127">
        <f>'B) D RI'!U307</f>
        <v>16883.878828828827</v>
      </c>
      <c r="K306" s="84">
        <f t="shared" si="45"/>
        <v>17.534349008519886</v>
      </c>
      <c r="L306" s="36">
        <f>'B) D RI'!S307</f>
        <v>74</v>
      </c>
      <c r="M306" s="36">
        <f t="shared" si="47"/>
        <v>56.465650991480118</v>
      </c>
      <c r="N306" s="498">
        <f>'J) Plafonnement effort'!G305+'J) Plafonnement effort'!H305-'K) Plafonnement aide'!I305</f>
        <v>15.647832993417223</v>
      </c>
      <c r="O306" s="191">
        <f t="shared" si="41"/>
        <v>72.113483984897343</v>
      </c>
      <c r="P306" s="51">
        <f t="shared" si="42"/>
        <v>0</v>
      </c>
      <c r="Q306" s="67">
        <f t="shared" si="46"/>
        <v>0</v>
      </c>
      <c r="R306" s="222">
        <f t="shared" si="43"/>
        <v>72.113483984897343</v>
      </c>
      <c r="S306" s="191">
        <f t="shared" si="44"/>
        <v>-1.8865160151026572</v>
      </c>
      <c r="T306" s="221"/>
    </row>
    <row r="307" spans="1:20" x14ac:dyDescent="0.25">
      <c r="A307" s="53">
        <f>'A) Base RI'!A308</f>
        <v>5921</v>
      </c>
      <c r="B307" s="65" t="str">
        <f>'A) Base RI'!B308</f>
        <v>Molondin</v>
      </c>
      <c r="C307" s="495">
        <v>103087.24403915138</v>
      </c>
      <c r="D307" s="495">
        <v>-57288.531151599454</v>
      </c>
      <c r="E307" s="230"/>
      <c r="F307" s="229"/>
      <c r="G307" s="229"/>
      <c r="H307" s="231">
        <f t="shared" si="39"/>
        <v>45798.712887551927</v>
      </c>
      <c r="I307" s="507">
        <v>4932.1140740740739</v>
      </c>
      <c r="J307" s="127">
        <f>'B) D RI'!U308</f>
        <v>5518.0840740740732</v>
      </c>
      <c r="K307" s="84">
        <f t="shared" si="45"/>
        <v>9.2858178460014447</v>
      </c>
      <c r="L307" s="36">
        <f>'B) D RI'!S308</f>
        <v>81</v>
      </c>
      <c r="M307" s="36">
        <f t="shared" si="47"/>
        <v>71.71418215399855</v>
      </c>
      <c r="N307" s="498">
        <f>'J) Plafonnement effort'!G306+'J) Plafonnement effort'!H306-'K) Plafonnement aide'!I306</f>
        <v>1.5749828919361519</v>
      </c>
      <c r="O307" s="191">
        <f t="shared" si="41"/>
        <v>73.289165045934709</v>
      </c>
      <c r="P307" s="51">
        <f t="shared" si="42"/>
        <v>0</v>
      </c>
      <c r="Q307" s="67">
        <f t="shared" si="46"/>
        <v>0</v>
      </c>
      <c r="R307" s="222">
        <f t="shared" si="43"/>
        <v>73.289165045934709</v>
      </c>
      <c r="S307" s="191">
        <f t="shared" si="44"/>
        <v>-7.710834954065291</v>
      </c>
      <c r="T307" s="221"/>
    </row>
    <row r="308" spans="1:20" x14ac:dyDescent="0.25">
      <c r="A308" s="53">
        <f>'A) Base RI'!A309</f>
        <v>5922</v>
      </c>
      <c r="B308" s="65" t="str">
        <f>'A) Base RI'!B309</f>
        <v>Montagny-près-Yverdon</v>
      </c>
      <c r="C308" s="495">
        <v>1156341.1723408001</v>
      </c>
      <c r="D308" s="495">
        <v>823022.76302254584</v>
      </c>
      <c r="E308" s="230"/>
      <c r="F308" s="229"/>
      <c r="G308" s="229"/>
      <c r="H308" s="231">
        <f t="shared" si="39"/>
        <v>1979363.9353633458</v>
      </c>
      <c r="I308" s="507">
        <v>54274.18045081968</v>
      </c>
      <c r="J308" s="127">
        <f>'B) D RI'!U309</f>
        <v>45028.443278688515</v>
      </c>
      <c r="K308" s="84">
        <f t="shared" si="45"/>
        <v>36.469715782386395</v>
      </c>
      <c r="L308" s="36">
        <f>'B) D RI'!S309</f>
        <v>61</v>
      </c>
      <c r="M308" s="36">
        <f t="shared" si="47"/>
        <v>24.530284217613605</v>
      </c>
      <c r="N308" s="498">
        <f>'J) Plafonnement effort'!G307+'J) Plafonnement effort'!H307-'K) Plafonnement aide'!I307</f>
        <v>31.428150776696462</v>
      </c>
      <c r="O308" s="191">
        <f t="shared" si="41"/>
        <v>55.958434994310068</v>
      </c>
      <c r="P308" s="51">
        <f t="shared" si="42"/>
        <v>0</v>
      </c>
      <c r="Q308" s="67">
        <f t="shared" si="46"/>
        <v>0</v>
      </c>
      <c r="R308" s="222">
        <f t="shared" si="43"/>
        <v>55.958434994310068</v>
      </c>
      <c r="S308" s="191">
        <f t="shared" si="44"/>
        <v>-5.0415650056899324</v>
      </c>
      <c r="T308" s="221"/>
    </row>
    <row r="309" spans="1:20" x14ac:dyDescent="0.25">
      <c r="A309" s="53">
        <f>'A) Base RI'!A310</f>
        <v>5923</v>
      </c>
      <c r="B309" s="65" t="str">
        <f>'A) Base RI'!B310</f>
        <v>Oppens</v>
      </c>
      <c r="C309" s="495">
        <v>97527.700654897111</v>
      </c>
      <c r="D309" s="495">
        <v>-6646.223621267447</v>
      </c>
      <c r="E309" s="230"/>
      <c r="F309" s="229"/>
      <c r="G309" s="229"/>
      <c r="H309" s="231">
        <f t="shared" si="39"/>
        <v>90881.477033629664</v>
      </c>
      <c r="I309" s="507">
        <v>4902.1274074074072</v>
      </c>
      <c r="J309" s="127">
        <f>'B) D RI'!U310</f>
        <v>4881.0219753086412</v>
      </c>
      <c r="K309" s="84">
        <f t="shared" si="45"/>
        <v>18.539191147154259</v>
      </c>
      <c r="L309" s="36">
        <f>'B) D RI'!S310</f>
        <v>81</v>
      </c>
      <c r="M309" s="36">
        <f t="shared" si="47"/>
        <v>62.460808852845744</v>
      </c>
      <c r="N309" s="498">
        <f>'J) Plafonnement effort'!G308+'J) Plafonnement effort'!H308-'K) Plafonnement aide'!I308</f>
        <v>11.482865148017149</v>
      </c>
      <c r="O309" s="191">
        <f t="shared" si="41"/>
        <v>73.943674000862899</v>
      </c>
      <c r="P309" s="51">
        <f t="shared" si="42"/>
        <v>0</v>
      </c>
      <c r="Q309" s="67">
        <f t="shared" si="46"/>
        <v>0</v>
      </c>
      <c r="R309" s="222">
        <f t="shared" si="43"/>
        <v>73.943674000862899</v>
      </c>
      <c r="S309" s="191">
        <f t="shared" si="44"/>
        <v>-7.0563259991371012</v>
      </c>
      <c r="T309" s="221"/>
    </row>
    <row r="310" spans="1:20" x14ac:dyDescent="0.25">
      <c r="A310" s="53">
        <f>'A) Base RI'!A311</f>
        <v>5924</v>
      </c>
      <c r="B310" s="65" t="str">
        <f>'A) Base RI'!B311</f>
        <v>Orges</v>
      </c>
      <c r="C310" s="495">
        <v>174118.01053334557</v>
      </c>
      <c r="D310" s="495">
        <v>74037.896432674548</v>
      </c>
      <c r="E310" s="230"/>
      <c r="F310" s="229"/>
      <c r="G310" s="229"/>
      <c r="H310" s="231">
        <f t="shared" si="39"/>
        <v>248155.90696602012</v>
      </c>
      <c r="I310" s="507">
        <v>9002.8555405405405</v>
      </c>
      <c r="J310" s="127">
        <f>'B) D RI'!U311</f>
        <v>9476.448378378378</v>
      </c>
      <c r="K310" s="84">
        <f t="shared" si="45"/>
        <v>27.564132940771433</v>
      </c>
      <c r="L310" s="36">
        <f>'B) D RI'!S311</f>
        <v>74</v>
      </c>
      <c r="M310" s="36">
        <f t="shared" si="47"/>
        <v>46.43586705922857</v>
      </c>
      <c r="N310" s="498">
        <f>'J) Plafonnement effort'!G309+'J) Plafonnement effort'!H309-'K) Plafonnement aide'!I309</f>
        <v>24.34990188981137</v>
      </c>
      <c r="O310" s="191">
        <f t="shared" si="41"/>
        <v>70.785768949039948</v>
      </c>
      <c r="P310" s="51">
        <f t="shared" si="42"/>
        <v>0</v>
      </c>
      <c r="Q310" s="67">
        <f t="shared" si="46"/>
        <v>0</v>
      </c>
      <c r="R310" s="222">
        <f t="shared" si="43"/>
        <v>70.785768949039948</v>
      </c>
      <c r="S310" s="191">
        <f t="shared" si="44"/>
        <v>-3.214231050960052</v>
      </c>
      <c r="T310" s="221"/>
    </row>
    <row r="311" spans="1:20" x14ac:dyDescent="0.25">
      <c r="A311" s="53">
        <f>'A) Base RI'!A312</f>
        <v>5925</v>
      </c>
      <c r="B311" s="65" t="str">
        <f>'A) Base RI'!B312</f>
        <v>Orzens</v>
      </c>
      <c r="C311" s="495">
        <v>76795.647530689777</v>
      </c>
      <c r="D311" s="495">
        <v>-30491.678505250122</v>
      </c>
      <c r="E311" s="230"/>
      <c r="F311" s="229"/>
      <c r="G311" s="229"/>
      <c r="H311" s="231">
        <f t="shared" si="39"/>
        <v>46303.969025439656</v>
      </c>
      <c r="I311" s="507">
        <v>5053.7527848101263</v>
      </c>
      <c r="J311" s="127">
        <f>'B) D RI'!U312</f>
        <v>4875.4426582278484</v>
      </c>
      <c r="K311" s="84">
        <f t="shared" si="45"/>
        <v>9.1622940410963007</v>
      </c>
      <c r="L311" s="36">
        <f>'B) D RI'!S312</f>
        <v>79</v>
      </c>
      <c r="M311" s="36">
        <f t="shared" si="47"/>
        <v>69.837705958903697</v>
      </c>
      <c r="N311" s="498">
        <f>'J) Plafonnement effort'!G310+'J) Plafonnement effort'!H310-'K) Plafonnement aide'!I310</f>
        <v>9.1579397994899132</v>
      </c>
      <c r="O311" s="191">
        <f t="shared" si="41"/>
        <v>78.995645758393607</v>
      </c>
      <c r="P311" s="51">
        <f t="shared" si="42"/>
        <v>0</v>
      </c>
      <c r="Q311" s="67">
        <f t="shared" si="46"/>
        <v>0</v>
      </c>
      <c r="R311" s="222">
        <f t="shared" si="43"/>
        <v>78.995645758393607</v>
      </c>
      <c r="S311" s="191">
        <f t="shared" si="44"/>
        <v>-4.3542416063928613E-3</v>
      </c>
      <c r="T311" s="221"/>
    </row>
    <row r="312" spans="1:20" x14ac:dyDescent="0.25">
      <c r="A312" s="53">
        <f>'A) Base RI'!A313</f>
        <v>5926</v>
      </c>
      <c r="B312" s="65" t="str">
        <f>'A) Base RI'!B313</f>
        <v>Pomy</v>
      </c>
      <c r="C312" s="495">
        <v>352881.32382408413</v>
      </c>
      <c r="D312" s="495">
        <v>99686.207064441114</v>
      </c>
      <c r="E312" s="230"/>
      <c r="F312" s="229"/>
      <c r="G312" s="229"/>
      <c r="H312" s="231">
        <f t="shared" si="39"/>
        <v>452567.53088852525</v>
      </c>
      <c r="I312" s="507">
        <v>21029.126197183101</v>
      </c>
      <c r="J312" s="127">
        <f>'B) D RI'!U313</f>
        <v>22774.42661971831</v>
      </c>
      <c r="K312" s="84">
        <f t="shared" si="45"/>
        <v>21.520986019340533</v>
      </c>
      <c r="L312" s="36">
        <f>'B) D RI'!S313</f>
        <v>71</v>
      </c>
      <c r="M312" s="36">
        <f t="shared" si="47"/>
        <v>49.479013980659467</v>
      </c>
      <c r="N312" s="498">
        <f>'J) Plafonnement effort'!G311+'J) Plafonnement effort'!H311-'K) Plafonnement aide'!I311</f>
        <v>22.692843080566629</v>
      </c>
      <c r="O312" s="191">
        <f t="shared" si="41"/>
        <v>72.171857061226092</v>
      </c>
      <c r="P312" s="51">
        <f t="shared" si="42"/>
        <v>0</v>
      </c>
      <c r="Q312" s="67">
        <f t="shared" si="46"/>
        <v>0</v>
      </c>
      <c r="R312" s="222">
        <f t="shared" si="43"/>
        <v>72.171857061226092</v>
      </c>
      <c r="S312" s="191">
        <f t="shared" si="44"/>
        <v>1.1718570612260919</v>
      </c>
      <c r="T312" s="221"/>
    </row>
    <row r="313" spans="1:20" x14ac:dyDescent="0.25">
      <c r="A313" s="53">
        <f>'A) Base RI'!A314</f>
        <v>5928</v>
      </c>
      <c r="B313" s="65" t="str">
        <f>'A) Base RI'!B314</f>
        <v>Rovray</v>
      </c>
      <c r="C313" s="495">
        <v>84131.8481704203</v>
      </c>
      <c r="D313" s="495">
        <v>10910.257018983146</v>
      </c>
      <c r="E313" s="230"/>
      <c r="F313" s="229"/>
      <c r="G313" s="229"/>
      <c r="H313" s="231">
        <f t="shared" si="39"/>
        <v>95042.105189403446</v>
      </c>
      <c r="I313" s="507">
        <v>4897.1457333333328</v>
      </c>
      <c r="J313" s="127">
        <f>'B) D RI'!U314</f>
        <v>4451.7282191780823</v>
      </c>
      <c r="K313" s="84">
        <f t="shared" si="45"/>
        <v>19.407653021735026</v>
      </c>
      <c r="L313" s="36">
        <f>'B) D RI'!S314</f>
        <v>73</v>
      </c>
      <c r="M313" s="36">
        <f t="shared" si="47"/>
        <v>53.59234697826497</v>
      </c>
      <c r="N313" s="498">
        <f>'J) Plafonnement effort'!G312+'J) Plafonnement effort'!H312-'K) Plafonnement aide'!I312</f>
        <v>14.281960746754272</v>
      </c>
      <c r="O313" s="191">
        <f t="shared" si="41"/>
        <v>67.874307725019236</v>
      </c>
      <c r="P313" s="51">
        <f t="shared" si="42"/>
        <v>0</v>
      </c>
      <c r="Q313" s="67">
        <f t="shared" si="46"/>
        <v>0</v>
      </c>
      <c r="R313" s="222">
        <f t="shared" si="43"/>
        <v>67.874307725019236</v>
      </c>
      <c r="S313" s="191">
        <f t="shared" si="44"/>
        <v>-5.1256922749807643</v>
      </c>
      <c r="T313" s="221"/>
    </row>
    <row r="314" spans="1:20" x14ac:dyDescent="0.25">
      <c r="A314" s="53">
        <f>'A) Base RI'!A315</f>
        <v>5929</v>
      </c>
      <c r="B314" s="65" t="str">
        <f>'A) Base RI'!B315</f>
        <v>Suchy</v>
      </c>
      <c r="C314" s="495">
        <v>249294.63729421192</v>
      </c>
      <c r="D314" s="495">
        <v>104689.71061163675</v>
      </c>
      <c r="E314" s="230"/>
      <c r="F314" s="229"/>
      <c r="G314" s="229"/>
      <c r="H314" s="231">
        <f t="shared" si="39"/>
        <v>353984.34790584864</v>
      </c>
      <c r="I314" s="507">
        <v>16083.913284313729</v>
      </c>
      <c r="J314" s="127">
        <f>'B) D RI'!U315</f>
        <v>16583.788428571432</v>
      </c>
      <c r="K314" s="84">
        <f t="shared" si="45"/>
        <v>22.008595896315946</v>
      </c>
      <c r="L314" s="36">
        <f>'B) D RI'!S315</f>
        <v>70</v>
      </c>
      <c r="M314" s="36">
        <f t="shared" si="47"/>
        <v>47.991404103684054</v>
      </c>
      <c r="N314" s="498">
        <f>'J) Plafonnement effort'!G313+'J) Plafonnement effort'!H313-'K) Plafonnement aide'!I313</f>
        <v>18.450942744845598</v>
      </c>
      <c r="O314" s="191">
        <f t="shared" si="41"/>
        <v>66.442346848529652</v>
      </c>
      <c r="P314" s="51">
        <f t="shared" si="42"/>
        <v>0</v>
      </c>
      <c r="Q314" s="67">
        <f t="shared" si="46"/>
        <v>0</v>
      </c>
      <c r="R314" s="222">
        <f t="shared" si="43"/>
        <v>66.442346848529652</v>
      </c>
      <c r="S314" s="191">
        <f t="shared" si="44"/>
        <v>-3.5576531514703476</v>
      </c>
      <c r="T314" s="221"/>
    </row>
    <row r="315" spans="1:20" x14ac:dyDescent="0.25">
      <c r="A315" s="53">
        <f>'A) Base RI'!A316</f>
        <v>5930</v>
      </c>
      <c r="B315" s="65" t="str">
        <f>'A) Base RI'!B316</f>
        <v>Suscévaz</v>
      </c>
      <c r="C315" s="495">
        <v>79565.479697019429</v>
      </c>
      <c r="D315" s="495">
        <v>16420.644107208267</v>
      </c>
      <c r="E315" s="230"/>
      <c r="F315" s="229"/>
      <c r="G315" s="229"/>
      <c r="H315" s="231">
        <f t="shared" si="39"/>
        <v>95986.123804227696</v>
      </c>
      <c r="I315" s="507">
        <v>5208.083787878787</v>
      </c>
      <c r="J315" s="127">
        <f>'B) D RI'!U316</f>
        <v>4886.5228787878787</v>
      </c>
      <c r="K315" s="84">
        <f t="shared" si="45"/>
        <v>18.430218812459259</v>
      </c>
      <c r="L315" s="36">
        <f>'B) D RI'!S316</f>
        <v>66</v>
      </c>
      <c r="M315" s="36">
        <f t="shared" si="47"/>
        <v>47.569781187540741</v>
      </c>
      <c r="N315" s="498">
        <f>'J) Plafonnement effort'!G314+'J) Plafonnement effort'!H314-'K) Plafonnement aide'!I314</f>
        <v>17.403182651790715</v>
      </c>
      <c r="O315" s="191">
        <f t="shared" si="41"/>
        <v>64.972963839331456</v>
      </c>
      <c r="P315" s="51">
        <f t="shared" si="42"/>
        <v>0</v>
      </c>
      <c r="Q315" s="67">
        <f t="shared" si="46"/>
        <v>0</v>
      </c>
      <c r="R315" s="222">
        <f t="shared" si="43"/>
        <v>64.972963839331456</v>
      </c>
      <c r="S315" s="191">
        <f t="shared" si="44"/>
        <v>-1.0270361606685441</v>
      </c>
      <c r="T315" s="221"/>
    </row>
    <row r="316" spans="1:20" x14ac:dyDescent="0.25">
      <c r="A316" s="53">
        <f>'A) Base RI'!A317</f>
        <v>5931</v>
      </c>
      <c r="B316" s="65" t="str">
        <f>'A) Base RI'!B317</f>
        <v>Treycovagnes</v>
      </c>
      <c r="C316" s="495">
        <v>241638.79468653796</v>
      </c>
      <c r="D316" s="495">
        <v>64713.081799987034</v>
      </c>
      <c r="E316" s="230"/>
      <c r="F316" s="229"/>
      <c r="G316" s="229"/>
      <c r="H316" s="231">
        <f t="shared" si="39"/>
        <v>306351.876486525</v>
      </c>
      <c r="I316" s="507">
        <v>13922.074155844155</v>
      </c>
      <c r="J316" s="127">
        <f>'B) D RI'!U317</f>
        <v>16368.774155844154</v>
      </c>
      <c r="K316" s="84">
        <f t="shared" si="45"/>
        <v>22.004758275039482</v>
      </c>
      <c r="L316" s="36">
        <f>'B) D RI'!S317</f>
        <v>77</v>
      </c>
      <c r="M316" s="36">
        <f t="shared" si="47"/>
        <v>54.995241724960522</v>
      </c>
      <c r="N316" s="498">
        <f>'J) Plafonnement effort'!G315+'J) Plafonnement effort'!H315-'K) Plafonnement aide'!I315</f>
        <v>26.616671887215347</v>
      </c>
      <c r="O316" s="191">
        <f t="shared" si="41"/>
        <v>81.611913612175869</v>
      </c>
      <c r="P316" s="51">
        <f t="shared" si="42"/>
        <v>0</v>
      </c>
      <c r="Q316" s="67">
        <f t="shared" si="46"/>
        <v>0</v>
      </c>
      <c r="R316" s="222">
        <f t="shared" si="43"/>
        <v>81.611913612175869</v>
      </c>
      <c r="S316" s="191">
        <f t="shared" si="44"/>
        <v>4.6119136121758686</v>
      </c>
      <c r="T316" s="221"/>
    </row>
    <row r="317" spans="1:20" x14ac:dyDescent="0.25">
      <c r="A317" s="53">
        <f>'A) Base RI'!A318</f>
        <v>5932</v>
      </c>
      <c r="B317" s="65" t="str">
        <f>'A) Base RI'!B318</f>
        <v>Ursins</v>
      </c>
      <c r="C317" s="495">
        <v>78300.542920571039</v>
      </c>
      <c r="D317" s="495">
        <v>-7245.7871118837065</v>
      </c>
      <c r="E317" s="230"/>
      <c r="F317" s="229"/>
      <c r="G317" s="229"/>
      <c r="H317" s="231">
        <f t="shared" si="39"/>
        <v>71054.755808687332</v>
      </c>
      <c r="I317" s="507">
        <v>5429.3069230769233</v>
      </c>
      <c r="J317" s="127">
        <f>'B) D RI'!U318</f>
        <v>6366.2738461538456</v>
      </c>
      <c r="K317" s="84">
        <f t="shared" si="45"/>
        <v>13.087260826363236</v>
      </c>
      <c r="L317" s="36">
        <f>'B) D RI'!S318</f>
        <v>78</v>
      </c>
      <c r="M317" s="36">
        <f t="shared" si="47"/>
        <v>64.912739173636766</v>
      </c>
      <c r="N317" s="498">
        <f>'J) Plafonnement effort'!G316+'J) Plafonnement effort'!H316-'K) Plafonnement aide'!I316</f>
        <v>-2.0261317430823276</v>
      </c>
      <c r="O317" s="191">
        <f t="shared" si="41"/>
        <v>62.886607430554434</v>
      </c>
      <c r="P317" s="51">
        <f t="shared" si="42"/>
        <v>0</v>
      </c>
      <c r="Q317" s="67">
        <f t="shared" si="46"/>
        <v>0</v>
      </c>
      <c r="R317" s="222">
        <f t="shared" si="43"/>
        <v>62.886607430554434</v>
      </c>
      <c r="S317" s="191">
        <f t="shared" si="44"/>
        <v>-15.113392569445566</v>
      </c>
      <c r="T317" s="221"/>
    </row>
    <row r="318" spans="1:20" x14ac:dyDescent="0.25">
      <c r="A318" s="53">
        <f>'A) Base RI'!A319</f>
        <v>5933</v>
      </c>
      <c r="B318" s="65" t="str">
        <f>'A) Base RI'!B319</f>
        <v>Valeyres-sous-Montagny</v>
      </c>
      <c r="C318" s="495">
        <v>298704.40312027052</v>
      </c>
      <c r="D318" s="495">
        <v>11335.07541051181</v>
      </c>
      <c r="E318" s="230"/>
      <c r="F318" s="229"/>
      <c r="G318" s="229"/>
      <c r="H318" s="231">
        <f t="shared" si="39"/>
        <v>310039.47853078233</v>
      </c>
      <c r="I318" s="507">
        <v>17165.971111111114</v>
      </c>
      <c r="J318" s="127">
        <f>'B) D RI'!U319</f>
        <v>19578.46263888889</v>
      </c>
      <c r="K318" s="84">
        <f t="shared" si="45"/>
        <v>18.061283950903388</v>
      </c>
      <c r="L318" s="36">
        <f>'B) D RI'!S319</f>
        <v>72</v>
      </c>
      <c r="M318" s="36">
        <f t="shared" si="47"/>
        <v>53.938716049096612</v>
      </c>
      <c r="N318" s="498">
        <f>'J) Plafonnement effort'!G317+'J) Plafonnement effort'!H317-'K) Plafonnement aide'!I317</f>
        <v>6.8626072663065507</v>
      </c>
      <c r="O318" s="191">
        <f t="shared" si="41"/>
        <v>60.801323315403167</v>
      </c>
      <c r="P318" s="51">
        <f t="shared" si="42"/>
        <v>0</v>
      </c>
      <c r="Q318" s="67">
        <f t="shared" si="46"/>
        <v>0</v>
      </c>
      <c r="R318" s="222">
        <f t="shared" si="43"/>
        <v>60.801323315403167</v>
      </c>
      <c r="S318" s="191">
        <f t="shared" si="44"/>
        <v>-11.198676684596833</v>
      </c>
      <c r="T318" s="221"/>
    </row>
    <row r="319" spans="1:20" x14ac:dyDescent="0.25">
      <c r="A319" s="53">
        <f>'A) Base RI'!A320</f>
        <v>5934</v>
      </c>
      <c r="B319" s="65" t="str">
        <f>'A) Base RI'!B320</f>
        <v>Valeyres-sous-Ursins</v>
      </c>
      <c r="C319" s="495">
        <v>116818.25380344206</v>
      </c>
      <c r="D319" s="495">
        <v>-3594.3062792050623</v>
      </c>
      <c r="E319" s="230"/>
      <c r="F319" s="229"/>
      <c r="G319" s="229"/>
      <c r="H319" s="231">
        <f t="shared" si="39"/>
        <v>113223.947524237</v>
      </c>
      <c r="I319" s="507">
        <v>6602.430506329114</v>
      </c>
      <c r="J319" s="127">
        <f>'B) D RI'!U320</f>
        <v>6856.0722784810141</v>
      </c>
      <c r="K319" s="84">
        <f t="shared" si="45"/>
        <v>17.148828361873722</v>
      </c>
      <c r="L319" s="36">
        <f>'B) D RI'!S320</f>
        <v>79</v>
      </c>
      <c r="M319" s="36">
        <f t="shared" si="47"/>
        <v>61.851171638126274</v>
      </c>
      <c r="N319" s="498">
        <f>'J) Plafonnement effort'!G318+'J) Plafonnement effort'!H318-'K) Plafonnement aide'!I318</f>
        <v>16.280750213919536</v>
      </c>
      <c r="O319" s="191">
        <f t="shared" si="41"/>
        <v>78.131921852045807</v>
      </c>
      <c r="P319" s="51">
        <f t="shared" si="42"/>
        <v>0</v>
      </c>
      <c r="Q319" s="67">
        <f t="shared" si="46"/>
        <v>0</v>
      </c>
      <c r="R319" s="222">
        <f t="shared" si="43"/>
        <v>78.131921852045807</v>
      </c>
      <c r="S319" s="191">
        <f t="shared" si="44"/>
        <v>-0.86807814795419347</v>
      </c>
      <c r="T319" s="221"/>
    </row>
    <row r="320" spans="1:20" x14ac:dyDescent="0.25">
      <c r="A320" s="53">
        <f>'A) Base RI'!A321</f>
        <v>5935</v>
      </c>
      <c r="B320" s="65" t="str">
        <f>'A) Base RI'!B321</f>
        <v>Villars-Epeney</v>
      </c>
      <c r="C320" s="495">
        <v>156877.73775299921</v>
      </c>
      <c r="D320" s="495">
        <v>110498.37301779221</v>
      </c>
      <c r="E320" s="230"/>
      <c r="F320" s="229"/>
      <c r="G320" s="229"/>
      <c r="H320" s="231">
        <f t="shared" si="39"/>
        <v>267376.11077079142</v>
      </c>
      <c r="I320" s="507">
        <v>7512.9308333333338</v>
      </c>
      <c r="J320" s="127">
        <f>'B) D RI'!U321</f>
        <v>4252.6353333333336</v>
      </c>
      <c r="K320" s="84">
        <f t="shared" si="45"/>
        <v>35.588789076095104</v>
      </c>
      <c r="L320" s="36">
        <f>'B) D RI'!S321</f>
        <v>60</v>
      </c>
      <c r="M320" s="36">
        <f t="shared" si="47"/>
        <v>24.411210923904896</v>
      </c>
      <c r="N320" s="498">
        <f>'J) Plafonnement effort'!G319+'J) Plafonnement effort'!H319-'K) Plafonnement aide'!I319</f>
        <v>28.955992928885056</v>
      </c>
      <c r="O320" s="191">
        <f t="shared" si="41"/>
        <v>53.367203852789956</v>
      </c>
      <c r="P320" s="51">
        <f t="shared" si="42"/>
        <v>0</v>
      </c>
      <c r="Q320" s="67">
        <f t="shared" si="46"/>
        <v>0</v>
      </c>
      <c r="R320" s="222">
        <f t="shared" si="43"/>
        <v>53.367203852789956</v>
      </c>
      <c r="S320" s="191">
        <f t="shared" si="44"/>
        <v>-6.6327961472100441</v>
      </c>
      <c r="T320" s="221"/>
    </row>
    <row r="321" spans="1:20" x14ac:dyDescent="0.25">
      <c r="A321" s="53">
        <f>'A) Base RI'!A322</f>
        <v>5937</v>
      </c>
      <c r="B321" s="65" t="str">
        <f>'A) Base RI'!B322</f>
        <v>Vugelles-La Mothe</v>
      </c>
      <c r="C321" s="495">
        <v>30593.76860933737</v>
      </c>
      <c r="D321" s="495">
        <v>-47294.513620143181</v>
      </c>
      <c r="E321" s="230">
        <v>4991</v>
      </c>
      <c r="F321" s="229"/>
      <c r="G321" s="229"/>
      <c r="H321" s="231">
        <f t="shared" si="39"/>
        <v>-11709.745010805811</v>
      </c>
      <c r="I321" s="507">
        <v>2128.9780612244899</v>
      </c>
      <c r="J321" s="127">
        <f>'B) D RI'!U322</f>
        <v>2272.9823469387752</v>
      </c>
      <c r="K321" s="84">
        <f t="shared" si="45"/>
        <v>-5.5001717603754479</v>
      </c>
      <c r="L321" s="36">
        <f>'B) D RI'!S322</f>
        <v>70</v>
      </c>
      <c r="M321" s="36">
        <f t="shared" si="47"/>
        <v>75.500171760375451</v>
      </c>
      <c r="N321" s="498">
        <f>'J) Plafonnement effort'!G320+'J) Plafonnement effort'!H320-'K) Plafonnement aide'!I320</f>
        <v>-13.458619516660743</v>
      </c>
      <c r="O321" s="191">
        <f t="shared" si="41"/>
        <v>62.041552243714705</v>
      </c>
      <c r="P321" s="51">
        <f t="shared" si="42"/>
        <v>0</v>
      </c>
      <c r="Q321" s="67">
        <f t="shared" si="46"/>
        <v>0</v>
      </c>
      <c r="R321" s="222">
        <f t="shared" si="43"/>
        <v>62.041552243714705</v>
      </c>
      <c r="S321" s="191">
        <f t="shared" si="44"/>
        <v>-7.9584477562852953</v>
      </c>
      <c r="T321" s="221"/>
    </row>
    <row r="322" spans="1:20" x14ac:dyDescent="0.25">
      <c r="A322" s="53">
        <f>'A) Base RI'!A323</f>
        <v>5938</v>
      </c>
      <c r="B322" s="65" t="str">
        <f>'A) Base RI'!B323</f>
        <v>Yverdon-les-Bains</v>
      </c>
      <c r="C322" s="495">
        <v>14006583.905158136</v>
      </c>
      <c r="D322" s="495">
        <v>-22068724.987434059</v>
      </c>
      <c r="E322" s="230">
        <v>3819771</v>
      </c>
      <c r="F322" s="229"/>
      <c r="G322" s="229"/>
      <c r="H322" s="231">
        <f t="shared" si="39"/>
        <v>-4242370.0822759233</v>
      </c>
      <c r="I322" s="507">
        <v>771340.02758169943</v>
      </c>
      <c r="J322" s="127">
        <f>'B) D RI'!U323</f>
        <v>809245.0162091502</v>
      </c>
      <c r="K322" s="84">
        <f t="shared" si="45"/>
        <v>-5.499999909996343</v>
      </c>
      <c r="L322" s="36">
        <f>'B) D RI'!S323</f>
        <v>76.5</v>
      </c>
      <c r="M322" s="36">
        <f t="shared" si="47"/>
        <v>81.999999909996347</v>
      </c>
      <c r="N322" s="498">
        <f>'J) Plafonnement effort'!G321+'J) Plafonnement effort'!H321-'K) Plafonnement aide'!I321</f>
        <v>-14.669292954926675</v>
      </c>
      <c r="O322" s="191">
        <f t="shared" si="41"/>
        <v>67.330706955069672</v>
      </c>
      <c r="P322" s="51">
        <f t="shared" si="42"/>
        <v>0</v>
      </c>
      <c r="Q322" s="67">
        <f t="shared" si="46"/>
        <v>0</v>
      </c>
      <c r="R322" s="222">
        <f t="shared" si="43"/>
        <v>67.330706955069672</v>
      </c>
      <c r="S322" s="191">
        <f t="shared" si="44"/>
        <v>-9.1692930449303276</v>
      </c>
      <c r="T322" s="221"/>
    </row>
    <row r="323" spans="1:20" x14ac:dyDescent="0.25">
      <c r="A323" s="55">
        <f>'A) Base RI'!A324</f>
        <v>5939</v>
      </c>
      <c r="B323" s="66" t="str">
        <f>'A) Base RI'!B324</f>
        <v>Yvonand</v>
      </c>
      <c r="C323" s="495">
        <v>1546739.5348643661</v>
      </c>
      <c r="D323" s="495">
        <v>-280565.6819347071</v>
      </c>
      <c r="E323" s="230"/>
      <c r="F323" s="229"/>
      <c r="G323" s="229"/>
      <c r="H323" s="231">
        <f t="shared" si="39"/>
        <v>1266173.852929659</v>
      </c>
      <c r="I323" s="509">
        <v>88221.551917808203</v>
      </c>
      <c r="J323" s="128">
        <f>'B) D RI'!U324</f>
        <v>88261.067808219188</v>
      </c>
      <c r="K323" s="84">
        <f t="shared" si="45"/>
        <v>14.352205616483516</v>
      </c>
      <c r="L323" s="120">
        <f>'B) D RI'!S324</f>
        <v>73</v>
      </c>
      <c r="M323" s="120">
        <f t="shared" si="47"/>
        <v>58.647794383516484</v>
      </c>
      <c r="N323" s="500">
        <f>'J) Plafonnement effort'!G322+'J) Plafonnement effort'!H322-'K) Plafonnement aide'!I322</f>
        <v>11.905428937030559</v>
      </c>
      <c r="O323" s="193">
        <f t="shared" si="41"/>
        <v>70.553223320547048</v>
      </c>
      <c r="P323" s="51">
        <f t="shared" si="42"/>
        <v>0</v>
      </c>
      <c r="Q323" s="67">
        <f t="shared" si="46"/>
        <v>0</v>
      </c>
      <c r="R323" s="223">
        <f t="shared" si="43"/>
        <v>70.553223320547048</v>
      </c>
      <c r="S323" s="193">
        <f t="shared" si="44"/>
        <v>-2.4467766794529524</v>
      </c>
      <c r="T323" s="221"/>
    </row>
    <row r="324" spans="1:20" x14ac:dyDescent="0.25">
      <c r="A324" s="33"/>
      <c r="B324" s="182">
        <f>COUNTA(B6:B323)</f>
        <v>318</v>
      </c>
      <c r="C324" s="232">
        <f t="shared" ref="C324:J324" si="48">SUM(C6:C323)</f>
        <v>710289734.00000072</v>
      </c>
      <c r="D324" s="232">
        <f t="shared" si="48"/>
        <v>128425334.5351494</v>
      </c>
      <c r="E324" s="232">
        <f t="shared" si="48"/>
        <v>5946310</v>
      </c>
      <c r="F324" s="232">
        <f t="shared" si="48"/>
        <v>0</v>
      </c>
      <c r="G324" s="232">
        <f t="shared" si="48"/>
        <v>-3946</v>
      </c>
      <c r="H324" s="232">
        <f t="shared" si="48"/>
        <v>844657432.53514981</v>
      </c>
      <c r="I324" s="232">
        <f t="shared" si="48"/>
        <v>35177813.511629909</v>
      </c>
      <c r="J324" s="128">
        <f t="shared" si="48"/>
        <v>36375763.361832626</v>
      </c>
      <c r="K324" s="76">
        <f>H324/I324</f>
        <v>24.011083925267357</v>
      </c>
      <c r="L324" s="21">
        <f>'B) D RI'!S325</f>
        <v>67.558265530946699</v>
      </c>
      <c r="M324" s="21"/>
      <c r="N324" s="497"/>
      <c r="O324" s="129"/>
      <c r="P324" s="177"/>
      <c r="Q324" s="40">
        <f>SUM(Q6:Q323)</f>
        <v>-68870.333007649868</v>
      </c>
      <c r="R324" s="181"/>
      <c r="S324" s="129"/>
      <c r="T324" s="225"/>
    </row>
    <row r="325" spans="1:20" x14ac:dyDescent="0.25">
      <c r="T325" s="25"/>
    </row>
  </sheetData>
  <mergeCells count="17">
    <mergeCell ref="M4:M5"/>
    <mergeCell ref="L4:L5"/>
    <mergeCell ref="H4:H5"/>
    <mergeCell ref="G4:G5"/>
    <mergeCell ref="F4:F5"/>
    <mergeCell ref="S4:S5"/>
    <mergeCell ref="R4:R5"/>
    <mergeCell ref="Q4:Q5"/>
    <mergeCell ref="O4:O5"/>
    <mergeCell ref="N4:N5"/>
    <mergeCell ref="C3:I3"/>
    <mergeCell ref="C4:C5"/>
    <mergeCell ref="B4:B5"/>
    <mergeCell ref="A4:A5"/>
    <mergeCell ref="K4:K5"/>
    <mergeCell ref="E4:E5"/>
    <mergeCell ref="D4:D5"/>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326"/>
  <sheetViews>
    <sheetView workbookViewId="0"/>
  </sheetViews>
  <sheetFormatPr baseColWidth="10" defaultColWidth="9.375" defaultRowHeight="15" x14ac:dyDescent="0.25"/>
  <cols>
    <col min="1" max="1" width="8.125" style="310" customWidth="1"/>
    <col min="2" max="2" width="17.875" style="310" bestFit="1" customWidth="1"/>
    <col min="3" max="3" width="9.875" style="310" customWidth="1"/>
    <col min="4" max="4" width="10.5" style="310" customWidth="1"/>
    <col min="5" max="5" width="5.625" style="310" bestFit="1" customWidth="1"/>
    <col min="6" max="6" width="12" style="310" bestFit="1" customWidth="1"/>
    <col min="7" max="7" width="10.875" style="310" bestFit="1" customWidth="1"/>
    <col min="8" max="8" width="12" style="310" bestFit="1" customWidth="1"/>
    <col min="9" max="9" width="12.25" style="310" customWidth="1"/>
    <col min="10" max="10" width="11.375" style="310" bestFit="1" customWidth="1"/>
    <col min="11" max="11" width="11.75" style="310" customWidth="1"/>
    <col min="12" max="12" width="11.375" style="310" bestFit="1" customWidth="1"/>
    <col min="13" max="13" width="9.75" style="310" bestFit="1" customWidth="1"/>
    <col min="14" max="14" width="11.375" style="310" bestFit="1" customWidth="1"/>
    <col min="15" max="15" width="10.75" style="310" bestFit="1" customWidth="1"/>
    <col min="16" max="16" width="13.125" style="312" customWidth="1"/>
    <col min="17" max="17" width="9.375" style="311"/>
    <col min="18" max="18" width="9.875" style="312" customWidth="1"/>
    <col min="19" max="19" width="11.75" style="312" bestFit="1" customWidth="1"/>
    <col min="20" max="22" width="9.375" style="311"/>
    <col min="23" max="249" width="9.375" style="310"/>
    <col min="250" max="250" width="5" style="310" customWidth="1"/>
    <col min="251" max="251" width="17.875" style="310" bestFit="1" customWidth="1"/>
    <col min="252" max="252" width="9.875" style="310" customWidth="1"/>
    <col min="253" max="253" width="8.875" style="310" customWidth="1"/>
    <col min="254" max="254" width="7.375" style="310" bestFit="1" customWidth="1"/>
    <col min="255" max="255" width="10.125" style="310" bestFit="1" customWidth="1"/>
    <col min="256" max="256" width="9.375" style="310"/>
    <col min="257" max="257" width="10.125" style="310" bestFit="1" customWidth="1"/>
    <col min="258" max="258" width="10.75" style="310" customWidth="1"/>
    <col min="259" max="261" width="9.375" style="310"/>
    <col min="262" max="263" width="10.75" style="310" customWidth="1"/>
    <col min="264" max="268" width="9.375" style="310"/>
    <col min="269" max="269" width="1.625" style="310" bestFit="1" customWidth="1"/>
    <col min="270" max="270" width="9.375" style="310"/>
    <col min="271" max="271" width="8.875" style="310" customWidth="1"/>
    <col min="272" max="272" width="13.125" style="310" customWidth="1"/>
    <col min="273" max="273" width="9.375" style="310"/>
    <col min="274" max="274" width="9.875" style="310" customWidth="1"/>
    <col min="275" max="275" width="11.75" style="310" bestFit="1" customWidth="1"/>
    <col min="276" max="505" width="9.375" style="310"/>
    <col min="506" max="506" width="5" style="310" customWidth="1"/>
    <col min="507" max="507" width="17.875" style="310" bestFit="1" customWidth="1"/>
    <col min="508" max="508" width="9.875" style="310" customWidth="1"/>
    <col min="509" max="509" width="8.875" style="310" customWidth="1"/>
    <col min="510" max="510" width="7.375" style="310" bestFit="1" customWidth="1"/>
    <col min="511" max="511" width="10.125" style="310" bestFit="1" customWidth="1"/>
    <col min="512" max="512" width="9.375" style="310"/>
    <col min="513" max="513" width="10.125" style="310" bestFit="1" customWidth="1"/>
    <col min="514" max="514" width="10.75" style="310" customWidth="1"/>
    <col min="515" max="517" width="9.375" style="310"/>
    <col min="518" max="519" width="10.75" style="310" customWidth="1"/>
    <col min="520" max="524" width="9.375" style="310"/>
    <col min="525" max="525" width="1.625" style="310" bestFit="1" customWidth="1"/>
    <col min="526" max="526" width="9.375" style="310"/>
    <col min="527" max="527" width="8.875" style="310" customWidth="1"/>
    <col min="528" max="528" width="13.125" style="310" customWidth="1"/>
    <col min="529" max="529" width="9.375" style="310"/>
    <col min="530" max="530" width="9.875" style="310" customWidth="1"/>
    <col min="531" max="531" width="11.75" style="310" bestFit="1" customWidth="1"/>
    <col min="532" max="761" width="9.375" style="310"/>
    <col min="762" max="762" width="5" style="310" customWidth="1"/>
    <col min="763" max="763" width="17.875" style="310" bestFit="1" customWidth="1"/>
    <col min="764" max="764" width="9.875" style="310" customWidth="1"/>
    <col min="765" max="765" width="8.875" style="310" customWidth="1"/>
    <col min="766" max="766" width="7.375" style="310" bestFit="1" customWidth="1"/>
    <col min="767" max="767" width="10.125" style="310" bestFit="1" customWidth="1"/>
    <col min="768" max="768" width="9.375" style="310"/>
    <col min="769" max="769" width="10.125" style="310" bestFit="1" customWidth="1"/>
    <col min="770" max="770" width="10.75" style="310" customWidth="1"/>
    <col min="771" max="773" width="9.375" style="310"/>
    <col min="774" max="775" width="10.75" style="310" customWidth="1"/>
    <col min="776" max="780" width="9.375" style="310"/>
    <col min="781" max="781" width="1.625" style="310" bestFit="1" customWidth="1"/>
    <col min="782" max="782" width="9.375" style="310"/>
    <col min="783" max="783" width="8.875" style="310" customWidth="1"/>
    <col min="784" max="784" width="13.125" style="310" customWidth="1"/>
    <col min="785" max="785" width="9.375" style="310"/>
    <col min="786" max="786" width="9.875" style="310" customWidth="1"/>
    <col min="787" max="787" width="11.75" style="310" bestFit="1" customWidth="1"/>
    <col min="788" max="1017" width="9.375" style="310"/>
    <col min="1018" max="1018" width="5" style="310" customWidth="1"/>
    <col min="1019" max="1019" width="17.875" style="310" bestFit="1" customWidth="1"/>
    <col min="1020" max="1020" width="9.875" style="310" customWidth="1"/>
    <col min="1021" max="1021" width="8.875" style="310" customWidth="1"/>
    <col min="1022" max="1022" width="7.375" style="310" bestFit="1" customWidth="1"/>
    <col min="1023" max="1023" width="10.125" style="310" bestFit="1" customWidth="1"/>
    <col min="1024" max="1024" width="9.375" style="310"/>
    <col min="1025" max="1025" width="10.125" style="310" bestFit="1" customWidth="1"/>
    <col min="1026" max="1026" width="10.75" style="310" customWidth="1"/>
    <col min="1027" max="1029" width="9.375" style="310"/>
    <col min="1030" max="1031" width="10.75" style="310" customWidth="1"/>
    <col min="1032" max="1036" width="9.375" style="310"/>
    <col min="1037" max="1037" width="1.625" style="310" bestFit="1" customWidth="1"/>
    <col min="1038" max="1038" width="9.375" style="310"/>
    <col min="1039" max="1039" width="8.875" style="310" customWidth="1"/>
    <col min="1040" max="1040" width="13.125" style="310" customWidth="1"/>
    <col min="1041" max="1041" width="9.375" style="310"/>
    <col min="1042" max="1042" width="9.875" style="310" customWidth="1"/>
    <col min="1043" max="1043" width="11.75" style="310" bestFit="1" customWidth="1"/>
    <col min="1044" max="1273" width="9.375" style="310"/>
    <col min="1274" max="1274" width="5" style="310" customWidth="1"/>
    <col min="1275" max="1275" width="17.875" style="310" bestFit="1" customWidth="1"/>
    <col min="1276" max="1276" width="9.875" style="310" customWidth="1"/>
    <col min="1277" max="1277" width="8.875" style="310" customWidth="1"/>
    <col min="1278" max="1278" width="7.375" style="310" bestFit="1" customWidth="1"/>
    <col min="1279" max="1279" width="10.125" style="310" bestFit="1" customWidth="1"/>
    <col min="1280" max="1280" width="9.375" style="310"/>
    <col min="1281" max="1281" width="10.125" style="310" bestFit="1" customWidth="1"/>
    <col min="1282" max="1282" width="10.75" style="310" customWidth="1"/>
    <col min="1283" max="1285" width="9.375" style="310"/>
    <col min="1286" max="1287" width="10.75" style="310" customWidth="1"/>
    <col min="1288" max="1292" width="9.375" style="310"/>
    <col min="1293" max="1293" width="1.625" style="310" bestFit="1" customWidth="1"/>
    <col min="1294" max="1294" width="9.375" style="310"/>
    <col min="1295" max="1295" width="8.875" style="310" customWidth="1"/>
    <col min="1296" max="1296" width="13.125" style="310" customWidth="1"/>
    <col min="1297" max="1297" width="9.375" style="310"/>
    <col min="1298" max="1298" width="9.875" style="310" customWidth="1"/>
    <col min="1299" max="1299" width="11.75" style="310" bestFit="1" customWidth="1"/>
    <col min="1300" max="1529" width="9.375" style="310"/>
    <col min="1530" max="1530" width="5" style="310" customWidth="1"/>
    <col min="1531" max="1531" width="17.875" style="310" bestFit="1" customWidth="1"/>
    <col min="1532" max="1532" width="9.875" style="310" customWidth="1"/>
    <col min="1533" max="1533" width="8.875" style="310" customWidth="1"/>
    <col min="1534" max="1534" width="7.375" style="310" bestFit="1" customWidth="1"/>
    <col min="1535" max="1535" width="10.125" style="310" bestFit="1" customWidth="1"/>
    <col min="1536" max="1536" width="9.375" style="310"/>
    <col min="1537" max="1537" width="10.125" style="310" bestFit="1" customWidth="1"/>
    <col min="1538" max="1538" width="10.75" style="310" customWidth="1"/>
    <col min="1539" max="1541" width="9.375" style="310"/>
    <col min="1542" max="1543" width="10.75" style="310" customWidth="1"/>
    <col min="1544" max="1548" width="9.375" style="310"/>
    <col min="1549" max="1549" width="1.625" style="310" bestFit="1" customWidth="1"/>
    <col min="1550" max="1550" width="9.375" style="310"/>
    <col min="1551" max="1551" width="8.875" style="310" customWidth="1"/>
    <col min="1552" max="1552" width="13.125" style="310" customWidth="1"/>
    <col min="1553" max="1553" width="9.375" style="310"/>
    <col min="1554" max="1554" width="9.875" style="310" customWidth="1"/>
    <col min="1555" max="1555" width="11.75" style="310" bestFit="1" customWidth="1"/>
    <col min="1556" max="1785" width="9.375" style="310"/>
    <col min="1786" max="1786" width="5" style="310" customWidth="1"/>
    <col min="1787" max="1787" width="17.875" style="310" bestFit="1" customWidth="1"/>
    <col min="1788" max="1788" width="9.875" style="310" customWidth="1"/>
    <col min="1789" max="1789" width="8.875" style="310" customWidth="1"/>
    <col min="1790" max="1790" width="7.375" style="310" bestFit="1" customWidth="1"/>
    <col min="1791" max="1791" width="10.125" style="310" bestFit="1" customWidth="1"/>
    <col min="1792" max="1792" width="9.375" style="310"/>
    <col min="1793" max="1793" width="10.125" style="310" bestFit="1" customWidth="1"/>
    <col min="1794" max="1794" width="10.75" style="310" customWidth="1"/>
    <col min="1795" max="1797" width="9.375" style="310"/>
    <col min="1798" max="1799" width="10.75" style="310" customWidth="1"/>
    <col min="1800" max="1804" width="9.375" style="310"/>
    <col min="1805" max="1805" width="1.625" style="310" bestFit="1" customWidth="1"/>
    <col min="1806" max="1806" width="9.375" style="310"/>
    <col min="1807" max="1807" width="8.875" style="310" customWidth="1"/>
    <col min="1808" max="1808" width="13.125" style="310" customWidth="1"/>
    <col min="1809" max="1809" width="9.375" style="310"/>
    <col min="1810" max="1810" width="9.875" style="310" customWidth="1"/>
    <col min="1811" max="1811" width="11.75" style="310" bestFit="1" customWidth="1"/>
    <col min="1812" max="2041" width="9.375" style="310"/>
    <col min="2042" max="2042" width="5" style="310" customWidth="1"/>
    <col min="2043" max="2043" width="17.875" style="310" bestFit="1" customWidth="1"/>
    <col min="2044" max="2044" width="9.875" style="310" customWidth="1"/>
    <col min="2045" max="2045" width="8.875" style="310" customWidth="1"/>
    <col min="2046" max="2046" width="7.375" style="310" bestFit="1" customWidth="1"/>
    <col min="2047" max="2047" width="10.125" style="310" bestFit="1" customWidth="1"/>
    <col min="2048" max="2048" width="9.375" style="310"/>
    <col min="2049" max="2049" width="10.125" style="310" bestFit="1" customWidth="1"/>
    <col min="2050" max="2050" width="10.75" style="310" customWidth="1"/>
    <col min="2051" max="2053" width="9.375" style="310"/>
    <col min="2054" max="2055" width="10.75" style="310" customWidth="1"/>
    <col min="2056" max="2060" width="9.375" style="310"/>
    <col min="2061" max="2061" width="1.625" style="310" bestFit="1" customWidth="1"/>
    <col min="2062" max="2062" width="9.375" style="310"/>
    <col min="2063" max="2063" width="8.875" style="310" customWidth="1"/>
    <col min="2064" max="2064" width="13.125" style="310" customWidth="1"/>
    <col min="2065" max="2065" width="9.375" style="310"/>
    <col min="2066" max="2066" width="9.875" style="310" customWidth="1"/>
    <col min="2067" max="2067" width="11.75" style="310" bestFit="1" customWidth="1"/>
    <col min="2068" max="2297" width="9.375" style="310"/>
    <col min="2298" max="2298" width="5" style="310" customWidth="1"/>
    <col min="2299" max="2299" width="17.875" style="310" bestFit="1" customWidth="1"/>
    <col min="2300" max="2300" width="9.875" style="310" customWidth="1"/>
    <col min="2301" max="2301" width="8.875" style="310" customWidth="1"/>
    <col min="2302" max="2302" width="7.375" style="310" bestFit="1" customWidth="1"/>
    <col min="2303" max="2303" width="10.125" style="310" bestFit="1" customWidth="1"/>
    <col min="2304" max="2304" width="9.375" style="310"/>
    <col min="2305" max="2305" width="10.125" style="310" bestFit="1" customWidth="1"/>
    <col min="2306" max="2306" width="10.75" style="310" customWidth="1"/>
    <col min="2307" max="2309" width="9.375" style="310"/>
    <col min="2310" max="2311" width="10.75" style="310" customWidth="1"/>
    <col min="2312" max="2316" width="9.375" style="310"/>
    <col min="2317" max="2317" width="1.625" style="310" bestFit="1" customWidth="1"/>
    <col min="2318" max="2318" width="9.375" style="310"/>
    <col min="2319" max="2319" width="8.875" style="310" customWidth="1"/>
    <col min="2320" max="2320" width="13.125" style="310" customWidth="1"/>
    <col min="2321" max="2321" width="9.375" style="310"/>
    <col min="2322" max="2322" width="9.875" style="310" customWidth="1"/>
    <col min="2323" max="2323" width="11.75" style="310" bestFit="1" customWidth="1"/>
    <col min="2324" max="2553" width="9.375" style="310"/>
    <col min="2554" max="2554" width="5" style="310" customWidth="1"/>
    <col min="2555" max="2555" width="17.875" style="310" bestFit="1" customWidth="1"/>
    <col min="2556" max="2556" width="9.875" style="310" customWidth="1"/>
    <col min="2557" max="2557" width="8.875" style="310" customWidth="1"/>
    <col min="2558" max="2558" width="7.375" style="310" bestFit="1" customWidth="1"/>
    <col min="2559" max="2559" width="10.125" style="310" bestFit="1" customWidth="1"/>
    <col min="2560" max="2560" width="9.375" style="310"/>
    <col min="2561" max="2561" width="10.125" style="310" bestFit="1" customWidth="1"/>
    <col min="2562" max="2562" width="10.75" style="310" customWidth="1"/>
    <col min="2563" max="2565" width="9.375" style="310"/>
    <col min="2566" max="2567" width="10.75" style="310" customWidth="1"/>
    <col min="2568" max="2572" width="9.375" style="310"/>
    <col min="2573" max="2573" width="1.625" style="310" bestFit="1" customWidth="1"/>
    <col min="2574" max="2574" width="9.375" style="310"/>
    <col min="2575" max="2575" width="8.875" style="310" customWidth="1"/>
    <col min="2576" max="2576" width="13.125" style="310" customWidth="1"/>
    <col min="2577" max="2577" width="9.375" style="310"/>
    <col min="2578" max="2578" width="9.875" style="310" customWidth="1"/>
    <col min="2579" max="2579" width="11.75" style="310" bestFit="1" customWidth="1"/>
    <col min="2580" max="2809" width="9.375" style="310"/>
    <col min="2810" max="2810" width="5" style="310" customWidth="1"/>
    <col min="2811" max="2811" width="17.875" style="310" bestFit="1" customWidth="1"/>
    <col min="2812" max="2812" width="9.875" style="310" customWidth="1"/>
    <col min="2813" max="2813" width="8.875" style="310" customWidth="1"/>
    <col min="2814" max="2814" width="7.375" style="310" bestFit="1" customWidth="1"/>
    <col min="2815" max="2815" width="10.125" style="310" bestFit="1" customWidth="1"/>
    <col min="2816" max="2816" width="9.375" style="310"/>
    <col min="2817" max="2817" width="10.125" style="310" bestFit="1" customWidth="1"/>
    <col min="2818" max="2818" width="10.75" style="310" customWidth="1"/>
    <col min="2819" max="2821" width="9.375" style="310"/>
    <col min="2822" max="2823" width="10.75" style="310" customWidth="1"/>
    <col min="2824" max="2828" width="9.375" style="310"/>
    <col min="2829" max="2829" width="1.625" style="310" bestFit="1" customWidth="1"/>
    <col min="2830" max="2830" width="9.375" style="310"/>
    <col min="2831" max="2831" width="8.875" style="310" customWidth="1"/>
    <col min="2832" max="2832" width="13.125" style="310" customWidth="1"/>
    <col min="2833" max="2833" width="9.375" style="310"/>
    <col min="2834" max="2834" width="9.875" style="310" customWidth="1"/>
    <col min="2835" max="2835" width="11.75" style="310" bestFit="1" customWidth="1"/>
    <col min="2836" max="3065" width="9.375" style="310"/>
    <col min="3066" max="3066" width="5" style="310" customWidth="1"/>
    <col min="3067" max="3067" width="17.875" style="310" bestFit="1" customWidth="1"/>
    <col min="3068" max="3068" width="9.875" style="310" customWidth="1"/>
    <col min="3069" max="3069" width="8.875" style="310" customWidth="1"/>
    <col min="3070" max="3070" width="7.375" style="310" bestFit="1" customWidth="1"/>
    <col min="3071" max="3071" width="10.125" style="310" bestFit="1" customWidth="1"/>
    <col min="3072" max="3072" width="9.375" style="310"/>
    <col min="3073" max="3073" width="10.125" style="310" bestFit="1" customWidth="1"/>
    <col min="3074" max="3074" width="10.75" style="310" customWidth="1"/>
    <col min="3075" max="3077" width="9.375" style="310"/>
    <col min="3078" max="3079" width="10.75" style="310" customWidth="1"/>
    <col min="3080" max="3084" width="9.375" style="310"/>
    <col min="3085" max="3085" width="1.625" style="310" bestFit="1" customWidth="1"/>
    <col min="3086" max="3086" width="9.375" style="310"/>
    <col min="3087" max="3087" width="8.875" style="310" customWidth="1"/>
    <col min="3088" max="3088" width="13.125" style="310" customWidth="1"/>
    <col min="3089" max="3089" width="9.375" style="310"/>
    <col min="3090" max="3090" width="9.875" style="310" customWidth="1"/>
    <col min="3091" max="3091" width="11.75" style="310" bestFit="1" customWidth="1"/>
    <col min="3092" max="3321" width="9.375" style="310"/>
    <col min="3322" max="3322" width="5" style="310" customWidth="1"/>
    <col min="3323" max="3323" width="17.875" style="310" bestFit="1" customWidth="1"/>
    <col min="3324" max="3324" width="9.875" style="310" customWidth="1"/>
    <col min="3325" max="3325" width="8.875" style="310" customWidth="1"/>
    <col min="3326" max="3326" width="7.375" style="310" bestFit="1" customWidth="1"/>
    <col min="3327" max="3327" width="10.125" style="310" bestFit="1" customWidth="1"/>
    <col min="3328" max="3328" width="9.375" style="310"/>
    <col min="3329" max="3329" width="10.125" style="310" bestFit="1" customWidth="1"/>
    <col min="3330" max="3330" width="10.75" style="310" customWidth="1"/>
    <col min="3331" max="3333" width="9.375" style="310"/>
    <col min="3334" max="3335" width="10.75" style="310" customWidth="1"/>
    <col min="3336" max="3340" width="9.375" style="310"/>
    <col min="3341" max="3341" width="1.625" style="310" bestFit="1" customWidth="1"/>
    <col min="3342" max="3342" width="9.375" style="310"/>
    <col min="3343" max="3343" width="8.875" style="310" customWidth="1"/>
    <col min="3344" max="3344" width="13.125" style="310" customWidth="1"/>
    <col min="3345" max="3345" width="9.375" style="310"/>
    <col min="3346" max="3346" width="9.875" style="310" customWidth="1"/>
    <col min="3347" max="3347" width="11.75" style="310" bestFit="1" customWidth="1"/>
    <col min="3348" max="3577" width="9.375" style="310"/>
    <col min="3578" max="3578" width="5" style="310" customWidth="1"/>
    <col min="3579" max="3579" width="17.875" style="310" bestFit="1" customWidth="1"/>
    <col min="3580" max="3580" width="9.875" style="310" customWidth="1"/>
    <col min="3581" max="3581" width="8.875" style="310" customWidth="1"/>
    <col min="3582" max="3582" width="7.375" style="310" bestFit="1" customWidth="1"/>
    <col min="3583" max="3583" width="10.125" style="310" bestFit="1" customWidth="1"/>
    <col min="3584" max="3584" width="9.375" style="310"/>
    <col min="3585" max="3585" width="10.125" style="310" bestFit="1" customWidth="1"/>
    <col min="3586" max="3586" width="10.75" style="310" customWidth="1"/>
    <col min="3587" max="3589" width="9.375" style="310"/>
    <col min="3590" max="3591" width="10.75" style="310" customWidth="1"/>
    <col min="3592" max="3596" width="9.375" style="310"/>
    <col min="3597" max="3597" width="1.625" style="310" bestFit="1" customWidth="1"/>
    <col min="3598" max="3598" width="9.375" style="310"/>
    <col min="3599" max="3599" width="8.875" style="310" customWidth="1"/>
    <col min="3600" max="3600" width="13.125" style="310" customWidth="1"/>
    <col min="3601" max="3601" width="9.375" style="310"/>
    <col min="3602" max="3602" width="9.875" style="310" customWidth="1"/>
    <col min="3603" max="3603" width="11.75" style="310" bestFit="1" customWidth="1"/>
    <col min="3604" max="3833" width="9.375" style="310"/>
    <col min="3834" max="3834" width="5" style="310" customWidth="1"/>
    <col min="3835" max="3835" width="17.875" style="310" bestFit="1" customWidth="1"/>
    <col min="3836" max="3836" width="9.875" style="310" customWidth="1"/>
    <col min="3837" max="3837" width="8.875" style="310" customWidth="1"/>
    <col min="3838" max="3838" width="7.375" style="310" bestFit="1" customWidth="1"/>
    <col min="3839" max="3839" width="10.125" style="310" bestFit="1" customWidth="1"/>
    <col min="3840" max="3840" width="9.375" style="310"/>
    <col min="3841" max="3841" width="10.125" style="310" bestFit="1" customWidth="1"/>
    <col min="3842" max="3842" width="10.75" style="310" customWidth="1"/>
    <col min="3843" max="3845" width="9.375" style="310"/>
    <col min="3846" max="3847" width="10.75" style="310" customWidth="1"/>
    <col min="3848" max="3852" width="9.375" style="310"/>
    <col min="3853" max="3853" width="1.625" style="310" bestFit="1" customWidth="1"/>
    <col min="3854" max="3854" width="9.375" style="310"/>
    <col min="3855" max="3855" width="8.875" style="310" customWidth="1"/>
    <col min="3856" max="3856" width="13.125" style="310" customWidth="1"/>
    <col min="3857" max="3857" width="9.375" style="310"/>
    <col min="3858" max="3858" width="9.875" style="310" customWidth="1"/>
    <col min="3859" max="3859" width="11.75" style="310" bestFit="1" customWidth="1"/>
    <col min="3860" max="4089" width="9.375" style="310"/>
    <col min="4090" max="4090" width="5" style="310" customWidth="1"/>
    <col min="4091" max="4091" width="17.875" style="310" bestFit="1" customWidth="1"/>
    <col min="4092" max="4092" width="9.875" style="310" customWidth="1"/>
    <col min="4093" max="4093" width="8.875" style="310" customWidth="1"/>
    <col min="4094" max="4094" width="7.375" style="310" bestFit="1" customWidth="1"/>
    <col min="4095" max="4095" width="10.125" style="310" bestFit="1" customWidth="1"/>
    <col min="4096" max="4096" width="9.375" style="310"/>
    <col min="4097" max="4097" width="10.125" style="310" bestFit="1" customWidth="1"/>
    <col min="4098" max="4098" width="10.75" style="310" customWidth="1"/>
    <col min="4099" max="4101" width="9.375" style="310"/>
    <col min="4102" max="4103" width="10.75" style="310" customWidth="1"/>
    <col min="4104" max="4108" width="9.375" style="310"/>
    <col min="4109" max="4109" width="1.625" style="310" bestFit="1" customWidth="1"/>
    <col min="4110" max="4110" width="9.375" style="310"/>
    <col min="4111" max="4111" width="8.875" style="310" customWidth="1"/>
    <col min="4112" max="4112" width="13.125" style="310" customWidth="1"/>
    <col min="4113" max="4113" width="9.375" style="310"/>
    <col min="4114" max="4114" width="9.875" style="310" customWidth="1"/>
    <col min="4115" max="4115" width="11.75" style="310" bestFit="1" customWidth="1"/>
    <col min="4116" max="4345" width="9.375" style="310"/>
    <col min="4346" max="4346" width="5" style="310" customWidth="1"/>
    <col min="4347" max="4347" width="17.875" style="310" bestFit="1" customWidth="1"/>
    <col min="4348" max="4348" width="9.875" style="310" customWidth="1"/>
    <col min="4349" max="4349" width="8.875" style="310" customWidth="1"/>
    <col min="4350" max="4350" width="7.375" style="310" bestFit="1" customWidth="1"/>
    <col min="4351" max="4351" width="10.125" style="310" bestFit="1" customWidth="1"/>
    <col min="4352" max="4352" width="9.375" style="310"/>
    <col min="4353" max="4353" width="10.125" style="310" bestFit="1" customWidth="1"/>
    <col min="4354" max="4354" width="10.75" style="310" customWidth="1"/>
    <col min="4355" max="4357" width="9.375" style="310"/>
    <col min="4358" max="4359" width="10.75" style="310" customWidth="1"/>
    <col min="4360" max="4364" width="9.375" style="310"/>
    <col min="4365" max="4365" width="1.625" style="310" bestFit="1" customWidth="1"/>
    <col min="4366" max="4366" width="9.375" style="310"/>
    <col min="4367" max="4367" width="8.875" style="310" customWidth="1"/>
    <col min="4368" max="4368" width="13.125" style="310" customWidth="1"/>
    <col min="4369" max="4369" width="9.375" style="310"/>
    <col min="4370" max="4370" width="9.875" style="310" customWidth="1"/>
    <col min="4371" max="4371" width="11.75" style="310" bestFit="1" customWidth="1"/>
    <col min="4372" max="4601" width="9.375" style="310"/>
    <col min="4602" max="4602" width="5" style="310" customWidth="1"/>
    <col min="4603" max="4603" width="17.875" style="310" bestFit="1" customWidth="1"/>
    <col min="4604" max="4604" width="9.875" style="310" customWidth="1"/>
    <col min="4605" max="4605" width="8.875" style="310" customWidth="1"/>
    <col min="4606" max="4606" width="7.375" style="310" bestFit="1" customWidth="1"/>
    <col min="4607" max="4607" width="10.125" style="310" bestFit="1" customWidth="1"/>
    <col min="4608" max="4608" width="9.375" style="310"/>
    <col min="4609" max="4609" width="10.125" style="310" bestFit="1" customWidth="1"/>
    <col min="4610" max="4610" width="10.75" style="310" customWidth="1"/>
    <col min="4611" max="4613" width="9.375" style="310"/>
    <col min="4614" max="4615" width="10.75" style="310" customWidth="1"/>
    <col min="4616" max="4620" width="9.375" style="310"/>
    <col min="4621" max="4621" width="1.625" style="310" bestFit="1" customWidth="1"/>
    <col min="4622" max="4622" width="9.375" style="310"/>
    <col min="4623" max="4623" width="8.875" style="310" customWidth="1"/>
    <col min="4624" max="4624" width="13.125" style="310" customWidth="1"/>
    <col min="4625" max="4625" width="9.375" style="310"/>
    <col min="4626" max="4626" width="9.875" style="310" customWidth="1"/>
    <col min="4627" max="4627" width="11.75" style="310" bestFit="1" customWidth="1"/>
    <col min="4628" max="4857" width="9.375" style="310"/>
    <col min="4858" max="4858" width="5" style="310" customWidth="1"/>
    <col min="4859" max="4859" width="17.875" style="310" bestFit="1" customWidth="1"/>
    <col min="4860" max="4860" width="9.875" style="310" customWidth="1"/>
    <col min="4861" max="4861" width="8.875" style="310" customWidth="1"/>
    <col min="4862" max="4862" width="7.375" style="310" bestFit="1" customWidth="1"/>
    <col min="4863" max="4863" width="10.125" style="310" bestFit="1" customWidth="1"/>
    <col min="4864" max="4864" width="9.375" style="310"/>
    <col min="4865" max="4865" width="10.125" style="310" bestFit="1" customWidth="1"/>
    <col min="4866" max="4866" width="10.75" style="310" customWidth="1"/>
    <col min="4867" max="4869" width="9.375" style="310"/>
    <col min="4870" max="4871" width="10.75" style="310" customWidth="1"/>
    <col min="4872" max="4876" width="9.375" style="310"/>
    <col min="4877" max="4877" width="1.625" style="310" bestFit="1" customWidth="1"/>
    <col min="4878" max="4878" width="9.375" style="310"/>
    <col min="4879" max="4879" width="8.875" style="310" customWidth="1"/>
    <col min="4880" max="4880" width="13.125" style="310" customWidth="1"/>
    <col min="4881" max="4881" width="9.375" style="310"/>
    <col min="4882" max="4882" width="9.875" style="310" customWidth="1"/>
    <col min="4883" max="4883" width="11.75" style="310" bestFit="1" customWidth="1"/>
    <col min="4884" max="5113" width="9.375" style="310"/>
    <col min="5114" max="5114" width="5" style="310" customWidth="1"/>
    <col min="5115" max="5115" width="17.875" style="310" bestFit="1" customWidth="1"/>
    <col min="5116" max="5116" width="9.875" style="310" customWidth="1"/>
    <col min="5117" max="5117" width="8.875" style="310" customWidth="1"/>
    <col min="5118" max="5118" width="7.375" style="310" bestFit="1" customWidth="1"/>
    <col min="5119" max="5119" width="10.125" style="310" bestFit="1" customWidth="1"/>
    <col min="5120" max="5120" width="9.375" style="310"/>
    <col min="5121" max="5121" width="10.125" style="310" bestFit="1" customWidth="1"/>
    <col min="5122" max="5122" width="10.75" style="310" customWidth="1"/>
    <col min="5123" max="5125" width="9.375" style="310"/>
    <col min="5126" max="5127" width="10.75" style="310" customWidth="1"/>
    <col min="5128" max="5132" width="9.375" style="310"/>
    <col min="5133" max="5133" width="1.625" style="310" bestFit="1" customWidth="1"/>
    <col min="5134" max="5134" width="9.375" style="310"/>
    <col min="5135" max="5135" width="8.875" style="310" customWidth="1"/>
    <col min="5136" max="5136" width="13.125" style="310" customWidth="1"/>
    <col min="5137" max="5137" width="9.375" style="310"/>
    <col min="5138" max="5138" width="9.875" style="310" customWidth="1"/>
    <col min="5139" max="5139" width="11.75" style="310" bestFit="1" customWidth="1"/>
    <col min="5140" max="5369" width="9.375" style="310"/>
    <col min="5370" max="5370" width="5" style="310" customWidth="1"/>
    <col min="5371" max="5371" width="17.875" style="310" bestFit="1" customWidth="1"/>
    <col min="5372" max="5372" width="9.875" style="310" customWidth="1"/>
    <col min="5373" max="5373" width="8.875" style="310" customWidth="1"/>
    <col min="5374" max="5374" width="7.375" style="310" bestFit="1" customWidth="1"/>
    <col min="5375" max="5375" width="10.125" style="310" bestFit="1" customWidth="1"/>
    <col min="5376" max="5376" width="9.375" style="310"/>
    <col min="5377" max="5377" width="10.125" style="310" bestFit="1" customWidth="1"/>
    <col min="5378" max="5378" width="10.75" style="310" customWidth="1"/>
    <col min="5379" max="5381" width="9.375" style="310"/>
    <col min="5382" max="5383" width="10.75" style="310" customWidth="1"/>
    <col min="5384" max="5388" width="9.375" style="310"/>
    <col min="5389" max="5389" width="1.625" style="310" bestFit="1" customWidth="1"/>
    <col min="5390" max="5390" width="9.375" style="310"/>
    <col min="5391" max="5391" width="8.875" style="310" customWidth="1"/>
    <col min="5392" max="5392" width="13.125" style="310" customWidth="1"/>
    <col min="5393" max="5393" width="9.375" style="310"/>
    <col min="5394" max="5394" width="9.875" style="310" customWidth="1"/>
    <col min="5395" max="5395" width="11.75" style="310" bestFit="1" customWidth="1"/>
    <col min="5396" max="5625" width="9.375" style="310"/>
    <col min="5626" max="5626" width="5" style="310" customWidth="1"/>
    <col min="5627" max="5627" width="17.875" style="310" bestFit="1" customWidth="1"/>
    <col min="5628" max="5628" width="9.875" style="310" customWidth="1"/>
    <col min="5629" max="5629" width="8.875" style="310" customWidth="1"/>
    <col min="5630" max="5630" width="7.375" style="310" bestFit="1" customWidth="1"/>
    <col min="5631" max="5631" width="10.125" style="310" bestFit="1" customWidth="1"/>
    <col min="5632" max="5632" width="9.375" style="310"/>
    <col min="5633" max="5633" width="10.125" style="310" bestFit="1" customWidth="1"/>
    <col min="5634" max="5634" width="10.75" style="310" customWidth="1"/>
    <col min="5635" max="5637" width="9.375" style="310"/>
    <col min="5638" max="5639" width="10.75" style="310" customWidth="1"/>
    <col min="5640" max="5644" width="9.375" style="310"/>
    <col min="5645" max="5645" width="1.625" style="310" bestFit="1" customWidth="1"/>
    <col min="5646" max="5646" width="9.375" style="310"/>
    <col min="5647" max="5647" width="8.875" style="310" customWidth="1"/>
    <col min="5648" max="5648" width="13.125" style="310" customWidth="1"/>
    <col min="5649" max="5649" width="9.375" style="310"/>
    <col min="5650" max="5650" width="9.875" style="310" customWidth="1"/>
    <col min="5651" max="5651" width="11.75" style="310" bestFit="1" customWidth="1"/>
    <col min="5652" max="5881" width="9.375" style="310"/>
    <col min="5882" max="5882" width="5" style="310" customWidth="1"/>
    <col min="5883" max="5883" width="17.875" style="310" bestFit="1" customWidth="1"/>
    <col min="5884" max="5884" width="9.875" style="310" customWidth="1"/>
    <col min="5885" max="5885" width="8.875" style="310" customWidth="1"/>
    <col min="5886" max="5886" width="7.375" style="310" bestFit="1" customWidth="1"/>
    <col min="5887" max="5887" width="10.125" style="310" bestFit="1" customWidth="1"/>
    <col min="5888" max="5888" width="9.375" style="310"/>
    <col min="5889" max="5889" width="10.125" style="310" bestFit="1" customWidth="1"/>
    <col min="5890" max="5890" width="10.75" style="310" customWidth="1"/>
    <col min="5891" max="5893" width="9.375" style="310"/>
    <col min="5894" max="5895" width="10.75" style="310" customWidth="1"/>
    <col min="5896" max="5900" width="9.375" style="310"/>
    <col min="5901" max="5901" width="1.625" style="310" bestFit="1" customWidth="1"/>
    <col min="5902" max="5902" width="9.375" style="310"/>
    <col min="5903" max="5903" width="8.875" style="310" customWidth="1"/>
    <col min="5904" max="5904" width="13.125" style="310" customWidth="1"/>
    <col min="5905" max="5905" width="9.375" style="310"/>
    <col min="5906" max="5906" width="9.875" style="310" customWidth="1"/>
    <col min="5907" max="5907" width="11.75" style="310" bestFit="1" customWidth="1"/>
    <col min="5908" max="6137" width="9.375" style="310"/>
    <col min="6138" max="6138" width="5" style="310" customWidth="1"/>
    <col min="6139" max="6139" width="17.875" style="310" bestFit="1" customWidth="1"/>
    <col min="6140" max="6140" width="9.875" style="310" customWidth="1"/>
    <col min="6141" max="6141" width="8.875" style="310" customWidth="1"/>
    <col min="6142" max="6142" width="7.375" style="310" bestFit="1" customWidth="1"/>
    <col min="6143" max="6143" width="10.125" style="310" bestFit="1" customWidth="1"/>
    <col min="6144" max="6144" width="9.375" style="310"/>
    <col min="6145" max="6145" width="10.125" style="310" bestFit="1" customWidth="1"/>
    <col min="6146" max="6146" width="10.75" style="310" customWidth="1"/>
    <col min="6147" max="6149" width="9.375" style="310"/>
    <col min="6150" max="6151" width="10.75" style="310" customWidth="1"/>
    <col min="6152" max="6156" width="9.375" style="310"/>
    <col min="6157" max="6157" width="1.625" style="310" bestFit="1" customWidth="1"/>
    <col min="6158" max="6158" width="9.375" style="310"/>
    <col min="6159" max="6159" width="8.875" style="310" customWidth="1"/>
    <col min="6160" max="6160" width="13.125" style="310" customWidth="1"/>
    <col min="6161" max="6161" width="9.375" style="310"/>
    <col min="6162" max="6162" width="9.875" style="310" customWidth="1"/>
    <col min="6163" max="6163" width="11.75" style="310" bestFit="1" customWidth="1"/>
    <col min="6164" max="6393" width="9.375" style="310"/>
    <col min="6394" max="6394" width="5" style="310" customWidth="1"/>
    <col min="6395" max="6395" width="17.875" style="310" bestFit="1" customWidth="1"/>
    <col min="6396" max="6396" width="9.875" style="310" customWidth="1"/>
    <col min="6397" max="6397" width="8.875" style="310" customWidth="1"/>
    <col min="6398" max="6398" width="7.375" style="310" bestFit="1" customWidth="1"/>
    <col min="6399" max="6399" width="10.125" style="310" bestFit="1" customWidth="1"/>
    <col min="6400" max="6400" width="9.375" style="310"/>
    <col min="6401" max="6401" width="10.125" style="310" bestFit="1" customWidth="1"/>
    <col min="6402" max="6402" width="10.75" style="310" customWidth="1"/>
    <col min="6403" max="6405" width="9.375" style="310"/>
    <col min="6406" max="6407" width="10.75" style="310" customWidth="1"/>
    <col min="6408" max="6412" width="9.375" style="310"/>
    <col min="6413" max="6413" width="1.625" style="310" bestFit="1" customWidth="1"/>
    <col min="6414" max="6414" width="9.375" style="310"/>
    <col min="6415" max="6415" width="8.875" style="310" customWidth="1"/>
    <col min="6416" max="6416" width="13.125" style="310" customWidth="1"/>
    <col min="6417" max="6417" width="9.375" style="310"/>
    <col min="6418" max="6418" width="9.875" style="310" customWidth="1"/>
    <col min="6419" max="6419" width="11.75" style="310" bestFit="1" customWidth="1"/>
    <col min="6420" max="6649" width="9.375" style="310"/>
    <col min="6650" max="6650" width="5" style="310" customWidth="1"/>
    <col min="6651" max="6651" width="17.875" style="310" bestFit="1" customWidth="1"/>
    <col min="6652" max="6652" width="9.875" style="310" customWidth="1"/>
    <col min="6653" max="6653" width="8.875" style="310" customWidth="1"/>
    <col min="6654" max="6654" width="7.375" style="310" bestFit="1" customWidth="1"/>
    <col min="6655" max="6655" width="10.125" style="310" bestFit="1" customWidth="1"/>
    <col min="6656" max="6656" width="9.375" style="310"/>
    <col min="6657" max="6657" width="10.125" style="310" bestFit="1" customWidth="1"/>
    <col min="6658" max="6658" width="10.75" style="310" customWidth="1"/>
    <col min="6659" max="6661" width="9.375" style="310"/>
    <col min="6662" max="6663" width="10.75" style="310" customWidth="1"/>
    <col min="6664" max="6668" width="9.375" style="310"/>
    <col min="6669" max="6669" width="1.625" style="310" bestFit="1" customWidth="1"/>
    <col min="6670" max="6670" width="9.375" style="310"/>
    <col min="6671" max="6671" width="8.875" style="310" customWidth="1"/>
    <col min="6672" max="6672" width="13.125" style="310" customWidth="1"/>
    <col min="6673" max="6673" width="9.375" style="310"/>
    <col min="6674" max="6674" width="9.875" style="310" customWidth="1"/>
    <col min="6675" max="6675" width="11.75" style="310" bestFit="1" customWidth="1"/>
    <col min="6676" max="6905" width="9.375" style="310"/>
    <col min="6906" max="6906" width="5" style="310" customWidth="1"/>
    <col min="6907" max="6907" width="17.875" style="310" bestFit="1" customWidth="1"/>
    <col min="6908" max="6908" width="9.875" style="310" customWidth="1"/>
    <col min="6909" max="6909" width="8.875" style="310" customWidth="1"/>
    <col min="6910" max="6910" width="7.375" style="310" bestFit="1" customWidth="1"/>
    <col min="6911" max="6911" width="10.125" style="310" bestFit="1" customWidth="1"/>
    <col min="6912" max="6912" width="9.375" style="310"/>
    <col min="6913" max="6913" width="10.125" style="310" bestFit="1" customWidth="1"/>
    <col min="6914" max="6914" width="10.75" style="310" customWidth="1"/>
    <col min="6915" max="6917" width="9.375" style="310"/>
    <col min="6918" max="6919" width="10.75" style="310" customWidth="1"/>
    <col min="6920" max="6924" width="9.375" style="310"/>
    <col min="6925" max="6925" width="1.625" style="310" bestFit="1" customWidth="1"/>
    <col min="6926" max="6926" width="9.375" style="310"/>
    <col min="6927" max="6927" width="8.875" style="310" customWidth="1"/>
    <col min="6928" max="6928" width="13.125" style="310" customWidth="1"/>
    <col min="6929" max="6929" width="9.375" style="310"/>
    <col min="6930" max="6930" width="9.875" style="310" customWidth="1"/>
    <col min="6931" max="6931" width="11.75" style="310" bestFit="1" customWidth="1"/>
    <col min="6932" max="7161" width="9.375" style="310"/>
    <col min="7162" max="7162" width="5" style="310" customWidth="1"/>
    <col min="7163" max="7163" width="17.875" style="310" bestFit="1" customWidth="1"/>
    <col min="7164" max="7164" width="9.875" style="310" customWidth="1"/>
    <col min="7165" max="7165" width="8.875" style="310" customWidth="1"/>
    <col min="7166" max="7166" width="7.375" style="310" bestFit="1" customWidth="1"/>
    <col min="7167" max="7167" width="10.125" style="310" bestFit="1" customWidth="1"/>
    <col min="7168" max="7168" width="9.375" style="310"/>
    <col min="7169" max="7169" width="10.125" style="310" bestFit="1" customWidth="1"/>
    <col min="7170" max="7170" width="10.75" style="310" customWidth="1"/>
    <col min="7171" max="7173" width="9.375" style="310"/>
    <col min="7174" max="7175" width="10.75" style="310" customWidth="1"/>
    <col min="7176" max="7180" width="9.375" style="310"/>
    <col min="7181" max="7181" width="1.625" style="310" bestFit="1" customWidth="1"/>
    <col min="7182" max="7182" width="9.375" style="310"/>
    <col min="7183" max="7183" width="8.875" style="310" customWidth="1"/>
    <col min="7184" max="7184" width="13.125" style="310" customWidth="1"/>
    <col min="7185" max="7185" width="9.375" style="310"/>
    <col min="7186" max="7186" width="9.875" style="310" customWidth="1"/>
    <col min="7187" max="7187" width="11.75" style="310" bestFit="1" customWidth="1"/>
    <col min="7188" max="7417" width="9.375" style="310"/>
    <col min="7418" max="7418" width="5" style="310" customWidth="1"/>
    <col min="7419" max="7419" width="17.875" style="310" bestFit="1" customWidth="1"/>
    <col min="7420" max="7420" width="9.875" style="310" customWidth="1"/>
    <col min="7421" max="7421" width="8.875" style="310" customWidth="1"/>
    <col min="7422" max="7422" width="7.375" style="310" bestFit="1" customWidth="1"/>
    <col min="7423" max="7423" width="10.125" style="310" bestFit="1" customWidth="1"/>
    <col min="7424" max="7424" width="9.375" style="310"/>
    <col min="7425" max="7425" width="10.125" style="310" bestFit="1" customWidth="1"/>
    <col min="7426" max="7426" width="10.75" style="310" customWidth="1"/>
    <col min="7427" max="7429" width="9.375" style="310"/>
    <col min="7430" max="7431" width="10.75" style="310" customWidth="1"/>
    <col min="7432" max="7436" width="9.375" style="310"/>
    <col min="7437" max="7437" width="1.625" style="310" bestFit="1" customWidth="1"/>
    <col min="7438" max="7438" width="9.375" style="310"/>
    <col min="7439" max="7439" width="8.875" style="310" customWidth="1"/>
    <col min="7440" max="7440" width="13.125" style="310" customWidth="1"/>
    <col min="7441" max="7441" width="9.375" style="310"/>
    <col min="7442" max="7442" width="9.875" style="310" customWidth="1"/>
    <col min="7443" max="7443" width="11.75" style="310" bestFit="1" customWidth="1"/>
    <col min="7444" max="7673" width="9.375" style="310"/>
    <col min="7674" max="7674" width="5" style="310" customWidth="1"/>
    <col min="7675" max="7675" width="17.875" style="310" bestFit="1" customWidth="1"/>
    <col min="7676" max="7676" width="9.875" style="310" customWidth="1"/>
    <col min="7677" max="7677" width="8.875" style="310" customWidth="1"/>
    <col min="7678" max="7678" width="7.375" style="310" bestFit="1" customWidth="1"/>
    <col min="7679" max="7679" width="10.125" style="310" bestFit="1" customWidth="1"/>
    <col min="7680" max="7680" width="9.375" style="310"/>
    <col min="7681" max="7681" width="10.125" style="310" bestFit="1" customWidth="1"/>
    <col min="7682" max="7682" width="10.75" style="310" customWidth="1"/>
    <col min="7683" max="7685" width="9.375" style="310"/>
    <col min="7686" max="7687" width="10.75" style="310" customWidth="1"/>
    <col min="7688" max="7692" width="9.375" style="310"/>
    <col min="7693" max="7693" width="1.625" style="310" bestFit="1" customWidth="1"/>
    <col min="7694" max="7694" width="9.375" style="310"/>
    <col min="7695" max="7695" width="8.875" style="310" customWidth="1"/>
    <col min="7696" max="7696" width="13.125" style="310" customWidth="1"/>
    <col min="7697" max="7697" width="9.375" style="310"/>
    <col min="7698" max="7698" width="9.875" style="310" customWidth="1"/>
    <col min="7699" max="7699" width="11.75" style="310" bestFit="1" customWidth="1"/>
    <col min="7700" max="7929" width="9.375" style="310"/>
    <col min="7930" max="7930" width="5" style="310" customWidth="1"/>
    <col min="7931" max="7931" width="17.875" style="310" bestFit="1" customWidth="1"/>
    <col min="7932" max="7932" width="9.875" style="310" customWidth="1"/>
    <col min="7933" max="7933" width="8.875" style="310" customWidth="1"/>
    <col min="7934" max="7934" width="7.375" style="310" bestFit="1" customWidth="1"/>
    <col min="7935" max="7935" width="10.125" style="310" bestFit="1" customWidth="1"/>
    <col min="7936" max="7936" width="9.375" style="310"/>
    <col min="7937" max="7937" width="10.125" style="310" bestFit="1" customWidth="1"/>
    <col min="7938" max="7938" width="10.75" style="310" customWidth="1"/>
    <col min="7939" max="7941" width="9.375" style="310"/>
    <col min="7942" max="7943" width="10.75" style="310" customWidth="1"/>
    <col min="7944" max="7948" width="9.375" style="310"/>
    <col min="7949" max="7949" width="1.625" style="310" bestFit="1" customWidth="1"/>
    <col min="7950" max="7950" width="9.375" style="310"/>
    <col min="7951" max="7951" width="8.875" style="310" customWidth="1"/>
    <col min="7952" max="7952" width="13.125" style="310" customWidth="1"/>
    <col min="7953" max="7953" width="9.375" style="310"/>
    <col min="7954" max="7954" width="9.875" style="310" customWidth="1"/>
    <col min="7955" max="7955" width="11.75" style="310" bestFit="1" customWidth="1"/>
    <col min="7956" max="8185" width="9.375" style="310"/>
    <col min="8186" max="8186" width="5" style="310" customWidth="1"/>
    <col min="8187" max="8187" width="17.875" style="310" bestFit="1" customWidth="1"/>
    <col min="8188" max="8188" width="9.875" style="310" customWidth="1"/>
    <col min="8189" max="8189" width="8.875" style="310" customWidth="1"/>
    <col min="8190" max="8190" width="7.375" style="310" bestFit="1" customWidth="1"/>
    <col min="8191" max="8191" width="10.125" style="310" bestFit="1" customWidth="1"/>
    <col min="8192" max="8192" width="9.375" style="310"/>
    <col min="8193" max="8193" width="10.125" style="310" bestFit="1" customWidth="1"/>
    <col min="8194" max="8194" width="10.75" style="310" customWidth="1"/>
    <col min="8195" max="8197" width="9.375" style="310"/>
    <col min="8198" max="8199" width="10.75" style="310" customWidth="1"/>
    <col min="8200" max="8204" width="9.375" style="310"/>
    <col min="8205" max="8205" width="1.625" style="310" bestFit="1" customWidth="1"/>
    <col min="8206" max="8206" width="9.375" style="310"/>
    <col min="8207" max="8207" width="8.875" style="310" customWidth="1"/>
    <col min="8208" max="8208" width="13.125" style="310" customWidth="1"/>
    <col min="8209" max="8209" width="9.375" style="310"/>
    <col min="8210" max="8210" width="9.875" style="310" customWidth="1"/>
    <col min="8211" max="8211" width="11.75" style="310" bestFit="1" customWidth="1"/>
    <col min="8212" max="8441" width="9.375" style="310"/>
    <col min="8442" max="8442" width="5" style="310" customWidth="1"/>
    <col min="8443" max="8443" width="17.875" style="310" bestFit="1" customWidth="1"/>
    <col min="8444" max="8444" width="9.875" style="310" customWidth="1"/>
    <col min="8445" max="8445" width="8.875" style="310" customWidth="1"/>
    <col min="8446" max="8446" width="7.375" style="310" bestFit="1" customWidth="1"/>
    <col min="8447" max="8447" width="10.125" style="310" bestFit="1" customWidth="1"/>
    <col min="8448" max="8448" width="9.375" style="310"/>
    <col min="8449" max="8449" width="10.125" style="310" bestFit="1" customWidth="1"/>
    <col min="8450" max="8450" width="10.75" style="310" customWidth="1"/>
    <col min="8451" max="8453" width="9.375" style="310"/>
    <col min="8454" max="8455" width="10.75" style="310" customWidth="1"/>
    <col min="8456" max="8460" width="9.375" style="310"/>
    <col min="8461" max="8461" width="1.625" style="310" bestFit="1" customWidth="1"/>
    <col min="8462" max="8462" width="9.375" style="310"/>
    <col min="8463" max="8463" width="8.875" style="310" customWidth="1"/>
    <col min="8464" max="8464" width="13.125" style="310" customWidth="1"/>
    <col min="8465" max="8465" width="9.375" style="310"/>
    <col min="8466" max="8466" width="9.875" style="310" customWidth="1"/>
    <col min="8467" max="8467" width="11.75" style="310" bestFit="1" customWidth="1"/>
    <col min="8468" max="8697" width="9.375" style="310"/>
    <col min="8698" max="8698" width="5" style="310" customWidth="1"/>
    <col min="8699" max="8699" width="17.875" style="310" bestFit="1" customWidth="1"/>
    <col min="8700" max="8700" width="9.875" style="310" customWidth="1"/>
    <col min="8701" max="8701" width="8.875" style="310" customWidth="1"/>
    <col min="8702" max="8702" width="7.375" style="310" bestFit="1" customWidth="1"/>
    <col min="8703" max="8703" width="10.125" style="310" bestFit="1" customWidth="1"/>
    <col min="8704" max="8704" width="9.375" style="310"/>
    <col min="8705" max="8705" width="10.125" style="310" bestFit="1" customWidth="1"/>
    <col min="8706" max="8706" width="10.75" style="310" customWidth="1"/>
    <col min="8707" max="8709" width="9.375" style="310"/>
    <col min="8710" max="8711" width="10.75" style="310" customWidth="1"/>
    <col min="8712" max="8716" width="9.375" style="310"/>
    <col min="8717" max="8717" width="1.625" style="310" bestFit="1" customWidth="1"/>
    <col min="8718" max="8718" width="9.375" style="310"/>
    <col min="8719" max="8719" width="8.875" style="310" customWidth="1"/>
    <col min="8720" max="8720" width="13.125" style="310" customWidth="1"/>
    <col min="8721" max="8721" width="9.375" style="310"/>
    <col min="8722" max="8722" width="9.875" style="310" customWidth="1"/>
    <col min="8723" max="8723" width="11.75" style="310" bestFit="1" customWidth="1"/>
    <col min="8724" max="8953" width="9.375" style="310"/>
    <col min="8954" max="8954" width="5" style="310" customWidth="1"/>
    <col min="8955" max="8955" width="17.875" style="310" bestFit="1" customWidth="1"/>
    <col min="8956" max="8956" width="9.875" style="310" customWidth="1"/>
    <col min="8957" max="8957" width="8.875" style="310" customWidth="1"/>
    <col min="8958" max="8958" width="7.375" style="310" bestFit="1" customWidth="1"/>
    <col min="8959" max="8959" width="10.125" style="310" bestFit="1" customWidth="1"/>
    <col min="8960" max="8960" width="9.375" style="310"/>
    <col min="8961" max="8961" width="10.125" style="310" bestFit="1" customWidth="1"/>
    <col min="8962" max="8962" width="10.75" style="310" customWidth="1"/>
    <col min="8963" max="8965" width="9.375" style="310"/>
    <col min="8966" max="8967" width="10.75" style="310" customWidth="1"/>
    <col min="8968" max="8972" width="9.375" style="310"/>
    <col min="8973" max="8973" width="1.625" style="310" bestFit="1" customWidth="1"/>
    <col min="8974" max="8974" width="9.375" style="310"/>
    <col min="8975" max="8975" width="8.875" style="310" customWidth="1"/>
    <col min="8976" max="8976" width="13.125" style="310" customWidth="1"/>
    <col min="8977" max="8977" width="9.375" style="310"/>
    <col min="8978" max="8978" width="9.875" style="310" customWidth="1"/>
    <col min="8979" max="8979" width="11.75" style="310" bestFit="1" customWidth="1"/>
    <col min="8980" max="9209" width="9.375" style="310"/>
    <col min="9210" max="9210" width="5" style="310" customWidth="1"/>
    <col min="9211" max="9211" width="17.875" style="310" bestFit="1" customWidth="1"/>
    <col min="9212" max="9212" width="9.875" style="310" customWidth="1"/>
    <col min="9213" max="9213" width="8.875" style="310" customWidth="1"/>
    <col min="9214" max="9214" width="7.375" style="310" bestFit="1" customWidth="1"/>
    <col min="9215" max="9215" width="10.125" style="310" bestFit="1" customWidth="1"/>
    <col min="9216" max="9216" width="9.375" style="310"/>
    <col min="9217" max="9217" width="10.125" style="310" bestFit="1" customWidth="1"/>
    <col min="9218" max="9218" width="10.75" style="310" customWidth="1"/>
    <col min="9219" max="9221" width="9.375" style="310"/>
    <col min="9222" max="9223" width="10.75" style="310" customWidth="1"/>
    <col min="9224" max="9228" width="9.375" style="310"/>
    <col min="9229" max="9229" width="1.625" style="310" bestFit="1" customWidth="1"/>
    <col min="9230" max="9230" width="9.375" style="310"/>
    <col min="9231" max="9231" width="8.875" style="310" customWidth="1"/>
    <col min="9232" max="9232" width="13.125" style="310" customWidth="1"/>
    <col min="9233" max="9233" width="9.375" style="310"/>
    <col min="9234" max="9234" width="9.875" style="310" customWidth="1"/>
    <col min="9235" max="9235" width="11.75" style="310" bestFit="1" customWidth="1"/>
    <col min="9236" max="9465" width="9.375" style="310"/>
    <col min="9466" max="9466" width="5" style="310" customWidth="1"/>
    <col min="9467" max="9467" width="17.875" style="310" bestFit="1" customWidth="1"/>
    <col min="9468" max="9468" width="9.875" style="310" customWidth="1"/>
    <col min="9469" max="9469" width="8.875" style="310" customWidth="1"/>
    <col min="9470" max="9470" width="7.375" style="310" bestFit="1" customWidth="1"/>
    <col min="9471" max="9471" width="10.125" style="310" bestFit="1" customWidth="1"/>
    <col min="9472" max="9472" width="9.375" style="310"/>
    <col min="9473" max="9473" width="10.125" style="310" bestFit="1" customWidth="1"/>
    <col min="9474" max="9474" width="10.75" style="310" customWidth="1"/>
    <col min="9475" max="9477" width="9.375" style="310"/>
    <col min="9478" max="9479" width="10.75" style="310" customWidth="1"/>
    <col min="9480" max="9484" width="9.375" style="310"/>
    <col min="9485" max="9485" width="1.625" style="310" bestFit="1" customWidth="1"/>
    <col min="9486" max="9486" width="9.375" style="310"/>
    <col min="9487" max="9487" width="8.875" style="310" customWidth="1"/>
    <col min="9488" max="9488" width="13.125" style="310" customWidth="1"/>
    <col min="9489" max="9489" width="9.375" style="310"/>
    <col min="9490" max="9490" width="9.875" style="310" customWidth="1"/>
    <col min="9491" max="9491" width="11.75" style="310" bestFit="1" customWidth="1"/>
    <col min="9492" max="9721" width="9.375" style="310"/>
    <col min="9722" max="9722" width="5" style="310" customWidth="1"/>
    <col min="9723" max="9723" width="17.875" style="310" bestFit="1" customWidth="1"/>
    <col min="9724" max="9724" width="9.875" style="310" customWidth="1"/>
    <col min="9725" max="9725" width="8.875" style="310" customWidth="1"/>
    <col min="9726" max="9726" width="7.375" style="310" bestFit="1" customWidth="1"/>
    <col min="9727" max="9727" width="10.125" style="310" bestFit="1" customWidth="1"/>
    <col min="9728" max="9728" width="9.375" style="310"/>
    <col min="9729" max="9729" width="10.125" style="310" bestFit="1" customWidth="1"/>
    <col min="9730" max="9730" width="10.75" style="310" customWidth="1"/>
    <col min="9731" max="9733" width="9.375" style="310"/>
    <col min="9734" max="9735" width="10.75" style="310" customWidth="1"/>
    <col min="9736" max="9740" width="9.375" style="310"/>
    <col min="9741" max="9741" width="1.625" style="310" bestFit="1" customWidth="1"/>
    <col min="9742" max="9742" width="9.375" style="310"/>
    <col min="9743" max="9743" width="8.875" style="310" customWidth="1"/>
    <col min="9744" max="9744" width="13.125" style="310" customWidth="1"/>
    <col min="9745" max="9745" width="9.375" style="310"/>
    <col min="9746" max="9746" width="9.875" style="310" customWidth="1"/>
    <col min="9747" max="9747" width="11.75" style="310" bestFit="1" customWidth="1"/>
    <col min="9748" max="9977" width="9.375" style="310"/>
    <col min="9978" max="9978" width="5" style="310" customWidth="1"/>
    <col min="9979" max="9979" width="17.875" style="310" bestFit="1" customWidth="1"/>
    <col min="9980" max="9980" width="9.875" style="310" customWidth="1"/>
    <col min="9981" max="9981" width="8.875" style="310" customWidth="1"/>
    <col min="9982" max="9982" width="7.375" style="310" bestFit="1" customWidth="1"/>
    <col min="9983" max="9983" width="10.125" style="310" bestFit="1" customWidth="1"/>
    <col min="9984" max="9984" width="9.375" style="310"/>
    <col min="9985" max="9985" width="10.125" style="310" bestFit="1" customWidth="1"/>
    <col min="9986" max="9986" width="10.75" style="310" customWidth="1"/>
    <col min="9987" max="9989" width="9.375" style="310"/>
    <col min="9990" max="9991" width="10.75" style="310" customWidth="1"/>
    <col min="9992" max="9996" width="9.375" style="310"/>
    <col min="9997" max="9997" width="1.625" style="310" bestFit="1" customWidth="1"/>
    <col min="9998" max="9998" width="9.375" style="310"/>
    <col min="9999" max="9999" width="8.875" style="310" customWidth="1"/>
    <col min="10000" max="10000" width="13.125" style="310" customWidth="1"/>
    <col min="10001" max="10001" width="9.375" style="310"/>
    <col min="10002" max="10002" width="9.875" style="310" customWidth="1"/>
    <col min="10003" max="10003" width="11.75" style="310" bestFit="1" customWidth="1"/>
    <col min="10004" max="10233" width="9.375" style="310"/>
    <col min="10234" max="10234" width="5" style="310" customWidth="1"/>
    <col min="10235" max="10235" width="17.875" style="310" bestFit="1" customWidth="1"/>
    <col min="10236" max="10236" width="9.875" style="310" customWidth="1"/>
    <col min="10237" max="10237" width="8.875" style="310" customWidth="1"/>
    <col min="10238" max="10238" width="7.375" style="310" bestFit="1" customWidth="1"/>
    <col min="10239" max="10239" width="10.125" style="310" bestFit="1" customWidth="1"/>
    <col min="10240" max="10240" width="9.375" style="310"/>
    <col min="10241" max="10241" width="10.125" style="310" bestFit="1" customWidth="1"/>
    <col min="10242" max="10242" width="10.75" style="310" customWidth="1"/>
    <col min="10243" max="10245" width="9.375" style="310"/>
    <col min="10246" max="10247" width="10.75" style="310" customWidth="1"/>
    <col min="10248" max="10252" width="9.375" style="310"/>
    <col min="10253" max="10253" width="1.625" style="310" bestFit="1" customWidth="1"/>
    <col min="10254" max="10254" width="9.375" style="310"/>
    <col min="10255" max="10255" width="8.875" style="310" customWidth="1"/>
    <col min="10256" max="10256" width="13.125" style="310" customWidth="1"/>
    <col min="10257" max="10257" width="9.375" style="310"/>
    <col min="10258" max="10258" width="9.875" style="310" customWidth="1"/>
    <col min="10259" max="10259" width="11.75" style="310" bestFit="1" customWidth="1"/>
    <col min="10260" max="10489" width="9.375" style="310"/>
    <col min="10490" max="10490" width="5" style="310" customWidth="1"/>
    <col min="10491" max="10491" width="17.875" style="310" bestFit="1" customWidth="1"/>
    <col min="10492" max="10492" width="9.875" style="310" customWidth="1"/>
    <col min="10493" max="10493" width="8.875" style="310" customWidth="1"/>
    <col min="10494" max="10494" width="7.375" style="310" bestFit="1" customWidth="1"/>
    <col min="10495" max="10495" width="10.125" style="310" bestFit="1" customWidth="1"/>
    <col min="10496" max="10496" width="9.375" style="310"/>
    <col min="10497" max="10497" width="10.125" style="310" bestFit="1" customWidth="1"/>
    <col min="10498" max="10498" width="10.75" style="310" customWidth="1"/>
    <col min="10499" max="10501" width="9.375" style="310"/>
    <col min="10502" max="10503" width="10.75" style="310" customWidth="1"/>
    <col min="10504" max="10508" width="9.375" style="310"/>
    <col min="10509" max="10509" width="1.625" style="310" bestFit="1" customWidth="1"/>
    <col min="10510" max="10510" width="9.375" style="310"/>
    <col min="10511" max="10511" width="8.875" style="310" customWidth="1"/>
    <col min="10512" max="10512" width="13.125" style="310" customWidth="1"/>
    <col min="10513" max="10513" width="9.375" style="310"/>
    <col min="10514" max="10514" width="9.875" style="310" customWidth="1"/>
    <col min="10515" max="10515" width="11.75" style="310" bestFit="1" customWidth="1"/>
    <col min="10516" max="10745" width="9.375" style="310"/>
    <col min="10746" max="10746" width="5" style="310" customWidth="1"/>
    <col min="10747" max="10747" width="17.875" style="310" bestFit="1" customWidth="1"/>
    <col min="10748" max="10748" width="9.875" style="310" customWidth="1"/>
    <col min="10749" max="10749" width="8.875" style="310" customWidth="1"/>
    <col min="10750" max="10750" width="7.375" style="310" bestFit="1" customWidth="1"/>
    <col min="10751" max="10751" width="10.125" style="310" bestFit="1" customWidth="1"/>
    <col min="10752" max="10752" width="9.375" style="310"/>
    <col min="10753" max="10753" width="10.125" style="310" bestFit="1" customWidth="1"/>
    <col min="10754" max="10754" width="10.75" style="310" customWidth="1"/>
    <col min="10755" max="10757" width="9.375" style="310"/>
    <col min="10758" max="10759" width="10.75" style="310" customWidth="1"/>
    <col min="10760" max="10764" width="9.375" style="310"/>
    <col min="10765" max="10765" width="1.625" style="310" bestFit="1" customWidth="1"/>
    <col min="10766" max="10766" width="9.375" style="310"/>
    <col min="10767" max="10767" width="8.875" style="310" customWidth="1"/>
    <col min="10768" max="10768" width="13.125" style="310" customWidth="1"/>
    <col min="10769" max="10769" width="9.375" style="310"/>
    <col min="10770" max="10770" width="9.875" style="310" customWidth="1"/>
    <col min="10771" max="10771" width="11.75" style="310" bestFit="1" customWidth="1"/>
    <col min="10772" max="11001" width="9.375" style="310"/>
    <col min="11002" max="11002" width="5" style="310" customWidth="1"/>
    <col min="11003" max="11003" width="17.875" style="310" bestFit="1" customWidth="1"/>
    <col min="11004" max="11004" width="9.875" style="310" customWidth="1"/>
    <col min="11005" max="11005" width="8.875" style="310" customWidth="1"/>
    <col min="11006" max="11006" width="7.375" style="310" bestFit="1" customWidth="1"/>
    <col min="11007" max="11007" width="10.125" style="310" bestFit="1" customWidth="1"/>
    <col min="11008" max="11008" width="9.375" style="310"/>
    <col min="11009" max="11009" width="10.125" style="310" bestFit="1" customWidth="1"/>
    <col min="11010" max="11010" width="10.75" style="310" customWidth="1"/>
    <col min="11011" max="11013" width="9.375" style="310"/>
    <col min="11014" max="11015" width="10.75" style="310" customWidth="1"/>
    <col min="11016" max="11020" width="9.375" style="310"/>
    <col min="11021" max="11021" width="1.625" style="310" bestFit="1" customWidth="1"/>
    <col min="11022" max="11022" width="9.375" style="310"/>
    <col min="11023" max="11023" width="8.875" style="310" customWidth="1"/>
    <col min="11024" max="11024" width="13.125" style="310" customWidth="1"/>
    <col min="11025" max="11025" width="9.375" style="310"/>
    <col min="11026" max="11026" width="9.875" style="310" customWidth="1"/>
    <col min="11027" max="11027" width="11.75" style="310" bestFit="1" customWidth="1"/>
    <col min="11028" max="11257" width="9.375" style="310"/>
    <col min="11258" max="11258" width="5" style="310" customWidth="1"/>
    <col min="11259" max="11259" width="17.875" style="310" bestFit="1" customWidth="1"/>
    <col min="11260" max="11260" width="9.875" style="310" customWidth="1"/>
    <col min="11261" max="11261" width="8.875" style="310" customWidth="1"/>
    <col min="11262" max="11262" width="7.375" style="310" bestFit="1" customWidth="1"/>
    <col min="11263" max="11263" width="10.125" style="310" bestFit="1" customWidth="1"/>
    <col min="11264" max="11264" width="9.375" style="310"/>
    <col min="11265" max="11265" width="10.125" style="310" bestFit="1" customWidth="1"/>
    <col min="11266" max="11266" width="10.75" style="310" customWidth="1"/>
    <col min="11267" max="11269" width="9.375" style="310"/>
    <col min="11270" max="11271" width="10.75" style="310" customWidth="1"/>
    <col min="11272" max="11276" width="9.375" style="310"/>
    <col min="11277" max="11277" width="1.625" style="310" bestFit="1" customWidth="1"/>
    <col min="11278" max="11278" width="9.375" style="310"/>
    <col min="11279" max="11279" width="8.875" style="310" customWidth="1"/>
    <col min="11280" max="11280" width="13.125" style="310" customWidth="1"/>
    <col min="11281" max="11281" width="9.375" style="310"/>
    <col min="11282" max="11282" width="9.875" style="310" customWidth="1"/>
    <col min="11283" max="11283" width="11.75" style="310" bestFit="1" customWidth="1"/>
    <col min="11284" max="11513" width="9.375" style="310"/>
    <col min="11514" max="11514" width="5" style="310" customWidth="1"/>
    <col min="11515" max="11515" width="17.875" style="310" bestFit="1" customWidth="1"/>
    <col min="11516" max="11516" width="9.875" style="310" customWidth="1"/>
    <col min="11517" max="11517" width="8.875" style="310" customWidth="1"/>
    <col min="11518" max="11518" width="7.375" style="310" bestFit="1" customWidth="1"/>
    <col min="11519" max="11519" width="10.125" style="310" bestFit="1" customWidth="1"/>
    <col min="11520" max="11520" width="9.375" style="310"/>
    <col min="11521" max="11521" width="10.125" style="310" bestFit="1" customWidth="1"/>
    <col min="11522" max="11522" width="10.75" style="310" customWidth="1"/>
    <col min="11523" max="11525" width="9.375" style="310"/>
    <col min="11526" max="11527" width="10.75" style="310" customWidth="1"/>
    <col min="11528" max="11532" width="9.375" style="310"/>
    <col min="11533" max="11533" width="1.625" style="310" bestFit="1" customWidth="1"/>
    <col min="11534" max="11534" width="9.375" style="310"/>
    <col min="11535" max="11535" width="8.875" style="310" customWidth="1"/>
    <col min="11536" max="11536" width="13.125" style="310" customWidth="1"/>
    <col min="11537" max="11537" width="9.375" style="310"/>
    <col min="11538" max="11538" width="9.875" style="310" customWidth="1"/>
    <col min="11539" max="11539" width="11.75" style="310" bestFit="1" customWidth="1"/>
    <col min="11540" max="11769" width="9.375" style="310"/>
    <col min="11770" max="11770" width="5" style="310" customWidth="1"/>
    <col min="11771" max="11771" width="17.875" style="310" bestFit="1" customWidth="1"/>
    <col min="11772" max="11772" width="9.875" style="310" customWidth="1"/>
    <col min="11773" max="11773" width="8.875" style="310" customWidth="1"/>
    <col min="11774" max="11774" width="7.375" style="310" bestFit="1" customWidth="1"/>
    <col min="11775" max="11775" width="10.125" style="310" bestFit="1" customWidth="1"/>
    <col min="11776" max="11776" width="9.375" style="310"/>
    <col min="11777" max="11777" width="10.125" style="310" bestFit="1" customWidth="1"/>
    <col min="11778" max="11778" width="10.75" style="310" customWidth="1"/>
    <col min="11779" max="11781" width="9.375" style="310"/>
    <col min="11782" max="11783" width="10.75" style="310" customWidth="1"/>
    <col min="11784" max="11788" width="9.375" style="310"/>
    <col min="11789" max="11789" width="1.625" style="310" bestFit="1" customWidth="1"/>
    <col min="11790" max="11790" width="9.375" style="310"/>
    <col min="11791" max="11791" width="8.875" style="310" customWidth="1"/>
    <col min="11792" max="11792" width="13.125" style="310" customWidth="1"/>
    <col min="11793" max="11793" width="9.375" style="310"/>
    <col min="11794" max="11794" width="9.875" style="310" customWidth="1"/>
    <col min="11795" max="11795" width="11.75" style="310" bestFit="1" customWidth="1"/>
    <col min="11796" max="12025" width="9.375" style="310"/>
    <col min="12026" max="12026" width="5" style="310" customWidth="1"/>
    <col min="12027" max="12027" width="17.875" style="310" bestFit="1" customWidth="1"/>
    <col min="12028" max="12028" width="9.875" style="310" customWidth="1"/>
    <col min="12029" max="12029" width="8.875" style="310" customWidth="1"/>
    <col min="12030" max="12030" width="7.375" style="310" bestFit="1" customWidth="1"/>
    <col min="12031" max="12031" width="10.125" style="310" bestFit="1" customWidth="1"/>
    <col min="12032" max="12032" width="9.375" style="310"/>
    <col min="12033" max="12033" width="10.125" style="310" bestFit="1" customWidth="1"/>
    <col min="12034" max="12034" width="10.75" style="310" customWidth="1"/>
    <col min="12035" max="12037" width="9.375" style="310"/>
    <col min="12038" max="12039" width="10.75" style="310" customWidth="1"/>
    <col min="12040" max="12044" width="9.375" style="310"/>
    <col min="12045" max="12045" width="1.625" style="310" bestFit="1" customWidth="1"/>
    <col min="12046" max="12046" width="9.375" style="310"/>
    <col min="12047" max="12047" width="8.875" style="310" customWidth="1"/>
    <col min="12048" max="12048" width="13.125" style="310" customWidth="1"/>
    <col min="12049" max="12049" width="9.375" style="310"/>
    <col min="12050" max="12050" width="9.875" style="310" customWidth="1"/>
    <col min="12051" max="12051" width="11.75" style="310" bestFit="1" customWidth="1"/>
    <col min="12052" max="12281" width="9.375" style="310"/>
    <col min="12282" max="12282" width="5" style="310" customWidth="1"/>
    <col min="12283" max="12283" width="17.875" style="310" bestFit="1" customWidth="1"/>
    <col min="12284" max="12284" width="9.875" style="310" customWidth="1"/>
    <col min="12285" max="12285" width="8.875" style="310" customWidth="1"/>
    <col min="12286" max="12286" width="7.375" style="310" bestFit="1" customWidth="1"/>
    <col min="12287" max="12287" width="10.125" style="310" bestFit="1" customWidth="1"/>
    <col min="12288" max="12288" width="9.375" style="310"/>
    <col min="12289" max="12289" width="10.125" style="310" bestFit="1" customWidth="1"/>
    <col min="12290" max="12290" width="10.75" style="310" customWidth="1"/>
    <col min="12291" max="12293" width="9.375" style="310"/>
    <col min="12294" max="12295" width="10.75" style="310" customWidth="1"/>
    <col min="12296" max="12300" width="9.375" style="310"/>
    <col min="12301" max="12301" width="1.625" style="310" bestFit="1" customWidth="1"/>
    <col min="12302" max="12302" width="9.375" style="310"/>
    <col min="12303" max="12303" width="8.875" style="310" customWidth="1"/>
    <col min="12304" max="12304" width="13.125" style="310" customWidth="1"/>
    <col min="12305" max="12305" width="9.375" style="310"/>
    <col min="12306" max="12306" width="9.875" style="310" customWidth="1"/>
    <col min="12307" max="12307" width="11.75" style="310" bestFit="1" customWidth="1"/>
    <col min="12308" max="12537" width="9.375" style="310"/>
    <col min="12538" max="12538" width="5" style="310" customWidth="1"/>
    <col min="12539" max="12539" width="17.875" style="310" bestFit="1" customWidth="1"/>
    <col min="12540" max="12540" width="9.875" style="310" customWidth="1"/>
    <col min="12541" max="12541" width="8.875" style="310" customWidth="1"/>
    <col min="12542" max="12542" width="7.375" style="310" bestFit="1" customWidth="1"/>
    <col min="12543" max="12543" width="10.125" style="310" bestFit="1" customWidth="1"/>
    <col min="12544" max="12544" width="9.375" style="310"/>
    <col min="12545" max="12545" width="10.125" style="310" bestFit="1" customWidth="1"/>
    <col min="12546" max="12546" width="10.75" style="310" customWidth="1"/>
    <col min="12547" max="12549" width="9.375" style="310"/>
    <col min="12550" max="12551" width="10.75" style="310" customWidth="1"/>
    <col min="12552" max="12556" width="9.375" style="310"/>
    <col min="12557" max="12557" width="1.625" style="310" bestFit="1" customWidth="1"/>
    <col min="12558" max="12558" width="9.375" style="310"/>
    <col min="12559" max="12559" width="8.875" style="310" customWidth="1"/>
    <col min="12560" max="12560" width="13.125" style="310" customWidth="1"/>
    <col min="12561" max="12561" width="9.375" style="310"/>
    <col min="12562" max="12562" width="9.875" style="310" customWidth="1"/>
    <col min="12563" max="12563" width="11.75" style="310" bestFit="1" customWidth="1"/>
    <col min="12564" max="12793" width="9.375" style="310"/>
    <col min="12794" max="12794" width="5" style="310" customWidth="1"/>
    <col min="12795" max="12795" width="17.875" style="310" bestFit="1" customWidth="1"/>
    <col min="12796" max="12796" width="9.875" style="310" customWidth="1"/>
    <col min="12797" max="12797" width="8.875" style="310" customWidth="1"/>
    <col min="12798" max="12798" width="7.375" style="310" bestFit="1" customWidth="1"/>
    <col min="12799" max="12799" width="10.125" style="310" bestFit="1" customWidth="1"/>
    <col min="12800" max="12800" width="9.375" style="310"/>
    <col min="12801" max="12801" width="10.125" style="310" bestFit="1" customWidth="1"/>
    <col min="12802" max="12802" width="10.75" style="310" customWidth="1"/>
    <col min="12803" max="12805" width="9.375" style="310"/>
    <col min="12806" max="12807" width="10.75" style="310" customWidth="1"/>
    <col min="12808" max="12812" width="9.375" style="310"/>
    <col min="12813" max="12813" width="1.625" style="310" bestFit="1" customWidth="1"/>
    <col min="12814" max="12814" width="9.375" style="310"/>
    <col min="12815" max="12815" width="8.875" style="310" customWidth="1"/>
    <col min="12816" max="12816" width="13.125" style="310" customWidth="1"/>
    <col min="12817" max="12817" width="9.375" style="310"/>
    <col min="12818" max="12818" width="9.875" style="310" customWidth="1"/>
    <col min="12819" max="12819" width="11.75" style="310" bestFit="1" customWidth="1"/>
    <col min="12820" max="13049" width="9.375" style="310"/>
    <col min="13050" max="13050" width="5" style="310" customWidth="1"/>
    <col min="13051" max="13051" width="17.875" style="310" bestFit="1" customWidth="1"/>
    <col min="13052" max="13052" width="9.875" style="310" customWidth="1"/>
    <col min="13053" max="13053" width="8.875" style="310" customWidth="1"/>
    <col min="13054" max="13054" width="7.375" style="310" bestFit="1" customWidth="1"/>
    <col min="13055" max="13055" width="10.125" style="310" bestFit="1" customWidth="1"/>
    <col min="13056" max="13056" width="9.375" style="310"/>
    <col min="13057" max="13057" width="10.125" style="310" bestFit="1" customWidth="1"/>
    <col min="13058" max="13058" width="10.75" style="310" customWidth="1"/>
    <col min="13059" max="13061" width="9.375" style="310"/>
    <col min="13062" max="13063" width="10.75" style="310" customWidth="1"/>
    <col min="13064" max="13068" width="9.375" style="310"/>
    <col min="13069" max="13069" width="1.625" style="310" bestFit="1" customWidth="1"/>
    <col min="13070" max="13070" width="9.375" style="310"/>
    <col min="13071" max="13071" width="8.875" style="310" customWidth="1"/>
    <col min="13072" max="13072" width="13.125" style="310" customWidth="1"/>
    <col min="13073" max="13073" width="9.375" style="310"/>
    <col min="13074" max="13074" width="9.875" style="310" customWidth="1"/>
    <col min="13075" max="13075" width="11.75" style="310" bestFit="1" customWidth="1"/>
    <col min="13076" max="13305" width="9.375" style="310"/>
    <col min="13306" max="13306" width="5" style="310" customWidth="1"/>
    <col min="13307" max="13307" width="17.875" style="310" bestFit="1" customWidth="1"/>
    <col min="13308" max="13308" width="9.875" style="310" customWidth="1"/>
    <col min="13309" max="13309" width="8.875" style="310" customWidth="1"/>
    <col min="13310" max="13310" width="7.375" style="310" bestFit="1" customWidth="1"/>
    <col min="13311" max="13311" width="10.125" style="310" bestFit="1" customWidth="1"/>
    <col min="13312" max="13312" width="9.375" style="310"/>
    <col min="13313" max="13313" width="10.125" style="310" bestFit="1" customWidth="1"/>
    <col min="13314" max="13314" width="10.75" style="310" customWidth="1"/>
    <col min="13315" max="13317" width="9.375" style="310"/>
    <col min="13318" max="13319" width="10.75" style="310" customWidth="1"/>
    <col min="13320" max="13324" width="9.375" style="310"/>
    <col min="13325" max="13325" width="1.625" style="310" bestFit="1" customWidth="1"/>
    <col min="13326" max="13326" width="9.375" style="310"/>
    <col min="13327" max="13327" width="8.875" style="310" customWidth="1"/>
    <col min="13328" max="13328" width="13.125" style="310" customWidth="1"/>
    <col min="13329" max="13329" width="9.375" style="310"/>
    <col min="13330" max="13330" width="9.875" style="310" customWidth="1"/>
    <col min="13331" max="13331" width="11.75" style="310" bestFit="1" customWidth="1"/>
    <col min="13332" max="13561" width="9.375" style="310"/>
    <col min="13562" max="13562" width="5" style="310" customWidth="1"/>
    <col min="13563" max="13563" width="17.875" style="310" bestFit="1" customWidth="1"/>
    <col min="13564" max="13564" width="9.875" style="310" customWidth="1"/>
    <col min="13565" max="13565" width="8.875" style="310" customWidth="1"/>
    <col min="13566" max="13566" width="7.375" style="310" bestFit="1" customWidth="1"/>
    <col min="13567" max="13567" width="10.125" style="310" bestFit="1" customWidth="1"/>
    <col min="13568" max="13568" width="9.375" style="310"/>
    <col min="13569" max="13569" width="10.125" style="310" bestFit="1" customWidth="1"/>
    <col min="13570" max="13570" width="10.75" style="310" customWidth="1"/>
    <col min="13571" max="13573" width="9.375" style="310"/>
    <col min="13574" max="13575" width="10.75" style="310" customWidth="1"/>
    <col min="13576" max="13580" width="9.375" style="310"/>
    <col min="13581" max="13581" width="1.625" style="310" bestFit="1" customWidth="1"/>
    <col min="13582" max="13582" width="9.375" style="310"/>
    <col min="13583" max="13583" width="8.875" style="310" customWidth="1"/>
    <col min="13584" max="13584" width="13.125" style="310" customWidth="1"/>
    <col min="13585" max="13585" width="9.375" style="310"/>
    <col min="13586" max="13586" width="9.875" style="310" customWidth="1"/>
    <col min="13587" max="13587" width="11.75" style="310" bestFit="1" customWidth="1"/>
    <col min="13588" max="13817" width="9.375" style="310"/>
    <col min="13818" max="13818" width="5" style="310" customWidth="1"/>
    <col min="13819" max="13819" width="17.875" style="310" bestFit="1" customWidth="1"/>
    <col min="13820" max="13820" width="9.875" style="310" customWidth="1"/>
    <col min="13821" max="13821" width="8.875" style="310" customWidth="1"/>
    <col min="13822" max="13822" width="7.375" style="310" bestFit="1" customWidth="1"/>
    <col min="13823" max="13823" width="10.125" style="310" bestFit="1" customWidth="1"/>
    <col min="13824" max="13824" width="9.375" style="310"/>
    <col min="13825" max="13825" width="10.125" style="310" bestFit="1" customWidth="1"/>
    <col min="13826" max="13826" width="10.75" style="310" customWidth="1"/>
    <col min="13827" max="13829" width="9.375" style="310"/>
    <col min="13830" max="13831" width="10.75" style="310" customWidth="1"/>
    <col min="13832" max="13836" width="9.375" style="310"/>
    <col min="13837" max="13837" width="1.625" style="310" bestFit="1" customWidth="1"/>
    <col min="13838" max="13838" width="9.375" style="310"/>
    <col min="13839" max="13839" width="8.875" style="310" customWidth="1"/>
    <col min="13840" max="13840" width="13.125" style="310" customWidth="1"/>
    <col min="13841" max="13841" width="9.375" style="310"/>
    <col min="13842" max="13842" width="9.875" style="310" customWidth="1"/>
    <col min="13843" max="13843" width="11.75" style="310" bestFit="1" customWidth="1"/>
    <col min="13844" max="14073" width="9.375" style="310"/>
    <col min="14074" max="14074" width="5" style="310" customWidth="1"/>
    <col min="14075" max="14075" width="17.875" style="310" bestFit="1" customWidth="1"/>
    <col min="14076" max="14076" width="9.875" style="310" customWidth="1"/>
    <col min="14077" max="14077" width="8.875" style="310" customWidth="1"/>
    <col min="14078" max="14078" width="7.375" style="310" bestFit="1" customWidth="1"/>
    <col min="14079" max="14079" width="10.125" style="310" bestFit="1" customWidth="1"/>
    <col min="14080" max="14080" width="9.375" style="310"/>
    <col min="14081" max="14081" width="10.125" style="310" bestFit="1" customWidth="1"/>
    <col min="14082" max="14082" width="10.75" style="310" customWidth="1"/>
    <col min="14083" max="14085" width="9.375" style="310"/>
    <col min="14086" max="14087" width="10.75" style="310" customWidth="1"/>
    <col min="14088" max="14092" width="9.375" style="310"/>
    <col min="14093" max="14093" width="1.625" style="310" bestFit="1" customWidth="1"/>
    <col min="14094" max="14094" width="9.375" style="310"/>
    <col min="14095" max="14095" width="8.875" style="310" customWidth="1"/>
    <col min="14096" max="14096" width="13.125" style="310" customWidth="1"/>
    <col min="14097" max="14097" width="9.375" style="310"/>
    <col min="14098" max="14098" width="9.875" style="310" customWidth="1"/>
    <col min="14099" max="14099" width="11.75" style="310" bestFit="1" customWidth="1"/>
    <col min="14100" max="14329" width="9.375" style="310"/>
    <col min="14330" max="14330" width="5" style="310" customWidth="1"/>
    <col min="14331" max="14331" width="17.875" style="310" bestFit="1" customWidth="1"/>
    <col min="14332" max="14332" width="9.875" style="310" customWidth="1"/>
    <col min="14333" max="14333" width="8.875" style="310" customWidth="1"/>
    <col min="14334" max="14334" width="7.375" style="310" bestFit="1" customWidth="1"/>
    <col min="14335" max="14335" width="10.125" style="310" bestFit="1" customWidth="1"/>
    <col min="14336" max="14336" width="9.375" style="310"/>
    <col min="14337" max="14337" width="10.125" style="310" bestFit="1" customWidth="1"/>
    <col min="14338" max="14338" width="10.75" style="310" customWidth="1"/>
    <col min="14339" max="14341" width="9.375" style="310"/>
    <col min="14342" max="14343" width="10.75" style="310" customWidth="1"/>
    <col min="14344" max="14348" width="9.375" style="310"/>
    <col min="14349" max="14349" width="1.625" style="310" bestFit="1" customWidth="1"/>
    <col min="14350" max="14350" width="9.375" style="310"/>
    <col min="14351" max="14351" width="8.875" style="310" customWidth="1"/>
    <col min="14352" max="14352" width="13.125" style="310" customWidth="1"/>
    <col min="14353" max="14353" width="9.375" style="310"/>
    <col min="14354" max="14354" width="9.875" style="310" customWidth="1"/>
    <col min="14355" max="14355" width="11.75" style="310" bestFit="1" customWidth="1"/>
    <col min="14356" max="14585" width="9.375" style="310"/>
    <col min="14586" max="14586" width="5" style="310" customWidth="1"/>
    <col min="14587" max="14587" width="17.875" style="310" bestFit="1" customWidth="1"/>
    <col min="14588" max="14588" width="9.875" style="310" customWidth="1"/>
    <col min="14589" max="14589" width="8.875" style="310" customWidth="1"/>
    <col min="14590" max="14590" width="7.375" style="310" bestFit="1" customWidth="1"/>
    <col min="14591" max="14591" width="10.125" style="310" bestFit="1" customWidth="1"/>
    <col min="14592" max="14592" width="9.375" style="310"/>
    <col min="14593" max="14593" width="10.125" style="310" bestFit="1" customWidth="1"/>
    <col min="14594" max="14594" width="10.75" style="310" customWidth="1"/>
    <col min="14595" max="14597" width="9.375" style="310"/>
    <col min="14598" max="14599" width="10.75" style="310" customWidth="1"/>
    <col min="14600" max="14604" width="9.375" style="310"/>
    <col min="14605" max="14605" width="1.625" style="310" bestFit="1" customWidth="1"/>
    <col min="14606" max="14606" width="9.375" style="310"/>
    <col min="14607" max="14607" width="8.875" style="310" customWidth="1"/>
    <col min="14608" max="14608" width="13.125" style="310" customWidth="1"/>
    <col min="14609" max="14609" width="9.375" style="310"/>
    <col min="14610" max="14610" width="9.875" style="310" customWidth="1"/>
    <col min="14611" max="14611" width="11.75" style="310" bestFit="1" customWidth="1"/>
    <col min="14612" max="14841" width="9.375" style="310"/>
    <col min="14842" max="14842" width="5" style="310" customWidth="1"/>
    <col min="14843" max="14843" width="17.875" style="310" bestFit="1" customWidth="1"/>
    <col min="14844" max="14844" width="9.875" style="310" customWidth="1"/>
    <col min="14845" max="14845" width="8.875" style="310" customWidth="1"/>
    <col min="14846" max="14846" width="7.375" style="310" bestFit="1" customWidth="1"/>
    <col min="14847" max="14847" width="10.125" style="310" bestFit="1" customWidth="1"/>
    <col min="14848" max="14848" width="9.375" style="310"/>
    <col min="14849" max="14849" width="10.125" style="310" bestFit="1" customWidth="1"/>
    <col min="14850" max="14850" width="10.75" style="310" customWidth="1"/>
    <col min="14851" max="14853" width="9.375" style="310"/>
    <col min="14854" max="14855" width="10.75" style="310" customWidth="1"/>
    <col min="14856" max="14860" width="9.375" style="310"/>
    <col min="14861" max="14861" width="1.625" style="310" bestFit="1" customWidth="1"/>
    <col min="14862" max="14862" width="9.375" style="310"/>
    <col min="14863" max="14863" width="8.875" style="310" customWidth="1"/>
    <col min="14864" max="14864" width="13.125" style="310" customWidth="1"/>
    <col min="14865" max="14865" width="9.375" style="310"/>
    <col min="14866" max="14866" width="9.875" style="310" customWidth="1"/>
    <col min="14867" max="14867" width="11.75" style="310" bestFit="1" customWidth="1"/>
    <col min="14868" max="15097" width="9.375" style="310"/>
    <col min="15098" max="15098" width="5" style="310" customWidth="1"/>
    <col min="15099" max="15099" width="17.875" style="310" bestFit="1" customWidth="1"/>
    <col min="15100" max="15100" width="9.875" style="310" customWidth="1"/>
    <col min="15101" max="15101" width="8.875" style="310" customWidth="1"/>
    <col min="15102" max="15102" width="7.375" style="310" bestFit="1" customWidth="1"/>
    <col min="15103" max="15103" width="10.125" style="310" bestFit="1" customWidth="1"/>
    <col min="15104" max="15104" width="9.375" style="310"/>
    <col min="15105" max="15105" width="10.125" style="310" bestFit="1" customWidth="1"/>
    <col min="15106" max="15106" width="10.75" style="310" customWidth="1"/>
    <col min="15107" max="15109" width="9.375" style="310"/>
    <col min="15110" max="15111" width="10.75" style="310" customWidth="1"/>
    <col min="15112" max="15116" width="9.375" style="310"/>
    <col min="15117" max="15117" width="1.625" style="310" bestFit="1" customWidth="1"/>
    <col min="15118" max="15118" width="9.375" style="310"/>
    <col min="15119" max="15119" width="8.875" style="310" customWidth="1"/>
    <col min="15120" max="15120" width="13.125" style="310" customWidth="1"/>
    <col min="15121" max="15121" width="9.375" style="310"/>
    <col min="15122" max="15122" width="9.875" style="310" customWidth="1"/>
    <col min="15123" max="15123" width="11.75" style="310" bestFit="1" customWidth="1"/>
    <col min="15124" max="15353" width="9.375" style="310"/>
    <col min="15354" max="15354" width="5" style="310" customWidth="1"/>
    <col min="15355" max="15355" width="17.875" style="310" bestFit="1" customWidth="1"/>
    <col min="15356" max="15356" width="9.875" style="310" customWidth="1"/>
    <col min="15357" max="15357" width="8.875" style="310" customWidth="1"/>
    <col min="15358" max="15358" width="7.375" style="310" bestFit="1" customWidth="1"/>
    <col min="15359" max="15359" width="10.125" style="310" bestFit="1" customWidth="1"/>
    <col min="15360" max="15360" width="9.375" style="310"/>
    <col min="15361" max="15361" width="10.125" style="310" bestFit="1" customWidth="1"/>
    <col min="15362" max="15362" width="10.75" style="310" customWidth="1"/>
    <col min="15363" max="15365" width="9.375" style="310"/>
    <col min="15366" max="15367" width="10.75" style="310" customWidth="1"/>
    <col min="15368" max="15372" width="9.375" style="310"/>
    <col min="15373" max="15373" width="1.625" style="310" bestFit="1" customWidth="1"/>
    <col min="15374" max="15374" width="9.375" style="310"/>
    <col min="15375" max="15375" width="8.875" style="310" customWidth="1"/>
    <col min="15376" max="15376" width="13.125" style="310" customWidth="1"/>
    <col min="15377" max="15377" width="9.375" style="310"/>
    <col min="15378" max="15378" width="9.875" style="310" customWidth="1"/>
    <col min="15379" max="15379" width="11.75" style="310" bestFit="1" customWidth="1"/>
    <col min="15380" max="15609" width="9.375" style="310"/>
    <col min="15610" max="15610" width="5" style="310" customWidth="1"/>
    <col min="15611" max="15611" width="17.875" style="310" bestFit="1" customWidth="1"/>
    <col min="15612" max="15612" width="9.875" style="310" customWidth="1"/>
    <col min="15613" max="15613" width="8.875" style="310" customWidth="1"/>
    <col min="15614" max="15614" width="7.375" style="310" bestFit="1" customWidth="1"/>
    <col min="15615" max="15615" width="10.125" style="310" bestFit="1" customWidth="1"/>
    <col min="15616" max="15616" width="9.375" style="310"/>
    <col min="15617" max="15617" width="10.125" style="310" bestFit="1" customWidth="1"/>
    <col min="15618" max="15618" width="10.75" style="310" customWidth="1"/>
    <col min="15619" max="15621" width="9.375" style="310"/>
    <col min="15622" max="15623" width="10.75" style="310" customWidth="1"/>
    <col min="15624" max="15628" width="9.375" style="310"/>
    <col min="15629" max="15629" width="1.625" style="310" bestFit="1" customWidth="1"/>
    <col min="15630" max="15630" width="9.375" style="310"/>
    <col min="15631" max="15631" width="8.875" style="310" customWidth="1"/>
    <col min="15632" max="15632" width="13.125" style="310" customWidth="1"/>
    <col min="15633" max="15633" width="9.375" style="310"/>
    <col min="15634" max="15634" width="9.875" style="310" customWidth="1"/>
    <col min="15635" max="15635" width="11.75" style="310" bestFit="1" customWidth="1"/>
    <col min="15636" max="15865" width="9.375" style="310"/>
    <col min="15866" max="15866" width="5" style="310" customWidth="1"/>
    <col min="15867" max="15867" width="17.875" style="310" bestFit="1" customWidth="1"/>
    <col min="15868" max="15868" width="9.875" style="310" customWidth="1"/>
    <col min="15869" max="15869" width="8.875" style="310" customWidth="1"/>
    <col min="15870" max="15870" width="7.375" style="310" bestFit="1" customWidth="1"/>
    <col min="15871" max="15871" width="10.125" style="310" bestFit="1" customWidth="1"/>
    <col min="15872" max="15872" width="9.375" style="310"/>
    <col min="15873" max="15873" width="10.125" style="310" bestFit="1" customWidth="1"/>
    <col min="15874" max="15874" width="10.75" style="310" customWidth="1"/>
    <col min="15875" max="15877" width="9.375" style="310"/>
    <col min="15878" max="15879" width="10.75" style="310" customWidth="1"/>
    <col min="15880" max="15884" width="9.375" style="310"/>
    <col min="15885" max="15885" width="1.625" style="310" bestFit="1" customWidth="1"/>
    <col min="15886" max="15886" width="9.375" style="310"/>
    <col min="15887" max="15887" width="8.875" style="310" customWidth="1"/>
    <col min="15888" max="15888" width="13.125" style="310" customWidth="1"/>
    <col min="15889" max="15889" width="9.375" style="310"/>
    <col min="15890" max="15890" width="9.875" style="310" customWidth="1"/>
    <col min="15891" max="15891" width="11.75" style="310" bestFit="1" customWidth="1"/>
    <col min="15892" max="16121" width="9.375" style="310"/>
    <col min="16122" max="16122" width="5" style="310" customWidth="1"/>
    <col min="16123" max="16123" width="17.875" style="310" bestFit="1" customWidth="1"/>
    <col min="16124" max="16124" width="9.875" style="310" customWidth="1"/>
    <col min="16125" max="16125" width="8.875" style="310" customWidth="1"/>
    <col min="16126" max="16126" width="7.375" style="310" bestFit="1" customWidth="1"/>
    <col min="16127" max="16127" width="10.125" style="310" bestFit="1" customWidth="1"/>
    <col min="16128" max="16128" width="9.375" style="310"/>
    <col min="16129" max="16129" width="10.125" style="310" bestFit="1" customWidth="1"/>
    <col min="16130" max="16130" width="10.75" style="310" customWidth="1"/>
    <col min="16131" max="16133" width="9.375" style="310"/>
    <col min="16134" max="16135" width="10.75" style="310" customWidth="1"/>
    <col min="16136" max="16140" width="9.375" style="310"/>
    <col min="16141" max="16141" width="1.625" style="310" bestFit="1" customWidth="1"/>
    <col min="16142" max="16142" width="9.375" style="310"/>
    <col min="16143" max="16143" width="8.875" style="310" customWidth="1"/>
    <col min="16144" max="16144" width="13.125" style="310" customWidth="1"/>
    <col min="16145" max="16145" width="9.375" style="310"/>
    <col min="16146" max="16146" width="9.875" style="310" customWidth="1"/>
    <col min="16147" max="16147" width="11.75" style="310" bestFit="1" customWidth="1"/>
    <col min="16148" max="16384" width="9.375" style="310"/>
  </cols>
  <sheetData>
    <row r="1" spans="1:22" s="46" customFormat="1" ht="21" x14ac:dyDescent="0.2">
      <c r="A1" s="299" t="s">
        <v>557</v>
      </c>
      <c r="B1" s="45"/>
      <c r="C1" s="45"/>
      <c r="D1" s="305"/>
      <c r="E1" s="305"/>
      <c r="F1" s="305"/>
      <c r="G1" s="305"/>
      <c r="H1" s="306"/>
      <c r="I1" s="306"/>
      <c r="J1" s="306"/>
      <c r="K1" s="306"/>
      <c r="L1" s="306"/>
      <c r="M1" s="306"/>
      <c r="O1" s="306"/>
      <c r="P1" s="307"/>
      <c r="Q1" s="70"/>
      <c r="R1" s="307"/>
      <c r="S1" s="307"/>
      <c r="T1" s="70"/>
      <c r="U1" s="70"/>
      <c r="V1" s="70"/>
    </row>
    <row r="2" spans="1:22" s="60" customFormat="1" ht="21" x14ac:dyDescent="0.35">
      <c r="A2" s="28" t="str">
        <f>Paramètres!B5</f>
        <v>décompte 2016</v>
      </c>
      <c r="P2" s="309"/>
      <c r="Q2" s="308"/>
      <c r="R2" s="309"/>
      <c r="S2" s="309"/>
      <c r="T2" s="308"/>
      <c r="U2" s="308"/>
      <c r="V2" s="308"/>
    </row>
    <row r="4" spans="1:22" s="322" customFormat="1" ht="135" x14ac:dyDescent="0.2">
      <c r="A4" s="597" t="s">
        <v>50</v>
      </c>
      <c r="B4" s="597" t="s">
        <v>120</v>
      </c>
      <c r="C4" s="597" t="s">
        <v>551</v>
      </c>
      <c r="D4" s="597" t="s">
        <v>347</v>
      </c>
      <c r="E4" s="597" t="s">
        <v>547</v>
      </c>
      <c r="F4" s="597" t="s">
        <v>552</v>
      </c>
      <c r="G4" s="597" t="s">
        <v>514</v>
      </c>
      <c r="H4" s="599" t="s">
        <v>385</v>
      </c>
      <c r="I4" s="326" t="s">
        <v>558</v>
      </c>
      <c r="J4" s="597" t="s">
        <v>656</v>
      </c>
      <c r="K4" s="597" t="s">
        <v>553</v>
      </c>
      <c r="L4" s="597" t="s">
        <v>554</v>
      </c>
      <c r="M4" s="597" t="s">
        <v>561</v>
      </c>
      <c r="N4" s="326" t="s">
        <v>555</v>
      </c>
      <c r="O4" s="597" t="s">
        <v>556</v>
      </c>
      <c r="P4" s="320"/>
      <c r="Q4" s="319"/>
      <c r="R4" s="320"/>
      <c r="S4" s="321"/>
      <c r="T4" s="319"/>
      <c r="U4" s="319"/>
      <c r="V4" s="319"/>
    </row>
    <row r="5" spans="1:22" s="322" customFormat="1" x14ac:dyDescent="0.2">
      <c r="A5" s="598"/>
      <c r="B5" s="598"/>
      <c r="C5" s="598"/>
      <c r="D5" s="598"/>
      <c r="E5" s="598"/>
      <c r="F5" s="598"/>
      <c r="G5" s="598"/>
      <c r="H5" s="600"/>
      <c r="I5" s="385">
        <f>Paramètres!B61</f>
        <v>2</v>
      </c>
      <c r="J5" s="598"/>
      <c r="K5" s="598"/>
      <c r="L5" s="598"/>
      <c r="M5" s="598"/>
      <c r="N5" s="413">
        <f>+N324/M324</f>
        <v>1.2803728272489494</v>
      </c>
      <c r="O5" s="598"/>
      <c r="P5" s="321"/>
      <c r="Q5" s="319"/>
      <c r="R5" s="321"/>
      <c r="S5" s="321"/>
      <c r="T5" s="319"/>
      <c r="U5" s="319"/>
      <c r="V5" s="319"/>
    </row>
    <row r="6" spans="1:22" x14ac:dyDescent="0.25">
      <c r="A6" s="323">
        <f>'A) Base RI'!A7</f>
        <v>5401</v>
      </c>
      <c r="B6" s="323" t="str">
        <f>'A) Base RI'!B7</f>
        <v>Aigle</v>
      </c>
      <c r="C6" s="382">
        <v>1</v>
      </c>
      <c r="D6" s="313">
        <f>'B) D RI'!AR7</f>
        <v>9740</v>
      </c>
      <c r="E6" s="314">
        <f>'B) D RI'!S7</f>
        <v>67.5</v>
      </c>
      <c r="F6" s="10">
        <f>'B) D RI'!R7</f>
        <v>18508781.288333334</v>
      </c>
      <c r="G6" s="10">
        <f>'B) D RI'!U7</f>
        <v>274204.16723456793</v>
      </c>
      <c r="H6" s="44">
        <f>'B) D RI'!T7</f>
        <v>16848193.48</v>
      </c>
      <c r="I6" s="61">
        <f>+H6/E6*$I$5</f>
        <v>499205.73274074076</v>
      </c>
      <c r="J6" s="118">
        <f>+$I$324/$D$324*D6</f>
        <v>847543.81284838647</v>
      </c>
      <c r="K6" s="61">
        <f t="shared" ref="K6:K69" si="0">IF(C6=1,0,IF(J6&gt;I6,I6,J6))</f>
        <v>0</v>
      </c>
      <c r="L6" s="61">
        <f>+J6-K6</f>
        <v>847543.81284838647</v>
      </c>
      <c r="M6" s="61">
        <f>'D) Ecrêtage'!M5</f>
        <v>274204.16723456793</v>
      </c>
      <c r="N6" s="61">
        <f t="shared" ref="N6:N37" si="1">+$N$5*M6</f>
        <v>351083.56484556745</v>
      </c>
      <c r="O6" s="140">
        <f>+N6+K6</f>
        <v>351083.56484556745</v>
      </c>
      <c r="P6" s="315"/>
      <c r="Q6" s="316"/>
      <c r="T6" s="317"/>
    </row>
    <row r="7" spans="1:22" x14ac:dyDescent="0.25">
      <c r="A7" s="324">
        <f>'A) Base RI'!A8</f>
        <v>5402</v>
      </c>
      <c r="B7" s="324" t="str">
        <f>'A) Base RI'!B8</f>
        <v>Bex</v>
      </c>
      <c r="C7" s="383">
        <v>1</v>
      </c>
      <c r="D7" s="313">
        <f>'B) D RI'!AR8</f>
        <v>7424</v>
      </c>
      <c r="E7" s="314">
        <f>'B) D RI'!S8</f>
        <v>71</v>
      </c>
      <c r="F7" s="10">
        <f>'B) D RI'!R8</f>
        <v>11971924.26</v>
      </c>
      <c r="G7" s="10">
        <f>'B) D RI'!U8</f>
        <v>168618.65154929578</v>
      </c>
      <c r="H7" s="44">
        <f>'B) D RI'!T8</f>
        <v>10758658.140000001</v>
      </c>
      <c r="I7" s="10">
        <f t="shared" ref="I7:I70" si="2">+H7/E7*$I$5</f>
        <v>303060.79267605633</v>
      </c>
      <c r="J7" s="34">
        <f t="shared" ref="J7:J70" si="3">+$I$324/$D$324*D7</f>
        <v>646012.86104583379</v>
      </c>
      <c r="K7" s="10">
        <f t="shared" si="0"/>
        <v>0</v>
      </c>
      <c r="L7" s="10">
        <f t="shared" ref="L7:L70" si="4">+J7-K7</f>
        <v>646012.86104583379</v>
      </c>
      <c r="M7" s="10">
        <f>'D) Ecrêtage'!M6</f>
        <v>168618.65154929578</v>
      </c>
      <c r="N7" s="10">
        <f t="shared" si="1"/>
        <v>215894.7396110773</v>
      </c>
      <c r="O7" s="67">
        <f t="shared" ref="O7:O69" si="5">+N7+K7</f>
        <v>215894.7396110773</v>
      </c>
      <c r="P7" s="315"/>
      <c r="Q7" s="316"/>
      <c r="T7" s="317"/>
    </row>
    <row r="8" spans="1:22" x14ac:dyDescent="0.25">
      <c r="A8" s="324">
        <f>'A) Base RI'!A9</f>
        <v>5403</v>
      </c>
      <c r="B8" s="324" t="str">
        <f>'A) Base RI'!B9</f>
        <v>Chessel</v>
      </c>
      <c r="C8" s="383">
        <v>0</v>
      </c>
      <c r="D8" s="313">
        <f>'B) D RI'!AR9</f>
        <v>395</v>
      </c>
      <c r="E8" s="314">
        <f>'B) D RI'!S9</f>
        <v>76</v>
      </c>
      <c r="F8" s="10">
        <f>'B) D RI'!R9</f>
        <v>633601.15000000014</v>
      </c>
      <c r="G8" s="10">
        <f>'B) D RI'!U9</f>
        <v>8336.8572368421064</v>
      </c>
      <c r="H8" s="44">
        <f>'B) D RI'!T9</f>
        <v>583474.50000000012</v>
      </c>
      <c r="I8" s="10">
        <f t="shared" si="2"/>
        <v>15354.59210526316</v>
      </c>
      <c r="J8" s="34">
        <f>+$I$324/$D$324*D8</f>
        <v>34371.643334200475</v>
      </c>
      <c r="K8" s="10">
        <f t="shared" si="0"/>
        <v>15354.59210526316</v>
      </c>
      <c r="L8" s="10">
        <f t="shared" si="4"/>
        <v>19017.051228937315</v>
      </c>
      <c r="M8" s="10">
        <f>'D) Ecrêtage'!M7</f>
        <v>8336.8572368421064</v>
      </c>
      <c r="N8" s="10">
        <f t="shared" si="1"/>
        <v>10674.285470706393</v>
      </c>
      <c r="O8" s="67">
        <f t="shared" si="5"/>
        <v>26028.877575969553</v>
      </c>
      <c r="P8" s="315"/>
      <c r="Q8" s="316"/>
      <c r="T8" s="317"/>
    </row>
    <row r="9" spans="1:22" x14ac:dyDescent="0.25">
      <c r="A9" s="324">
        <f>'A) Base RI'!A10</f>
        <v>5404</v>
      </c>
      <c r="B9" s="324" t="str">
        <f>'A) Base RI'!B10</f>
        <v>Corbeyrier</v>
      </c>
      <c r="C9" s="383">
        <v>0</v>
      </c>
      <c r="D9" s="313">
        <f>'B) D RI'!AR10</f>
        <v>440</v>
      </c>
      <c r="E9" s="314">
        <f>'B) D RI'!S10</f>
        <v>70</v>
      </c>
      <c r="F9" s="10">
        <f>'B) D RI'!R10</f>
        <v>2794487.7</v>
      </c>
      <c r="G9" s="10">
        <f>'B) D RI'!U10</f>
        <v>39921.252857142863</v>
      </c>
      <c r="H9" s="44">
        <f>'B) D RI'!T10</f>
        <v>2722080.6</v>
      </c>
      <c r="I9" s="10">
        <f t="shared" si="2"/>
        <v>77773.731428571438</v>
      </c>
      <c r="J9" s="34">
        <f t="shared" si="3"/>
        <v>38287.400169742308</v>
      </c>
      <c r="K9" s="10">
        <f t="shared" si="0"/>
        <v>38287.400169742308</v>
      </c>
      <c r="L9" s="10">
        <f t="shared" si="4"/>
        <v>0</v>
      </c>
      <c r="M9" s="10">
        <f>'D) Ecrêtage'!M8</f>
        <v>33526.758280623108</v>
      </c>
      <c r="N9" s="10">
        <f t="shared" si="1"/>
        <v>42926.750288253534</v>
      </c>
      <c r="O9" s="67">
        <f t="shared" si="5"/>
        <v>81214.150457995842</v>
      </c>
      <c r="P9" s="315"/>
      <c r="Q9" s="316"/>
      <c r="T9" s="317"/>
    </row>
    <row r="10" spans="1:22" x14ac:dyDescent="0.25">
      <c r="A10" s="324">
        <f>'A) Base RI'!A11</f>
        <v>5405</v>
      </c>
      <c r="B10" s="324" t="str">
        <f>'A) Base RI'!B11</f>
        <v>Gryon</v>
      </c>
      <c r="C10" s="383">
        <v>0</v>
      </c>
      <c r="D10" s="313">
        <f>'B) D RI'!AR11</f>
        <v>1342</v>
      </c>
      <c r="E10" s="314">
        <f>'B) D RI'!S11</f>
        <v>75</v>
      </c>
      <c r="F10" s="10">
        <f>'B) D RI'!R11</f>
        <v>4864871.3933333335</v>
      </c>
      <c r="G10" s="10">
        <f>'B) D RI'!U11</f>
        <v>64864.951911111115</v>
      </c>
      <c r="H10" s="44">
        <f>'B) D RI'!T11</f>
        <v>4353912.5600000005</v>
      </c>
      <c r="I10" s="10">
        <f t="shared" si="2"/>
        <v>116104.33493333335</v>
      </c>
      <c r="J10" s="34">
        <f t="shared" si="3"/>
        <v>116776.57051771403</v>
      </c>
      <c r="K10" s="10">
        <f t="shared" si="0"/>
        <v>116104.33493333335</v>
      </c>
      <c r="L10" s="10">
        <f t="shared" si="4"/>
        <v>672.23558438068721</v>
      </c>
      <c r="M10" s="10">
        <f>'D) Ecrêtage'!M9</f>
        <v>64864.951911111115</v>
      </c>
      <c r="N10" s="10">
        <f t="shared" si="1"/>
        <v>83051.321867796476</v>
      </c>
      <c r="O10" s="67">
        <f t="shared" si="5"/>
        <v>199155.65680112981</v>
      </c>
      <c r="P10" s="315"/>
      <c r="Q10" s="316"/>
      <c r="T10" s="317"/>
    </row>
    <row r="11" spans="1:22" x14ac:dyDescent="0.25">
      <c r="A11" s="324">
        <f>'A) Base RI'!A12</f>
        <v>5406</v>
      </c>
      <c r="B11" s="324" t="str">
        <f>'A) Base RI'!B12</f>
        <v>Lavey-Morcles</v>
      </c>
      <c r="C11" s="383">
        <v>0</v>
      </c>
      <c r="D11" s="313">
        <f>'B) D RI'!AR12</f>
        <v>922</v>
      </c>
      <c r="E11" s="314">
        <f>'B) D RI'!S12</f>
        <v>71</v>
      </c>
      <c r="F11" s="10">
        <f>'B) D RI'!R12</f>
        <v>1437670.97</v>
      </c>
      <c r="G11" s="10">
        <f>'B) D RI'!U12</f>
        <v>20248.886901408452</v>
      </c>
      <c r="H11" s="44">
        <f>'B) D RI'!T12</f>
        <v>1296612.97</v>
      </c>
      <c r="I11" s="10">
        <f t="shared" si="2"/>
        <v>36524.309014084509</v>
      </c>
      <c r="J11" s="34">
        <f t="shared" si="3"/>
        <v>80229.506719323646</v>
      </c>
      <c r="K11" s="10">
        <f t="shared" si="0"/>
        <v>36524.309014084509</v>
      </c>
      <c r="L11" s="10">
        <f t="shared" si="4"/>
        <v>43705.197705239138</v>
      </c>
      <c r="M11" s="10">
        <f>'D) Ecrêtage'!M10</f>
        <v>20248.886901408452</v>
      </c>
      <c r="N11" s="10">
        <f t="shared" si="1"/>
        <v>25926.124570600557</v>
      </c>
      <c r="O11" s="67">
        <f t="shared" si="5"/>
        <v>62450.433584685066</v>
      </c>
      <c r="P11" s="315"/>
      <c r="Q11" s="316"/>
      <c r="T11" s="317"/>
    </row>
    <row r="12" spans="1:22" x14ac:dyDescent="0.25">
      <c r="A12" s="324">
        <f>'A) Base RI'!A13</f>
        <v>5407</v>
      </c>
      <c r="B12" s="324" t="str">
        <f>'A) Base RI'!B13</f>
        <v>Leysin</v>
      </c>
      <c r="C12" s="383">
        <v>0</v>
      </c>
      <c r="D12" s="313">
        <f>'B) D RI'!AR13</f>
        <v>4088</v>
      </c>
      <c r="E12" s="314">
        <f>'B) D RI'!S13</f>
        <v>78</v>
      </c>
      <c r="F12" s="10">
        <f>'B) D RI'!R13</f>
        <v>6443656.0299999984</v>
      </c>
      <c r="G12" s="10">
        <f>'B) D RI'!U13</f>
        <v>82610.97474358973</v>
      </c>
      <c r="H12" s="44">
        <f>'B) D RI'!T13</f>
        <v>5604002.4299999988</v>
      </c>
      <c r="I12" s="10">
        <f t="shared" si="2"/>
        <v>143692.36999999997</v>
      </c>
      <c r="J12" s="34">
        <f t="shared" si="3"/>
        <v>355724.75430433307</v>
      </c>
      <c r="K12" s="10">
        <f t="shared" si="0"/>
        <v>143692.36999999997</v>
      </c>
      <c r="L12" s="10">
        <f t="shared" si="4"/>
        <v>212032.3843043331</v>
      </c>
      <c r="M12" s="10">
        <f>'D) Ecrêtage'!M11</f>
        <v>82610.97474358973</v>
      </c>
      <c r="N12" s="10">
        <f t="shared" si="1"/>
        <v>105772.84729424154</v>
      </c>
      <c r="O12" s="67">
        <f t="shared" si="5"/>
        <v>249465.21729424151</v>
      </c>
      <c r="P12" s="315"/>
      <c r="Q12" s="316"/>
      <c r="T12" s="317"/>
    </row>
    <row r="13" spans="1:22" x14ac:dyDescent="0.25">
      <c r="A13" s="324">
        <f>'A) Base RI'!A14</f>
        <v>5408</v>
      </c>
      <c r="B13" s="324" t="str">
        <f>'A) Base RI'!B14</f>
        <v>Noville</v>
      </c>
      <c r="C13" s="383">
        <v>0</v>
      </c>
      <c r="D13" s="313">
        <f>'B) D RI'!AR14</f>
        <v>1056</v>
      </c>
      <c r="E13" s="314">
        <f>'B) D RI'!S14</f>
        <v>78.5</v>
      </c>
      <c r="F13" s="10">
        <f>'B) D RI'!R14</f>
        <v>2623435.4866666663</v>
      </c>
      <c r="G13" s="10">
        <f>'B) D RI'!U14</f>
        <v>33419.560339702759</v>
      </c>
      <c r="H13" s="44">
        <f>'B) D RI'!T14</f>
        <v>2410715.5199999996</v>
      </c>
      <c r="I13" s="10">
        <f t="shared" si="2"/>
        <v>61419.503694267507</v>
      </c>
      <c r="J13" s="34">
        <f t="shared" si="3"/>
        <v>91889.760407381531</v>
      </c>
      <c r="K13" s="10">
        <f t="shared" si="0"/>
        <v>61419.503694267507</v>
      </c>
      <c r="L13" s="10">
        <f t="shared" si="4"/>
        <v>30470.256713114024</v>
      </c>
      <c r="M13" s="10">
        <f>'D) Ecrêtage'!M12</f>
        <v>33419.560339702759</v>
      </c>
      <c r="N13" s="10">
        <f t="shared" si="1"/>
        <v>42789.496957562078</v>
      </c>
      <c r="O13" s="67">
        <f t="shared" si="5"/>
        <v>104209.00065182958</v>
      </c>
      <c r="P13" s="315"/>
      <c r="Q13" s="316"/>
      <c r="T13" s="317"/>
    </row>
    <row r="14" spans="1:22" x14ac:dyDescent="0.25">
      <c r="A14" s="324">
        <f>'A) Base RI'!A15</f>
        <v>5409</v>
      </c>
      <c r="B14" s="324" t="str">
        <f>'A) Base RI'!B15</f>
        <v>Ollon</v>
      </c>
      <c r="C14" s="383">
        <v>1</v>
      </c>
      <c r="D14" s="313">
        <f>'B) D RI'!AR15</f>
        <v>7473</v>
      </c>
      <c r="E14" s="314">
        <f>'B) D RI'!S15</f>
        <v>68</v>
      </c>
      <c r="F14" s="10">
        <f>'B) D RI'!R15</f>
        <v>24890362.277692307</v>
      </c>
      <c r="G14" s="10">
        <f>'B) D RI'!U15</f>
        <v>366034.73937782802</v>
      </c>
      <c r="H14" s="44">
        <f>'B) D RI'!T15</f>
        <v>21981641.969999999</v>
      </c>
      <c r="I14" s="10">
        <f t="shared" si="2"/>
        <v>646518.88147058815</v>
      </c>
      <c r="J14" s="34">
        <f t="shared" si="3"/>
        <v>650276.68515564606</v>
      </c>
      <c r="K14" s="10">
        <f t="shared" si="0"/>
        <v>0</v>
      </c>
      <c r="L14" s="10">
        <f t="shared" si="4"/>
        <v>650276.68515564606</v>
      </c>
      <c r="M14" s="10">
        <f>'D) Ecrêtage'!M13</f>
        <v>366034.73937782802</v>
      </c>
      <c r="N14" s="10">
        <f t="shared" si="1"/>
        <v>468660.934128522</v>
      </c>
      <c r="O14" s="67">
        <f t="shared" si="5"/>
        <v>468660.934128522</v>
      </c>
      <c r="P14" s="315"/>
      <c r="Q14" s="316"/>
      <c r="T14" s="317"/>
    </row>
    <row r="15" spans="1:22" x14ac:dyDescent="0.25">
      <c r="A15" s="324">
        <f>'A) Base RI'!A16</f>
        <v>5410</v>
      </c>
      <c r="B15" s="324" t="str">
        <f>'A) Base RI'!B16</f>
        <v>Ormont-Dessous</v>
      </c>
      <c r="C15" s="383">
        <v>0</v>
      </c>
      <c r="D15" s="313">
        <f>'B) D RI'!AR16</f>
        <v>1105</v>
      </c>
      <c r="E15" s="314">
        <f>'B) D RI'!S16</f>
        <v>78.5</v>
      </c>
      <c r="F15" s="10">
        <f>'B) D RI'!R16</f>
        <v>2861498.5066666668</v>
      </c>
      <c r="G15" s="10">
        <f>'B) D RI'!U16</f>
        <v>36452.210276008496</v>
      </c>
      <c r="H15" s="44">
        <f>'B) D RI'!T16</f>
        <v>2499932.44</v>
      </c>
      <c r="I15" s="10">
        <f t="shared" si="2"/>
        <v>63692.546242038217</v>
      </c>
      <c r="J15" s="34">
        <f t="shared" si="3"/>
        <v>96153.58451719374</v>
      </c>
      <c r="K15" s="10">
        <f t="shared" si="0"/>
        <v>63692.546242038217</v>
      </c>
      <c r="L15" s="10">
        <f t="shared" si="4"/>
        <v>32461.038275155523</v>
      </c>
      <c r="M15" s="10">
        <f>'D) Ecrêtage'!M14</f>
        <v>36452.210276008496</v>
      </c>
      <c r="N15" s="10">
        <f t="shared" si="1"/>
        <v>46672.419530566207</v>
      </c>
      <c r="O15" s="67">
        <f t="shared" si="5"/>
        <v>110364.96577260442</v>
      </c>
      <c r="P15" s="315"/>
      <c r="Q15" s="316"/>
      <c r="T15" s="317"/>
    </row>
    <row r="16" spans="1:22" s="311" customFormat="1" x14ac:dyDescent="0.25">
      <c r="A16" s="324">
        <f>'A) Base RI'!A17</f>
        <v>5411</v>
      </c>
      <c r="B16" s="324" t="str">
        <f>'A) Base RI'!B17</f>
        <v>Ormont-Dessus</v>
      </c>
      <c r="C16" s="383">
        <v>0</v>
      </c>
      <c r="D16" s="313">
        <f>'B) D RI'!AR17</f>
        <v>1479</v>
      </c>
      <c r="E16" s="314">
        <f>'B) D RI'!S17</f>
        <v>76</v>
      </c>
      <c r="F16" s="10">
        <f>'B) D RI'!R17</f>
        <v>5627642.29</v>
      </c>
      <c r="G16" s="10">
        <f>'B) D RI'!U17</f>
        <v>74047.924868421047</v>
      </c>
      <c r="H16" s="44">
        <f>'B) D RI'!T17</f>
        <v>4839362.1900000004</v>
      </c>
      <c r="I16" s="10">
        <f t="shared" si="2"/>
        <v>127351.63657894738</v>
      </c>
      <c r="J16" s="34">
        <f t="shared" si="3"/>
        <v>128697.87466147471</v>
      </c>
      <c r="K16" s="10">
        <f t="shared" si="0"/>
        <v>127351.63657894738</v>
      </c>
      <c r="L16" s="10">
        <f t="shared" si="4"/>
        <v>1346.2380825273285</v>
      </c>
      <c r="M16" s="10">
        <f>'D) Ecrêtage'!M15</f>
        <v>74047.924868421047</v>
      </c>
      <c r="N16" s="10">
        <f t="shared" si="1"/>
        <v>94808.950915698049</v>
      </c>
      <c r="O16" s="67">
        <f t="shared" si="5"/>
        <v>222160.58749464544</v>
      </c>
      <c r="P16" s="315"/>
      <c r="Q16" s="316"/>
      <c r="R16" s="312"/>
      <c r="S16" s="312"/>
      <c r="T16" s="317"/>
    </row>
    <row r="17" spans="1:20" s="311" customFormat="1" x14ac:dyDescent="0.25">
      <c r="A17" s="324">
        <f>'A) Base RI'!A18</f>
        <v>5412</v>
      </c>
      <c r="B17" s="324" t="str">
        <f>'A) Base RI'!B18</f>
        <v>Rennaz</v>
      </c>
      <c r="C17" s="383">
        <v>0</v>
      </c>
      <c r="D17" s="313">
        <f>'B) D RI'!AR18</f>
        <v>843</v>
      </c>
      <c r="E17" s="314">
        <f>'B) D RI'!S18</f>
        <v>67.5</v>
      </c>
      <c r="F17" s="10">
        <f>'B) D RI'!R18</f>
        <v>1770135.4000000001</v>
      </c>
      <c r="G17" s="10">
        <f>'B) D RI'!U18</f>
        <v>26224.228148148151</v>
      </c>
      <c r="H17" s="44">
        <f>'B) D RI'!T18</f>
        <v>1550172.8</v>
      </c>
      <c r="I17" s="10">
        <f t="shared" si="2"/>
        <v>45931.04592592593</v>
      </c>
      <c r="J17" s="34">
        <f t="shared" si="3"/>
        <v>73355.178052483549</v>
      </c>
      <c r="K17" s="10">
        <f t="shared" si="0"/>
        <v>45931.04592592593</v>
      </c>
      <c r="L17" s="10">
        <f t="shared" si="4"/>
        <v>27424.132126557619</v>
      </c>
      <c r="M17" s="10">
        <f>'D) Ecrêtage'!M16</f>
        <v>26224.228148148151</v>
      </c>
      <c r="N17" s="10">
        <f t="shared" si="1"/>
        <v>33576.78913646593</v>
      </c>
      <c r="O17" s="67">
        <f t="shared" si="5"/>
        <v>79507.835062391852</v>
      </c>
      <c r="P17" s="315"/>
      <c r="Q17" s="316"/>
      <c r="R17" s="312"/>
      <c r="S17" s="312"/>
      <c r="T17" s="317"/>
    </row>
    <row r="18" spans="1:20" s="311" customFormat="1" x14ac:dyDescent="0.25">
      <c r="A18" s="324">
        <f>'A) Base RI'!A19</f>
        <v>5413</v>
      </c>
      <c r="B18" s="324" t="str">
        <f>'A) Base RI'!B19</f>
        <v>Roche</v>
      </c>
      <c r="C18" s="383">
        <v>0</v>
      </c>
      <c r="D18" s="313">
        <f>'B) D RI'!AR19</f>
        <v>1597</v>
      </c>
      <c r="E18" s="314">
        <f>'B) D RI'!S19</f>
        <v>68</v>
      </c>
      <c r="F18" s="10">
        <f>'B) D RI'!R19</f>
        <v>2646847.5300000003</v>
      </c>
      <c r="G18" s="10">
        <f>'B) D RI'!U19</f>
        <v>38924.228382352943</v>
      </c>
      <c r="H18" s="44">
        <f>'B) D RI'!T19</f>
        <v>2449490.7800000003</v>
      </c>
      <c r="I18" s="10">
        <f t="shared" si="2"/>
        <v>72043.846470588236</v>
      </c>
      <c r="J18" s="34">
        <f t="shared" si="3"/>
        <v>138965.85925245105</v>
      </c>
      <c r="K18" s="10">
        <f t="shared" si="0"/>
        <v>72043.846470588236</v>
      </c>
      <c r="L18" s="10">
        <f t="shared" si="4"/>
        <v>66922.01278186281</v>
      </c>
      <c r="M18" s="10">
        <f>'D) Ecrêtage'!M17</f>
        <v>38924.228382352943</v>
      </c>
      <c r="N18" s="10">
        <f t="shared" si="1"/>
        <v>49837.524342397039</v>
      </c>
      <c r="O18" s="67">
        <f t="shared" si="5"/>
        <v>121881.37081298527</v>
      </c>
      <c r="P18" s="315"/>
      <c r="Q18" s="316"/>
      <c r="R18" s="312"/>
      <c r="S18" s="312"/>
      <c r="T18" s="317"/>
    </row>
    <row r="19" spans="1:20" s="311" customFormat="1" x14ac:dyDescent="0.25">
      <c r="A19" s="324">
        <f>'A) Base RI'!A20</f>
        <v>5414</v>
      </c>
      <c r="B19" s="324" t="str">
        <f>'A) Base RI'!B20</f>
        <v>Villeneuve</v>
      </c>
      <c r="C19" s="383">
        <v>0</v>
      </c>
      <c r="D19" s="313">
        <f>'B) D RI'!AR20</f>
        <v>5457</v>
      </c>
      <c r="E19" s="314">
        <f>'B) D RI'!S20</f>
        <v>69</v>
      </c>
      <c r="F19" s="10">
        <f>'B) D RI'!R20</f>
        <v>11030579.520000001</v>
      </c>
      <c r="G19" s="10">
        <f>'B) D RI'!U20</f>
        <v>159863.47130434786</v>
      </c>
      <c r="H19" s="44">
        <f>'B) D RI'!T20</f>
        <v>9875816.870000001</v>
      </c>
      <c r="I19" s="10">
        <f t="shared" si="2"/>
        <v>286255.56144927541</v>
      </c>
      <c r="J19" s="34">
        <f t="shared" si="3"/>
        <v>474850.77892337216</v>
      </c>
      <c r="K19" s="10">
        <f t="shared" si="0"/>
        <v>286255.56144927541</v>
      </c>
      <c r="L19" s="10">
        <f t="shared" si="4"/>
        <v>188595.21747409675</v>
      </c>
      <c r="M19" s="10">
        <f>'D) Ecrêtage'!M18</f>
        <v>159863.47130434786</v>
      </c>
      <c r="N19" s="10">
        <f t="shared" si="1"/>
        <v>204684.84472777916</v>
      </c>
      <c r="O19" s="67">
        <f t="shared" si="5"/>
        <v>490940.40617705457</v>
      </c>
      <c r="P19" s="315"/>
      <c r="Q19" s="316"/>
      <c r="R19" s="312"/>
      <c r="S19" s="312"/>
      <c r="T19" s="317"/>
    </row>
    <row r="20" spans="1:20" s="311" customFormat="1" x14ac:dyDescent="0.25">
      <c r="A20" s="324">
        <f>'A) Base RI'!A21</f>
        <v>5415</v>
      </c>
      <c r="B20" s="324" t="str">
        <f>'A) Base RI'!B21</f>
        <v>Yvorne</v>
      </c>
      <c r="C20" s="383">
        <v>0</v>
      </c>
      <c r="D20" s="313">
        <f>'B) D RI'!AR21</f>
        <v>1061</v>
      </c>
      <c r="E20" s="314">
        <f>'B) D RI'!S21</f>
        <v>68.5</v>
      </c>
      <c r="F20" s="10">
        <f>'B) D RI'!R21</f>
        <v>2447281.9966666666</v>
      </c>
      <c r="G20" s="10">
        <f>'B) D RI'!U21</f>
        <v>35726.744476885644</v>
      </c>
      <c r="H20" s="44">
        <f>'B) D RI'!T21</f>
        <v>2228293.63</v>
      </c>
      <c r="I20" s="10">
        <f t="shared" si="2"/>
        <v>65059.668029197077</v>
      </c>
      <c r="J20" s="34">
        <f t="shared" si="3"/>
        <v>92324.844500219508</v>
      </c>
      <c r="K20" s="10">
        <f t="shared" si="0"/>
        <v>65059.668029197077</v>
      </c>
      <c r="L20" s="10">
        <f t="shared" si="4"/>
        <v>27265.176471022431</v>
      </c>
      <c r="M20" s="10">
        <f>'D) Ecrêtage'!M19</f>
        <v>35726.744476885644</v>
      </c>
      <c r="N20" s="10">
        <f t="shared" si="1"/>
        <v>45743.552834270857</v>
      </c>
      <c r="O20" s="67">
        <f t="shared" si="5"/>
        <v>110803.22086346793</v>
      </c>
      <c r="P20" s="315"/>
      <c r="Q20" s="316"/>
      <c r="R20" s="312"/>
      <c r="S20" s="312"/>
      <c r="T20" s="317"/>
    </row>
    <row r="21" spans="1:20" s="311" customFormat="1" x14ac:dyDescent="0.25">
      <c r="A21" s="324">
        <f>'A) Base RI'!A22</f>
        <v>5421</v>
      </c>
      <c r="B21" s="324" t="str">
        <f>'A) Base RI'!B22</f>
        <v>Apples</v>
      </c>
      <c r="C21" s="383">
        <v>0</v>
      </c>
      <c r="D21" s="313">
        <f>'B) D RI'!AR22</f>
        <v>1412</v>
      </c>
      <c r="E21" s="314">
        <f>'B) D RI'!S22</f>
        <v>76</v>
      </c>
      <c r="F21" s="10">
        <f>'B) D RI'!R22</f>
        <v>4484422.82</v>
      </c>
      <c r="G21" s="10">
        <f>'B) D RI'!U22</f>
        <v>59005.563421052633</v>
      </c>
      <c r="H21" s="44">
        <f>'B) D RI'!T22</f>
        <v>4203287.67</v>
      </c>
      <c r="I21" s="10">
        <f t="shared" si="2"/>
        <v>110612.83342105262</v>
      </c>
      <c r="J21" s="34">
        <f t="shared" si="3"/>
        <v>122867.74781744576</v>
      </c>
      <c r="K21" s="10">
        <f t="shared" si="0"/>
        <v>110612.83342105262</v>
      </c>
      <c r="L21" s="10">
        <f t="shared" si="4"/>
        <v>12254.914396393142</v>
      </c>
      <c r="M21" s="10">
        <f>'D) Ecrêtage'!M20</f>
        <v>59005.563421052633</v>
      </c>
      <c r="N21" s="10">
        <f t="shared" si="1"/>
        <v>75549.120060830348</v>
      </c>
      <c r="O21" s="67">
        <f t="shared" si="5"/>
        <v>186161.95348188299</v>
      </c>
      <c r="P21" s="315"/>
      <c r="Q21" s="316"/>
      <c r="R21" s="312"/>
      <c r="S21" s="312"/>
      <c r="T21" s="317"/>
    </row>
    <row r="22" spans="1:20" s="311" customFormat="1" x14ac:dyDescent="0.25">
      <c r="A22" s="324">
        <f>'A) Base RI'!A23</f>
        <v>5422</v>
      </c>
      <c r="B22" s="324" t="str">
        <f>'A) Base RI'!B23</f>
        <v>Aubonne</v>
      </c>
      <c r="C22" s="383">
        <v>0</v>
      </c>
      <c r="D22" s="313">
        <f>'B) D RI'!AR23</f>
        <v>3272</v>
      </c>
      <c r="E22" s="314">
        <f>'B) D RI'!S23</f>
        <v>68</v>
      </c>
      <c r="F22" s="10">
        <f>'B) D RI'!R23</f>
        <v>14891196.010000002</v>
      </c>
      <c r="G22" s="10">
        <f>'B) D RI'!U23</f>
        <v>218988.17661764708</v>
      </c>
      <c r="H22" s="44">
        <f>'B) D RI'!T23</f>
        <v>13861461.570000002</v>
      </c>
      <c r="I22" s="10">
        <f t="shared" si="2"/>
        <v>407690.04617647064</v>
      </c>
      <c r="J22" s="34">
        <f t="shared" si="3"/>
        <v>284719.0303531746</v>
      </c>
      <c r="K22" s="10">
        <f t="shared" si="0"/>
        <v>284719.0303531746</v>
      </c>
      <c r="L22" s="10">
        <f t="shared" si="4"/>
        <v>0</v>
      </c>
      <c r="M22" s="10">
        <f>'D) Ecrêtage'!M21</f>
        <v>206220.17598069846</v>
      </c>
      <c r="N22" s="10">
        <f t="shared" si="1"/>
        <v>264038.7097561828</v>
      </c>
      <c r="O22" s="67">
        <f t="shared" si="5"/>
        <v>548757.7401093574</v>
      </c>
      <c r="P22" s="315"/>
      <c r="Q22" s="316"/>
      <c r="R22" s="312"/>
      <c r="S22" s="312"/>
      <c r="T22" s="317"/>
    </row>
    <row r="23" spans="1:20" s="311" customFormat="1" x14ac:dyDescent="0.25">
      <c r="A23" s="324">
        <f>'A) Base RI'!A24</f>
        <v>5423</v>
      </c>
      <c r="B23" s="324" t="str">
        <f>'A) Base RI'!B24</f>
        <v>Ballens</v>
      </c>
      <c r="C23" s="383">
        <v>0</v>
      </c>
      <c r="D23" s="313">
        <f>'B) D RI'!AR24</f>
        <v>508</v>
      </c>
      <c r="E23" s="314">
        <f>'B) D RI'!S24</f>
        <v>69</v>
      </c>
      <c r="F23" s="10">
        <f>'B) D RI'!R24</f>
        <v>1059705.82</v>
      </c>
      <c r="G23" s="10">
        <f>'B) D RI'!U24</f>
        <v>15358.055362318841</v>
      </c>
      <c r="H23" s="44">
        <f>'B) D RI'!T24</f>
        <v>991171.62</v>
      </c>
      <c r="I23" s="10">
        <f t="shared" si="2"/>
        <v>28729.612173913043</v>
      </c>
      <c r="J23" s="34">
        <f t="shared" si="3"/>
        <v>44204.543832338844</v>
      </c>
      <c r="K23" s="10">
        <f t="shared" si="0"/>
        <v>28729.612173913043</v>
      </c>
      <c r="L23" s="10">
        <f t="shared" si="4"/>
        <v>15474.931658425801</v>
      </c>
      <c r="M23" s="10">
        <f>'D) Ecrêtage'!M22</f>
        <v>15358.055362318841</v>
      </c>
      <c r="N23" s="10">
        <f t="shared" si="1"/>
        <v>19664.03676529806</v>
      </c>
      <c r="O23" s="67">
        <f t="shared" si="5"/>
        <v>48393.648939211103</v>
      </c>
      <c r="P23" s="315"/>
      <c r="Q23" s="316"/>
      <c r="R23" s="312"/>
      <c r="S23" s="312"/>
      <c r="T23" s="317"/>
    </row>
    <row r="24" spans="1:20" s="311" customFormat="1" x14ac:dyDescent="0.25">
      <c r="A24" s="324">
        <f>'A) Base RI'!A25</f>
        <v>5424</v>
      </c>
      <c r="B24" s="324" t="str">
        <f>'A) Base RI'!B25</f>
        <v>Berolle</v>
      </c>
      <c r="C24" s="383">
        <v>0</v>
      </c>
      <c r="D24" s="313">
        <f>'B) D RI'!AR25</f>
        <v>301</v>
      </c>
      <c r="E24" s="314">
        <f>'B) D RI'!S25</f>
        <v>77</v>
      </c>
      <c r="F24" s="10">
        <f>'B) D RI'!R25</f>
        <v>697484.7</v>
      </c>
      <c r="G24" s="10">
        <f>'B) D RI'!U25</f>
        <v>9058.2428571428572</v>
      </c>
      <c r="H24" s="44">
        <f>'B) D RI'!T25</f>
        <v>647970.19999999995</v>
      </c>
      <c r="I24" s="10">
        <f t="shared" si="2"/>
        <v>16830.394805194803</v>
      </c>
      <c r="J24" s="34">
        <f t="shared" si="3"/>
        <v>26192.06238884644</v>
      </c>
      <c r="K24" s="10">
        <f t="shared" si="0"/>
        <v>16830.394805194803</v>
      </c>
      <c r="L24" s="10">
        <f t="shared" si="4"/>
        <v>9361.667583651637</v>
      </c>
      <c r="M24" s="10">
        <f>'D) Ecrêtage'!M23</f>
        <v>9058.2428571428572</v>
      </c>
      <c r="N24" s="10">
        <f t="shared" si="1"/>
        <v>11597.928016907601</v>
      </c>
      <c r="O24" s="67">
        <f t="shared" si="5"/>
        <v>28428.322822102404</v>
      </c>
      <c r="P24" s="315"/>
      <c r="Q24" s="316"/>
      <c r="R24" s="312"/>
      <c r="S24" s="312"/>
      <c r="T24" s="317"/>
    </row>
    <row r="25" spans="1:20" s="311" customFormat="1" x14ac:dyDescent="0.25">
      <c r="A25" s="324">
        <f>'A) Base RI'!A26</f>
        <v>5425</v>
      </c>
      <c r="B25" s="324" t="str">
        <f>'A) Base RI'!B26</f>
        <v>Bière</v>
      </c>
      <c r="C25" s="383">
        <v>0</v>
      </c>
      <c r="D25" s="313">
        <f>'B) D RI'!AR26</f>
        <v>1546</v>
      </c>
      <c r="E25" s="314">
        <f>'B) D RI'!S26</f>
        <v>68</v>
      </c>
      <c r="F25" s="10">
        <f>'B) D RI'!R26</f>
        <v>2680086.8199999998</v>
      </c>
      <c r="G25" s="10">
        <f>'B) D RI'!U26</f>
        <v>39413.041470588236</v>
      </c>
      <c r="H25" s="44">
        <f>'B) D RI'!T26</f>
        <v>2478314.6199999996</v>
      </c>
      <c r="I25" s="10">
        <f t="shared" si="2"/>
        <v>72891.606470588231</v>
      </c>
      <c r="J25" s="34">
        <f t="shared" si="3"/>
        <v>134528.00150550363</v>
      </c>
      <c r="K25" s="10">
        <f t="shared" si="0"/>
        <v>72891.606470588231</v>
      </c>
      <c r="L25" s="10">
        <f t="shared" si="4"/>
        <v>61636.395034915404</v>
      </c>
      <c r="M25" s="10">
        <f>'D) Ecrêtage'!M24</f>
        <v>39413.041470588236</v>
      </c>
      <c r="N25" s="10">
        <f t="shared" si="1"/>
        <v>50463.387338177148</v>
      </c>
      <c r="O25" s="67">
        <f t="shared" si="5"/>
        <v>123354.99380876537</v>
      </c>
      <c r="P25" s="315"/>
      <c r="Q25" s="316"/>
      <c r="R25" s="312"/>
      <c r="S25" s="312"/>
      <c r="T25" s="317"/>
    </row>
    <row r="26" spans="1:20" s="311" customFormat="1" x14ac:dyDescent="0.25">
      <c r="A26" s="324">
        <f>'A) Base RI'!A27</f>
        <v>5426</v>
      </c>
      <c r="B26" s="324" t="str">
        <f>'A) Base RI'!B27</f>
        <v>Bougy-Villars</v>
      </c>
      <c r="C26" s="383">
        <v>0</v>
      </c>
      <c r="D26" s="313">
        <f>'B) D RI'!AR27</f>
        <v>467</v>
      </c>
      <c r="E26" s="314">
        <f>'B) D RI'!S27</f>
        <v>62</v>
      </c>
      <c r="F26" s="10">
        <f>'B) D RI'!R27</f>
        <v>2639198.5500000003</v>
      </c>
      <c r="G26" s="10">
        <f>'B) D RI'!U27</f>
        <v>42567.7185483871</v>
      </c>
      <c r="H26" s="44">
        <f>'B) D RI'!T27</f>
        <v>2408593.4000000004</v>
      </c>
      <c r="I26" s="10">
        <f t="shared" si="2"/>
        <v>77696.561290322599</v>
      </c>
      <c r="J26" s="34">
        <f t="shared" si="3"/>
        <v>40636.854271067401</v>
      </c>
      <c r="K26" s="10">
        <f t="shared" si="0"/>
        <v>40636.854271067401</v>
      </c>
      <c r="L26" s="10">
        <f t="shared" si="4"/>
        <v>0</v>
      </c>
      <c r="M26" s="10">
        <f>'D) Ecrêtage'!M25</f>
        <v>35690.328405985179</v>
      </c>
      <c r="N26" s="10">
        <f t="shared" si="1"/>
        <v>45696.926686614737</v>
      </c>
      <c r="O26" s="67">
        <f t="shared" si="5"/>
        <v>86333.780957682146</v>
      </c>
      <c r="P26" s="315"/>
      <c r="Q26" s="316"/>
      <c r="R26" s="312"/>
      <c r="S26" s="312"/>
      <c r="T26" s="317"/>
    </row>
    <row r="27" spans="1:20" s="311" customFormat="1" x14ac:dyDescent="0.25">
      <c r="A27" s="324">
        <f>'A) Base RI'!A28</f>
        <v>5427</v>
      </c>
      <c r="B27" s="324" t="str">
        <f>'A) Base RI'!B28</f>
        <v>Féchy</v>
      </c>
      <c r="C27" s="383">
        <v>0</v>
      </c>
      <c r="D27" s="313">
        <f>'B) D RI'!AR28</f>
        <v>887</v>
      </c>
      <c r="E27" s="314">
        <f>'B) D RI'!S28</f>
        <v>64</v>
      </c>
      <c r="F27" s="10">
        <f>'B) D RI'!R28</f>
        <v>4402347.4430769226</v>
      </c>
      <c r="G27" s="10">
        <f>'B) D RI'!U28</f>
        <v>68786.678798076915</v>
      </c>
      <c r="H27" s="44">
        <f>'B) D RI'!T28</f>
        <v>4074102.0199999996</v>
      </c>
      <c r="I27" s="10">
        <f t="shared" si="2"/>
        <v>127315.68812499999</v>
      </c>
      <c r="J27" s="34">
        <f t="shared" si="3"/>
        <v>77183.918069457781</v>
      </c>
      <c r="K27" s="10">
        <f t="shared" si="0"/>
        <v>77183.918069457781</v>
      </c>
      <c r="L27" s="10">
        <f t="shared" si="4"/>
        <v>0</v>
      </c>
      <c r="M27" s="10">
        <f>'D) Ecrêtage'!M26</f>
        <v>61273.790417776101</v>
      </c>
      <c r="N27" s="10">
        <f t="shared" si="1"/>
        <v>78453.296273467568</v>
      </c>
      <c r="O27" s="67">
        <f t="shared" si="5"/>
        <v>155637.21434292535</v>
      </c>
      <c r="P27" s="315"/>
      <c r="Q27" s="316"/>
      <c r="R27" s="312"/>
      <c r="S27" s="312"/>
      <c r="T27" s="317"/>
    </row>
    <row r="28" spans="1:20" s="311" customFormat="1" x14ac:dyDescent="0.25">
      <c r="A28" s="324">
        <f>'A) Base RI'!A29</f>
        <v>5428</v>
      </c>
      <c r="B28" s="324" t="str">
        <f>'A) Base RI'!B29</f>
        <v>Gimel</v>
      </c>
      <c r="C28" s="383">
        <v>0</v>
      </c>
      <c r="D28" s="313">
        <f>'B) D RI'!AR29</f>
        <v>1948</v>
      </c>
      <c r="E28" s="314">
        <f>'B) D RI'!S29</f>
        <v>71.5</v>
      </c>
      <c r="F28" s="10">
        <f>'B) D RI'!R29</f>
        <v>4147330.5249999994</v>
      </c>
      <c r="G28" s="10">
        <f>'B) D RI'!U29</f>
        <v>58004.622727272719</v>
      </c>
      <c r="H28" s="44">
        <f>'B) D RI'!T29</f>
        <v>3822290.1499999994</v>
      </c>
      <c r="I28" s="10">
        <f t="shared" si="2"/>
        <v>106917.20699300697</v>
      </c>
      <c r="J28" s="34">
        <f t="shared" si="3"/>
        <v>169508.76256967729</v>
      </c>
      <c r="K28" s="10">
        <f t="shared" si="0"/>
        <v>106917.20699300697</v>
      </c>
      <c r="L28" s="10">
        <f t="shared" si="4"/>
        <v>62591.555576670318</v>
      </c>
      <c r="M28" s="10">
        <f>'D) Ecrêtage'!M27</f>
        <v>58004.622727272719</v>
      </c>
      <c r="N28" s="10">
        <f t="shared" si="1"/>
        <v>74267.542794826833</v>
      </c>
      <c r="O28" s="67">
        <f t="shared" si="5"/>
        <v>181184.7497878338</v>
      </c>
      <c r="P28" s="315"/>
      <c r="Q28" s="316"/>
      <c r="R28" s="312"/>
      <c r="S28" s="312"/>
      <c r="T28" s="317"/>
    </row>
    <row r="29" spans="1:20" s="311" customFormat="1" x14ac:dyDescent="0.25">
      <c r="A29" s="324">
        <f>'A) Base RI'!A30</f>
        <v>5429</v>
      </c>
      <c r="B29" s="324" t="str">
        <f>'A) Base RI'!B30</f>
        <v>Longirod</v>
      </c>
      <c r="C29" s="383">
        <v>0</v>
      </c>
      <c r="D29" s="313">
        <f>'B) D RI'!AR30</f>
        <v>460</v>
      </c>
      <c r="E29" s="314">
        <f>'B) D RI'!S30</f>
        <v>81</v>
      </c>
      <c r="F29" s="10">
        <f>'B) D RI'!R30</f>
        <v>985879.30999999994</v>
      </c>
      <c r="G29" s="10">
        <f>'B) D RI'!U30</f>
        <v>12171.349506172839</v>
      </c>
      <c r="H29" s="44">
        <f>'B) D RI'!T30</f>
        <v>896437.71</v>
      </c>
      <c r="I29" s="10">
        <f t="shared" si="2"/>
        <v>22134.264444444445</v>
      </c>
      <c r="J29" s="34">
        <f t="shared" si="3"/>
        <v>40027.736541094229</v>
      </c>
      <c r="K29" s="10">
        <f t="shared" si="0"/>
        <v>22134.264444444445</v>
      </c>
      <c r="L29" s="10">
        <f t="shared" si="4"/>
        <v>17893.472096649784</v>
      </c>
      <c r="M29" s="10">
        <f>'D) Ecrêtage'!M28</f>
        <v>12171.349506172839</v>
      </c>
      <c r="N29" s="10">
        <f t="shared" si="1"/>
        <v>15583.865178653623</v>
      </c>
      <c r="O29" s="67">
        <f t="shared" si="5"/>
        <v>37718.129623098066</v>
      </c>
      <c r="P29" s="315"/>
      <c r="Q29" s="316"/>
      <c r="R29" s="312"/>
      <c r="S29" s="312"/>
      <c r="T29" s="317"/>
    </row>
    <row r="30" spans="1:20" s="311" customFormat="1" x14ac:dyDescent="0.25">
      <c r="A30" s="324">
        <f>'A) Base RI'!A31</f>
        <v>5430</v>
      </c>
      <c r="B30" s="324" t="str">
        <f>'A) Base RI'!B31</f>
        <v>Marchissy</v>
      </c>
      <c r="C30" s="383">
        <v>0</v>
      </c>
      <c r="D30" s="313">
        <f>'B) D RI'!AR31</f>
        <v>430</v>
      </c>
      <c r="E30" s="314">
        <f>'B) D RI'!S31</f>
        <v>79</v>
      </c>
      <c r="F30" s="10">
        <f>'B) D RI'!R31</f>
        <v>835280.04999999993</v>
      </c>
      <c r="G30" s="10">
        <f>'B) D RI'!U31</f>
        <v>10573.165189873416</v>
      </c>
      <c r="H30" s="44">
        <f>'B) D RI'!T31</f>
        <v>754922.1</v>
      </c>
      <c r="I30" s="10">
        <f t="shared" si="2"/>
        <v>19111.951898734176</v>
      </c>
      <c r="J30" s="34">
        <f t="shared" si="3"/>
        <v>37417.23198406634</v>
      </c>
      <c r="K30" s="10">
        <f t="shared" si="0"/>
        <v>19111.951898734176</v>
      </c>
      <c r="L30" s="10">
        <f t="shared" si="4"/>
        <v>18305.280085332164</v>
      </c>
      <c r="M30" s="10">
        <f>'D) Ecrêtage'!M29</f>
        <v>10573.165189873416</v>
      </c>
      <c r="N30" s="10">
        <f t="shared" si="1"/>
        <v>13537.593407128401</v>
      </c>
      <c r="O30" s="67">
        <f t="shared" si="5"/>
        <v>32649.545305862579</v>
      </c>
      <c r="P30" s="315"/>
      <c r="Q30" s="316"/>
      <c r="R30" s="312"/>
      <c r="S30" s="312"/>
      <c r="T30" s="317"/>
    </row>
    <row r="31" spans="1:20" s="311" customFormat="1" x14ac:dyDescent="0.25">
      <c r="A31" s="324">
        <f>'A) Base RI'!A32</f>
        <v>5431</v>
      </c>
      <c r="B31" s="324" t="str">
        <f>'A) Base RI'!B32</f>
        <v>Mollens</v>
      </c>
      <c r="C31" s="383">
        <v>0</v>
      </c>
      <c r="D31" s="313">
        <f>'B) D RI'!AR32</f>
        <v>295</v>
      </c>
      <c r="E31" s="314">
        <f>'B) D RI'!S32</f>
        <v>74</v>
      </c>
      <c r="F31" s="10">
        <f>'B) D RI'!R32</f>
        <v>829246.3</v>
      </c>
      <c r="G31" s="10">
        <f>'B) D RI'!U32</f>
        <v>11206.031081081082</v>
      </c>
      <c r="H31" s="44">
        <f>'B) D RI'!T32</f>
        <v>780614</v>
      </c>
      <c r="I31" s="10">
        <f t="shared" si="2"/>
        <v>21097.675675675677</v>
      </c>
      <c r="J31" s="34">
        <f t="shared" si="3"/>
        <v>25669.961477440862</v>
      </c>
      <c r="K31" s="10">
        <f t="shared" si="0"/>
        <v>21097.675675675677</v>
      </c>
      <c r="L31" s="10">
        <f t="shared" si="4"/>
        <v>4572.2858017651852</v>
      </c>
      <c r="M31" s="10">
        <f>'D) Ecrêtage'!M30</f>
        <v>11206.031081081082</v>
      </c>
      <c r="N31" s="10">
        <f t="shared" si="1"/>
        <v>14347.897697523387</v>
      </c>
      <c r="O31" s="67">
        <f t="shared" si="5"/>
        <v>35445.573373199062</v>
      </c>
      <c r="P31" s="315"/>
      <c r="Q31" s="316"/>
      <c r="R31" s="312"/>
      <c r="S31" s="312"/>
      <c r="T31" s="317"/>
    </row>
    <row r="32" spans="1:20" s="311" customFormat="1" x14ac:dyDescent="0.25">
      <c r="A32" s="324">
        <f>'A) Base RI'!A33</f>
        <v>5432</v>
      </c>
      <c r="B32" s="324" t="str">
        <f>'A) Base RI'!B33</f>
        <v>Montherod</v>
      </c>
      <c r="C32" s="383">
        <v>0</v>
      </c>
      <c r="D32" s="313">
        <f>'B) D RI'!AR33</f>
        <v>522</v>
      </c>
      <c r="E32" s="314">
        <f>'B) D RI'!S33</f>
        <v>78</v>
      </c>
      <c r="F32" s="10">
        <f>'B) D RI'!R33</f>
        <v>1382582.7000000002</v>
      </c>
      <c r="G32" s="10">
        <f>'B) D RI'!U33</f>
        <v>17725.419230769232</v>
      </c>
      <c r="H32" s="44">
        <f>'B) D RI'!T33</f>
        <v>1285891.8000000003</v>
      </c>
      <c r="I32" s="10">
        <f t="shared" si="2"/>
        <v>32971.584615384621</v>
      </c>
      <c r="J32" s="34">
        <f t="shared" si="3"/>
        <v>45422.779292285188</v>
      </c>
      <c r="K32" s="10">
        <f t="shared" si="0"/>
        <v>32971.584615384621</v>
      </c>
      <c r="L32" s="10">
        <f t="shared" si="4"/>
        <v>12451.194676900566</v>
      </c>
      <c r="M32" s="10">
        <f>'D) Ecrêtage'!M31</f>
        <v>17725.419230769232</v>
      </c>
      <c r="N32" s="10">
        <f t="shared" si="1"/>
        <v>22695.145134672901</v>
      </c>
      <c r="O32" s="67">
        <f t="shared" si="5"/>
        <v>55666.729750057522</v>
      </c>
      <c r="P32" s="315"/>
      <c r="Q32" s="316"/>
      <c r="R32" s="312"/>
      <c r="S32" s="312"/>
      <c r="T32" s="317"/>
    </row>
    <row r="33" spans="1:20" s="311" customFormat="1" x14ac:dyDescent="0.25">
      <c r="A33" s="324">
        <f>'A) Base RI'!A34</f>
        <v>5434</v>
      </c>
      <c r="B33" s="324" t="str">
        <f>'A) Base RI'!B34</f>
        <v>Saint-George</v>
      </c>
      <c r="C33" s="383">
        <v>0</v>
      </c>
      <c r="D33" s="313">
        <f>'B) D RI'!AR34</f>
        <v>991</v>
      </c>
      <c r="E33" s="314">
        <f>'B) D RI'!S34</f>
        <v>68.5</v>
      </c>
      <c r="F33" s="10">
        <f>'B) D RI'!R34</f>
        <v>2458857.5799999996</v>
      </c>
      <c r="G33" s="10">
        <f>'B) D RI'!U34</f>
        <v>35895.731094890507</v>
      </c>
      <c r="H33" s="44">
        <f>'B) D RI'!T34</f>
        <v>2258271.1799999997</v>
      </c>
      <c r="I33" s="10">
        <f t="shared" si="2"/>
        <v>65934.924963503639</v>
      </c>
      <c r="J33" s="34">
        <f t="shared" si="3"/>
        <v>86233.667200487776</v>
      </c>
      <c r="K33" s="10">
        <f t="shared" si="0"/>
        <v>65934.924963503639</v>
      </c>
      <c r="L33" s="10">
        <f t="shared" si="4"/>
        <v>20298.742236984137</v>
      </c>
      <c r="M33" s="10">
        <f>'D) Ecrêtage'!M32</f>
        <v>35895.731094890507</v>
      </c>
      <c r="N33" s="10">
        <f t="shared" si="1"/>
        <v>45959.918708132987</v>
      </c>
      <c r="O33" s="67">
        <f t="shared" si="5"/>
        <v>111894.84367163663</v>
      </c>
      <c r="P33" s="315"/>
      <c r="Q33" s="316"/>
      <c r="R33" s="312"/>
      <c r="S33" s="312"/>
      <c r="T33" s="317"/>
    </row>
    <row r="34" spans="1:20" s="311" customFormat="1" x14ac:dyDescent="0.25">
      <c r="A34" s="324">
        <f>'A) Base RI'!A35</f>
        <v>5435</v>
      </c>
      <c r="B34" s="324" t="str">
        <f>'A) Base RI'!B35</f>
        <v>Saint-Livres</v>
      </c>
      <c r="C34" s="383">
        <v>0</v>
      </c>
      <c r="D34" s="313">
        <f>'B) D RI'!AR35</f>
        <v>689</v>
      </c>
      <c r="E34" s="314">
        <f>'B) D RI'!S35</f>
        <v>69</v>
      </c>
      <c r="F34" s="10">
        <f>'B) D RI'!R35</f>
        <v>1545470.94</v>
      </c>
      <c r="G34" s="10">
        <f>'B) D RI'!U35</f>
        <v>22398.12956521739</v>
      </c>
      <c r="H34" s="44">
        <f>'B) D RI'!T35</f>
        <v>1428073.74</v>
      </c>
      <c r="I34" s="10">
        <f t="shared" si="2"/>
        <v>41393.441739130438</v>
      </c>
      <c r="J34" s="34">
        <f t="shared" si="3"/>
        <v>59954.587993073743</v>
      </c>
      <c r="K34" s="10">
        <f t="shared" si="0"/>
        <v>41393.441739130438</v>
      </c>
      <c r="L34" s="10">
        <f t="shared" si="4"/>
        <v>18561.146253943305</v>
      </c>
      <c r="M34" s="10">
        <f>'D) Ecrêtage'!M33</f>
        <v>22398.12956521739</v>
      </c>
      <c r="N34" s="10">
        <f t="shared" si="1"/>
        <v>28677.956476505671</v>
      </c>
      <c r="O34" s="67">
        <f t="shared" si="5"/>
        <v>70071.398215636116</v>
      </c>
      <c r="P34" s="315"/>
      <c r="Q34" s="316"/>
      <c r="R34" s="312"/>
      <c r="S34" s="312"/>
      <c r="T34" s="317"/>
    </row>
    <row r="35" spans="1:20" s="311" customFormat="1" x14ac:dyDescent="0.25">
      <c r="A35" s="324">
        <f>'A) Base RI'!A36</f>
        <v>5436</v>
      </c>
      <c r="B35" s="324" t="str">
        <f>'A) Base RI'!B36</f>
        <v>Saint-Oyens</v>
      </c>
      <c r="C35" s="383">
        <v>0</v>
      </c>
      <c r="D35" s="313">
        <f>'B) D RI'!AR36</f>
        <v>350</v>
      </c>
      <c r="E35" s="314">
        <f>'B) D RI'!S36</f>
        <v>81</v>
      </c>
      <c r="F35" s="10">
        <f>'B) D RI'!R36</f>
        <v>848442.99</v>
      </c>
      <c r="G35" s="10">
        <f>'B) D RI'!U36</f>
        <v>10474.604814814815</v>
      </c>
      <c r="H35" s="44">
        <f>'B) D RI'!T36</f>
        <v>787549.74</v>
      </c>
      <c r="I35" s="10">
        <f t="shared" si="2"/>
        <v>19445.672592592593</v>
      </c>
      <c r="J35" s="34">
        <f t="shared" si="3"/>
        <v>30455.886498658652</v>
      </c>
      <c r="K35" s="10">
        <f t="shared" si="0"/>
        <v>19445.672592592593</v>
      </c>
      <c r="L35" s="10">
        <f t="shared" si="4"/>
        <v>11010.213906066059</v>
      </c>
      <c r="M35" s="10">
        <f>'D) Ecrêtage'!M34</f>
        <v>10474.604814814815</v>
      </c>
      <c r="N35" s="10">
        <f t="shared" si="1"/>
        <v>13411.399381059902</v>
      </c>
      <c r="O35" s="67">
        <f t="shared" si="5"/>
        <v>32857.071973652492</v>
      </c>
      <c r="P35" s="315"/>
      <c r="Q35" s="316"/>
      <c r="R35" s="312"/>
      <c r="S35" s="312"/>
      <c r="T35" s="317"/>
    </row>
    <row r="36" spans="1:20" s="311" customFormat="1" x14ac:dyDescent="0.25">
      <c r="A36" s="324">
        <f>'A) Base RI'!A37</f>
        <v>5437</v>
      </c>
      <c r="B36" s="324" t="str">
        <f>'A) Base RI'!B37</f>
        <v>Saubraz</v>
      </c>
      <c r="C36" s="383">
        <v>0</v>
      </c>
      <c r="D36" s="313">
        <f>'B) D RI'!AR37</f>
        <v>420</v>
      </c>
      <c r="E36" s="314">
        <f>'B) D RI'!S37</f>
        <v>80</v>
      </c>
      <c r="F36" s="10">
        <f>'B) D RI'!R37</f>
        <v>811103.45</v>
      </c>
      <c r="G36" s="10">
        <f>'B) D RI'!U37</f>
        <v>10138.793125</v>
      </c>
      <c r="H36" s="44">
        <f>'B) D RI'!T37</f>
        <v>751033.2</v>
      </c>
      <c r="I36" s="10">
        <f t="shared" si="2"/>
        <v>18775.829999999998</v>
      </c>
      <c r="J36" s="34">
        <f t="shared" si="3"/>
        <v>36547.06379839038</v>
      </c>
      <c r="K36" s="10">
        <f t="shared" si="0"/>
        <v>18775.829999999998</v>
      </c>
      <c r="L36" s="10">
        <f t="shared" si="4"/>
        <v>17771.233798390382</v>
      </c>
      <c r="M36" s="10">
        <f>'D) Ecrêtage'!M35</f>
        <v>10138.793125</v>
      </c>
      <c r="N36" s="10">
        <f t="shared" si="1"/>
        <v>12981.435218348461</v>
      </c>
      <c r="O36" s="67">
        <f t="shared" si="5"/>
        <v>31757.265218348461</v>
      </c>
      <c r="P36" s="315"/>
      <c r="Q36" s="316"/>
      <c r="R36" s="312"/>
      <c r="S36" s="312"/>
      <c r="T36" s="317"/>
    </row>
    <row r="37" spans="1:20" s="311" customFormat="1" x14ac:dyDescent="0.25">
      <c r="A37" s="324">
        <f>'A) Base RI'!A38</f>
        <v>5451</v>
      </c>
      <c r="B37" s="324" t="str">
        <f>'A) Base RI'!B38</f>
        <v>Avenches</v>
      </c>
      <c r="C37" s="383">
        <v>0</v>
      </c>
      <c r="D37" s="313">
        <f>'B) D RI'!AR38</f>
        <v>4129</v>
      </c>
      <c r="E37" s="314">
        <f>'B) D RI'!S38</f>
        <v>68</v>
      </c>
      <c r="F37" s="10">
        <f>'B) D RI'!R38</f>
        <v>7426132.0199999996</v>
      </c>
      <c r="G37" s="10">
        <f>'B) D RI'!U38</f>
        <v>109207.82382352941</v>
      </c>
      <c r="H37" s="44">
        <f>'B) D RI'!T38</f>
        <v>6531329.0199999996</v>
      </c>
      <c r="I37" s="10">
        <f t="shared" si="2"/>
        <v>192097.91235294117</v>
      </c>
      <c r="J37" s="34">
        <f t="shared" si="3"/>
        <v>359292.44386560447</v>
      </c>
      <c r="K37" s="10">
        <f t="shared" si="0"/>
        <v>192097.91235294117</v>
      </c>
      <c r="L37" s="10">
        <f t="shared" si="4"/>
        <v>167194.53151266329</v>
      </c>
      <c r="M37" s="10">
        <f>'D) Ecrêtage'!M36</f>
        <v>109207.82382352941</v>
      </c>
      <c r="N37" s="10">
        <f t="shared" si="1"/>
        <v>139826.73014663754</v>
      </c>
      <c r="O37" s="67">
        <f t="shared" si="5"/>
        <v>331924.64249957871</v>
      </c>
      <c r="P37" s="315"/>
      <c r="Q37" s="316"/>
      <c r="R37" s="312"/>
      <c r="S37" s="312"/>
      <c r="T37" s="317"/>
    </row>
    <row r="38" spans="1:20" s="311" customFormat="1" x14ac:dyDescent="0.25">
      <c r="A38" s="324">
        <f>'A) Base RI'!A39</f>
        <v>5456</v>
      </c>
      <c r="B38" s="324" t="str">
        <f>'A) Base RI'!B39</f>
        <v>Cudrefin</v>
      </c>
      <c r="C38" s="383">
        <v>0</v>
      </c>
      <c r="D38" s="313">
        <f>'B) D RI'!AR39</f>
        <v>1555</v>
      </c>
      <c r="E38" s="314">
        <f>'B) D RI'!S39</f>
        <v>59</v>
      </c>
      <c r="F38" s="10">
        <f>'B) D RI'!R39</f>
        <v>3031055.3000000003</v>
      </c>
      <c r="G38" s="10">
        <f>'B) D RI'!U39</f>
        <v>51373.818644067804</v>
      </c>
      <c r="H38" s="44">
        <f>'B) D RI'!T39</f>
        <v>2748974.4000000004</v>
      </c>
      <c r="I38" s="10">
        <f t="shared" si="2"/>
        <v>93185.57288135594</v>
      </c>
      <c r="J38" s="34">
        <f t="shared" si="3"/>
        <v>135311.152872612</v>
      </c>
      <c r="K38" s="10">
        <f t="shared" si="0"/>
        <v>93185.57288135594</v>
      </c>
      <c r="L38" s="10">
        <f t="shared" si="4"/>
        <v>42125.579991256061</v>
      </c>
      <c r="M38" s="10">
        <f>'D) Ecrêtage'!M37</f>
        <v>51373.818644067804</v>
      </c>
      <c r="N38" s="10">
        <f t="shared" ref="N38:N69" si="6">+$N$5*M38</f>
        <v>65777.641423879875</v>
      </c>
      <c r="O38" s="67">
        <f t="shared" si="5"/>
        <v>158963.21430523583</v>
      </c>
      <c r="P38" s="315"/>
      <c r="Q38" s="316"/>
      <c r="R38" s="312"/>
      <c r="S38" s="312"/>
      <c r="T38" s="317"/>
    </row>
    <row r="39" spans="1:20" s="311" customFormat="1" x14ac:dyDescent="0.25">
      <c r="A39" s="324">
        <f>'A) Base RI'!A40</f>
        <v>5458</v>
      </c>
      <c r="B39" s="324" t="str">
        <f>'A) Base RI'!B40</f>
        <v>Faoug</v>
      </c>
      <c r="C39" s="383">
        <v>0</v>
      </c>
      <c r="D39" s="313">
        <f>'B) D RI'!AR40</f>
        <v>870</v>
      </c>
      <c r="E39" s="314">
        <f>'B) D RI'!S40</f>
        <v>64</v>
      </c>
      <c r="F39" s="10">
        <f>'B) D RI'!R40</f>
        <v>2028293.9500000002</v>
      </c>
      <c r="G39" s="10">
        <f>'B) D RI'!U40</f>
        <v>31692.092968750003</v>
      </c>
      <c r="H39" s="44">
        <f>'B) D RI'!T40</f>
        <v>1860295.6</v>
      </c>
      <c r="I39" s="10">
        <f t="shared" si="2"/>
        <v>58134.237500000003</v>
      </c>
      <c r="J39" s="34">
        <f t="shared" si="3"/>
        <v>75704.632153808649</v>
      </c>
      <c r="K39" s="10">
        <f t="shared" si="0"/>
        <v>58134.237500000003</v>
      </c>
      <c r="L39" s="10">
        <f t="shared" si="4"/>
        <v>17570.394653808646</v>
      </c>
      <c r="M39" s="10">
        <f>'D) Ecrêtage'!M38</f>
        <v>31692.092968750003</v>
      </c>
      <c r="N39" s="10">
        <f t="shared" si="6"/>
        <v>40577.694675834995</v>
      </c>
      <c r="O39" s="67">
        <f t="shared" si="5"/>
        <v>98711.932175834998</v>
      </c>
      <c r="P39" s="315"/>
      <c r="Q39" s="316"/>
      <c r="R39" s="312"/>
      <c r="S39" s="312"/>
      <c r="T39" s="317"/>
    </row>
    <row r="40" spans="1:20" s="311" customFormat="1" x14ac:dyDescent="0.25">
      <c r="A40" s="324">
        <f>'A) Base RI'!A41</f>
        <v>5464</v>
      </c>
      <c r="B40" s="324" t="str">
        <f>'A) Base RI'!B41</f>
        <v>Vully-les-Lacs</v>
      </c>
      <c r="C40" s="383">
        <v>0</v>
      </c>
      <c r="D40" s="313">
        <f>'B) D RI'!AR41</f>
        <v>2935</v>
      </c>
      <c r="E40" s="314">
        <f>'B) D RI'!S41</f>
        <v>67</v>
      </c>
      <c r="F40" s="10">
        <f>'B) D RI'!R41</f>
        <v>6452795.8033333328</v>
      </c>
      <c r="G40" s="10">
        <f>'B) D RI'!U41</f>
        <v>96310.385124378095</v>
      </c>
      <c r="H40" s="44">
        <f>'B) D RI'!T41</f>
        <v>5877993.2699999996</v>
      </c>
      <c r="I40" s="10">
        <f t="shared" si="2"/>
        <v>175462.48567164177</v>
      </c>
      <c r="J40" s="34">
        <f t="shared" si="3"/>
        <v>255394.36249589469</v>
      </c>
      <c r="K40" s="10">
        <f t="shared" si="0"/>
        <v>175462.48567164177</v>
      </c>
      <c r="L40" s="10">
        <f t="shared" si="4"/>
        <v>79931.876824252919</v>
      </c>
      <c r="M40" s="10">
        <f>'D) Ecrêtage'!M39</f>
        <v>96310.385124378095</v>
      </c>
      <c r="N40" s="10">
        <f t="shared" si="6"/>
        <v>123313.20009513514</v>
      </c>
      <c r="O40" s="67">
        <f t="shared" si="5"/>
        <v>298775.68576677691</v>
      </c>
      <c r="P40" s="315"/>
      <c r="Q40" s="316"/>
      <c r="R40" s="312"/>
      <c r="S40" s="312"/>
      <c r="T40" s="317"/>
    </row>
    <row r="41" spans="1:20" s="311" customFormat="1" x14ac:dyDescent="0.25">
      <c r="A41" s="324">
        <f>'A) Base RI'!A42</f>
        <v>5471</v>
      </c>
      <c r="B41" s="324" t="str">
        <f>'A) Base RI'!B42</f>
        <v>Bettens</v>
      </c>
      <c r="C41" s="383">
        <v>0</v>
      </c>
      <c r="D41" s="313">
        <f>'B) D RI'!AR42</f>
        <v>584</v>
      </c>
      <c r="E41" s="314">
        <f>'B) D RI'!S42</f>
        <v>70</v>
      </c>
      <c r="F41" s="10">
        <f>'B) D RI'!R42</f>
        <v>1151436.061111111</v>
      </c>
      <c r="G41" s="10">
        <f>'B) D RI'!U42</f>
        <v>16449.086587301586</v>
      </c>
      <c r="H41" s="44">
        <f>'B) D RI'!T42</f>
        <v>1058255.95</v>
      </c>
      <c r="I41" s="10">
        <f t="shared" si="2"/>
        <v>30235.884285714284</v>
      </c>
      <c r="J41" s="34">
        <f t="shared" si="3"/>
        <v>50817.822043476146</v>
      </c>
      <c r="K41" s="10">
        <f t="shared" si="0"/>
        <v>30235.884285714284</v>
      </c>
      <c r="L41" s="10">
        <f t="shared" si="4"/>
        <v>20581.937757761862</v>
      </c>
      <c r="M41" s="10">
        <f>'D) Ecrêtage'!M40</f>
        <v>16449.086587301586</v>
      </c>
      <c r="N41" s="10">
        <f t="shared" si="6"/>
        <v>21060.963499446105</v>
      </c>
      <c r="O41" s="67">
        <f t="shared" si="5"/>
        <v>51296.847785160389</v>
      </c>
      <c r="P41" s="315"/>
      <c r="Q41" s="316"/>
      <c r="R41" s="312"/>
      <c r="S41" s="312"/>
      <c r="T41" s="317"/>
    </row>
    <row r="42" spans="1:20" s="311" customFormat="1" x14ac:dyDescent="0.25">
      <c r="A42" s="324">
        <f>'A) Base RI'!A43</f>
        <v>5472</v>
      </c>
      <c r="B42" s="324" t="str">
        <f>'A) Base RI'!B43</f>
        <v>Bournens</v>
      </c>
      <c r="C42" s="383">
        <v>0</v>
      </c>
      <c r="D42" s="313">
        <f>'B) D RI'!AR43</f>
        <v>370</v>
      </c>
      <c r="E42" s="314">
        <f>'B) D RI'!S43</f>
        <v>80</v>
      </c>
      <c r="F42" s="10">
        <f>'B) D RI'!R43</f>
        <v>1135344.0899999999</v>
      </c>
      <c r="G42" s="10">
        <f>'B) D RI'!U43</f>
        <v>14191.801124999998</v>
      </c>
      <c r="H42" s="44">
        <f>'B) D RI'!T43</f>
        <v>1064726.94</v>
      </c>
      <c r="I42" s="10">
        <f t="shared" si="2"/>
        <v>26618.173499999997</v>
      </c>
      <c r="J42" s="34">
        <f t="shared" si="3"/>
        <v>32196.222870010573</v>
      </c>
      <c r="K42" s="10">
        <f t="shared" si="0"/>
        <v>26618.173499999997</v>
      </c>
      <c r="L42" s="10">
        <f t="shared" si="4"/>
        <v>5578.0493700105762</v>
      </c>
      <c r="M42" s="10">
        <f>'D) Ecrêtage'!M41</f>
        <v>14191.801124999998</v>
      </c>
      <c r="N42" s="10">
        <f t="shared" si="6"/>
        <v>18170.796530171068</v>
      </c>
      <c r="O42" s="67">
        <f t="shared" si="5"/>
        <v>44788.970030171069</v>
      </c>
      <c r="P42" s="315"/>
      <c r="Q42" s="316"/>
      <c r="R42" s="312"/>
      <c r="S42" s="312"/>
      <c r="T42" s="317"/>
    </row>
    <row r="43" spans="1:20" s="311" customFormat="1" x14ac:dyDescent="0.25">
      <c r="A43" s="324">
        <f>'A) Base RI'!A44</f>
        <v>5473</v>
      </c>
      <c r="B43" s="324" t="str">
        <f>'A) Base RI'!B44</f>
        <v>Boussens</v>
      </c>
      <c r="C43" s="383">
        <v>0</v>
      </c>
      <c r="D43" s="313">
        <f>'B) D RI'!AR44</f>
        <v>980</v>
      </c>
      <c r="E43" s="314">
        <f>'B) D RI'!S44</f>
        <v>69</v>
      </c>
      <c r="F43" s="10">
        <f>'B) D RI'!R44</f>
        <v>2260236.65</v>
      </c>
      <c r="G43" s="10">
        <f>'B) D RI'!U44</f>
        <v>32757.052898550723</v>
      </c>
      <c r="H43" s="44">
        <f>'B) D RI'!T44</f>
        <v>2090643.45</v>
      </c>
      <c r="I43" s="10">
        <f t="shared" si="2"/>
        <v>60598.360869565215</v>
      </c>
      <c r="J43" s="34">
        <f t="shared" si="3"/>
        <v>85276.482196244222</v>
      </c>
      <c r="K43" s="10">
        <f t="shared" si="0"/>
        <v>60598.360869565215</v>
      </c>
      <c r="L43" s="10">
        <f t="shared" si="4"/>
        <v>24678.121326679007</v>
      </c>
      <c r="M43" s="10">
        <f>'D) Ecrêtage'!M42</f>
        <v>32757.052898550723</v>
      </c>
      <c r="N43" s="10">
        <f t="shared" si="6"/>
        <v>41941.240432060782</v>
      </c>
      <c r="O43" s="67">
        <f t="shared" si="5"/>
        <v>102539.601301626</v>
      </c>
      <c r="P43" s="315"/>
      <c r="Q43" s="316"/>
      <c r="R43" s="312"/>
      <c r="S43" s="312"/>
      <c r="T43" s="317"/>
    </row>
    <row r="44" spans="1:20" s="311" customFormat="1" x14ac:dyDescent="0.25">
      <c r="A44" s="324">
        <f>'A) Base RI'!A45</f>
        <v>5474</v>
      </c>
      <c r="B44" s="324" t="str">
        <f>'A) Base RI'!B45</f>
        <v>La Chaux (Cossonay)</v>
      </c>
      <c r="C44" s="383">
        <v>0</v>
      </c>
      <c r="D44" s="313">
        <f>'B) D RI'!AR45</f>
        <v>421</v>
      </c>
      <c r="E44" s="314">
        <f>'B) D RI'!S45</f>
        <v>77</v>
      </c>
      <c r="F44" s="10">
        <f>'B) D RI'!R45</f>
        <v>995214.1316666666</v>
      </c>
      <c r="G44" s="10">
        <f>'B) D RI'!U45</f>
        <v>12924.858852813852</v>
      </c>
      <c r="H44" s="44">
        <f>'B) D RI'!T45</f>
        <v>929056.34</v>
      </c>
      <c r="I44" s="10">
        <f t="shared" si="2"/>
        <v>24131.333506493505</v>
      </c>
      <c r="J44" s="34">
        <f t="shared" si="3"/>
        <v>36634.080616957981</v>
      </c>
      <c r="K44" s="10">
        <f t="shared" si="0"/>
        <v>24131.333506493505</v>
      </c>
      <c r="L44" s="10">
        <f t="shared" si="4"/>
        <v>12502.747110464476</v>
      </c>
      <c r="M44" s="10">
        <f>'D) Ecrêtage'!M43</f>
        <v>12924.858852813852</v>
      </c>
      <c r="N44" s="10">
        <f t="shared" si="6"/>
        <v>16548.638071170884</v>
      </c>
      <c r="O44" s="67">
        <f t="shared" si="5"/>
        <v>40679.971577664386</v>
      </c>
      <c r="P44" s="315"/>
      <c r="Q44" s="316"/>
      <c r="R44" s="312"/>
      <c r="S44" s="312"/>
      <c r="T44" s="317"/>
    </row>
    <row r="45" spans="1:20" s="311" customFormat="1" x14ac:dyDescent="0.25">
      <c r="A45" s="324">
        <f>'A) Base RI'!A46</f>
        <v>5475</v>
      </c>
      <c r="B45" s="324" t="str">
        <f>'A) Base RI'!B46</f>
        <v>Chavannes-le-Veyron</v>
      </c>
      <c r="C45" s="383">
        <v>0</v>
      </c>
      <c r="D45" s="313">
        <f>'B) D RI'!AR46</f>
        <v>143</v>
      </c>
      <c r="E45" s="314">
        <f>'B) D RI'!S46</f>
        <v>77</v>
      </c>
      <c r="F45" s="10">
        <f>'B) D RI'!R46</f>
        <v>205805.17999999996</v>
      </c>
      <c r="G45" s="10">
        <f>'B) D RI'!U46</f>
        <v>2672.7945454545452</v>
      </c>
      <c r="H45" s="44">
        <f>'B) D RI'!T46</f>
        <v>186301.87999999998</v>
      </c>
      <c r="I45" s="10">
        <f t="shared" si="2"/>
        <v>4839.0098701298693</v>
      </c>
      <c r="J45" s="34">
        <f t="shared" si="3"/>
        <v>12443.405055166249</v>
      </c>
      <c r="K45" s="10">
        <f t="shared" si="0"/>
        <v>4839.0098701298693</v>
      </c>
      <c r="L45" s="10">
        <f t="shared" si="4"/>
        <v>7604.3951850363801</v>
      </c>
      <c r="M45" s="10">
        <f>'D) Ecrêtage'!M44</f>
        <v>2672.7945454545452</v>
      </c>
      <c r="N45" s="10">
        <f t="shared" si="6"/>
        <v>3422.1735088192067</v>
      </c>
      <c r="O45" s="67">
        <f t="shared" si="5"/>
        <v>8261.1833789490756</v>
      </c>
      <c r="P45" s="315"/>
      <c r="Q45" s="316"/>
      <c r="R45" s="312"/>
      <c r="S45" s="312"/>
      <c r="T45" s="317"/>
    </row>
    <row r="46" spans="1:20" s="311" customFormat="1" x14ac:dyDescent="0.25">
      <c r="A46" s="324">
        <f>'A) Base RI'!A47</f>
        <v>5476</v>
      </c>
      <c r="B46" s="324" t="str">
        <f>'A) Base RI'!B47</f>
        <v>Chevilly</v>
      </c>
      <c r="C46" s="383">
        <v>0</v>
      </c>
      <c r="D46" s="313">
        <f>'B) D RI'!AR47</f>
        <v>299</v>
      </c>
      <c r="E46" s="314">
        <f>'B) D RI'!S47</f>
        <v>74</v>
      </c>
      <c r="F46" s="10">
        <f>'B) D RI'!R47</f>
        <v>758348.46</v>
      </c>
      <c r="G46" s="10">
        <f>'B) D RI'!U47</f>
        <v>10247.952162162162</v>
      </c>
      <c r="H46" s="44">
        <f>'B) D RI'!T47</f>
        <v>709377.76</v>
      </c>
      <c r="I46" s="10">
        <f t="shared" si="2"/>
        <v>19172.371891891893</v>
      </c>
      <c r="J46" s="34">
        <f t="shared" si="3"/>
        <v>26018.028751711248</v>
      </c>
      <c r="K46" s="10">
        <f t="shared" si="0"/>
        <v>19172.371891891893</v>
      </c>
      <c r="L46" s="10">
        <f t="shared" si="4"/>
        <v>6845.6568598193553</v>
      </c>
      <c r="M46" s="10">
        <f>'D) Ecrêtage'!M45</f>
        <v>10247.952162162162</v>
      </c>
      <c r="N46" s="10">
        <f t="shared" si="6"/>
        <v>13121.199483379552</v>
      </c>
      <c r="O46" s="67">
        <f t="shared" si="5"/>
        <v>32293.571375271444</v>
      </c>
      <c r="P46" s="315"/>
      <c r="Q46" s="316"/>
      <c r="R46" s="312"/>
      <c r="S46" s="312"/>
      <c r="T46" s="317"/>
    </row>
    <row r="47" spans="1:20" s="311" customFormat="1" x14ac:dyDescent="0.25">
      <c r="A47" s="324">
        <f>'A) Base RI'!A48</f>
        <v>5477</v>
      </c>
      <c r="B47" s="324" t="str">
        <f>'A) Base RI'!B48</f>
        <v>Cossonay</v>
      </c>
      <c r="C47" s="383">
        <v>0</v>
      </c>
      <c r="D47" s="313">
        <f>'B) D RI'!AR48</f>
        <v>3632</v>
      </c>
      <c r="E47" s="314">
        <f>'B) D RI'!S48</f>
        <v>69.3</v>
      </c>
      <c r="F47" s="10">
        <f>'B) D RI'!R48</f>
        <v>8727440.0099999998</v>
      </c>
      <c r="G47" s="10">
        <f>'B) D RI'!U48</f>
        <v>125937.08528138528</v>
      </c>
      <c r="H47" s="44">
        <f>'B) D RI'!T48</f>
        <v>8167333.9100000001</v>
      </c>
      <c r="I47" s="10">
        <f t="shared" si="2"/>
        <v>235709.49235209238</v>
      </c>
      <c r="J47" s="34">
        <f t="shared" si="3"/>
        <v>316045.08503750921</v>
      </c>
      <c r="K47" s="10">
        <f t="shared" si="0"/>
        <v>235709.49235209238</v>
      </c>
      <c r="L47" s="10">
        <f t="shared" si="4"/>
        <v>80335.592685416836</v>
      </c>
      <c r="M47" s="10">
        <f>'D) Ecrêtage'!M46</f>
        <v>125937.08528138528</v>
      </c>
      <c r="N47" s="10">
        <f t="shared" si="6"/>
        <v>161246.42193721933</v>
      </c>
      <c r="O47" s="67">
        <f t="shared" si="5"/>
        <v>396955.91428931174</v>
      </c>
      <c r="P47" s="315"/>
      <c r="Q47" s="316"/>
      <c r="R47" s="312"/>
      <c r="S47" s="312"/>
      <c r="T47" s="317"/>
    </row>
    <row r="48" spans="1:20" s="311" customFormat="1" x14ac:dyDescent="0.25">
      <c r="A48" s="324">
        <f>'A) Base RI'!A49</f>
        <v>5478</v>
      </c>
      <c r="B48" s="324" t="str">
        <f>'A) Base RI'!B49</f>
        <v>Cottens</v>
      </c>
      <c r="C48" s="383">
        <v>0</v>
      </c>
      <c r="D48" s="313">
        <f>'B) D RI'!AR49</f>
        <v>483</v>
      </c>
      <c r="E48" s="314">
        <f>'B) D RI'!S49</f>
        <v>74</v>
      </c>
      <c r="F48" s="10">
        <f>'B) D RI'!R49</f>
        <v>1070433.51</v>
      </c>
      <c r="G48" s="10">
        <f>'B) D RI'!U49</f>
        <v>14465.317702702703</v>
      </c>
      <c r="H48" s="44">
        <f>'B) D RI'!T49</f>
        <v>994203.21</v>
      </c>
      <c r="I48" s="10">
        <f t="shared" si="2"/>
        <v>26870.357027027025</v>
      </c>
      <c r="J48" s="34">
        <f t="shared" si="3"/>
        <v>42029.123368148939</v>
      </c>
      <c r="K48" s="10">
        <f t="shared" si="0"/>
        <v>26870.357027027025</v>
      </c>
      <c r="L48" s="10">
        <f t="shared" si="4"/>
        <v>15158.766341121915</v>
      </c>
      <c r="M48" s="10">
        <f>'D) Ecrêtage'!M47</f>
        <v>14465.317702702703</v>
      </c>
      <c r="N48" s="10">
        <f t="shared" si="6"/>
        <v>18520.999724063739</v>
      </c>
      <c r="O48" s="67">
        <f t="shared" si="5"/>
        <v>45391.35675109076</v>
      </c>
      <c r="P48" s="315"/>
      <c r="Q48" s="316"/>
      <c r="R48" s="312"/>
      <c r="S48" s="312"/>
      <c r="T48" s="317"/>
    </row>
    <row r="49" spans="1:20" s="311" customFormat="1" x14ac:dyDescent="0.25">
      <c r="A49" s="324">
        <f>'A) Base RI'!A50</f>
        <v>5479</v>
      </c>
      <c r="B49" s="324" t="str">
        <f>'A) Base RI'!B50</f>
        <v>Cuarnens</v>
      </c>
      <c r="C49" s="383">
        <v>0</v>
      </c>
      <c r="D49" s="313">
        <f>'B) D RI'!AR50</f>
        <v>481</v>
      </c>
      <c r="E49" s="314">
        <f>'B) D RI'!S50</f>
        <v>77</v>
      </c>
      <c r="F49" s="10">
        <f>'B) D RI'!R50</f>
        <v>890337.09000000008</v>
      </c>
      <c r="G49" s="10">
        <f>'B) D RI'!U50</f>
        <v>11562.819350649352</v>
      </c>
      <c r="H49" s="44">
        <f>'B) D RI'!T50</f>
        <v>822544.34000000008</v>
      </c>
      <c r="I49" s="10">
        <f t="shared" si="2"/>
        <v>21364.788051948053</v>
      </c>
      <c r="J49" s="34">
        <f t="shared" si="3"/>
        <v>41855.089731013744</v>
      </c>
      <c r="K49" s="10">
        <f t="shared" si="0"/>
        <v>21364.788051948053</v>
      </c>
      <c r="L49" s="10">
        <f t="shared" si="4"/>
        <v>20490.301679065691</v>
      </c>
      <c r="M49" s="10">
        <f>'D) Ecrêtage'!M48</f>
        <v>11562.819350649352</v>
      </c>
      <c r="N49" s="10">
        <f t="shared" si="6"/>
        <v>14804.719702959772</v>
      </c>
      <c r="O49" s="67">
        <f t="shared" si="5"/>
        <v>36169.507754907827</v>
      </c>
      <c r="P49" s="315"/>
      <c r="Q49" s="316"/>
      <c r="R49" s="312"/>
      <c r="S49" s="312"/>
      <c r="T49" s="317"/>
    </row>
    <row r="50" spans="1:20" s="311" customFormat="1" x14ac:dyDescent="0.25">
      <c r="A50" s="324">
        <f>'A) Base RI'!A51</f>
        <v>5480</v>
      </c>
      <c r="B50" s="324" t="str">
        <f>'A) Base RI'!B51</f>
        <v>Daillens</v>
      </c>
      <c r="C50" s="383">
        <v>0</v>
      </c>
      <c r="D50" s="313">
        <f>'B) D RI'!AR51</f>
        <v>958</v>
      </c>
      <c r="E50" s="314">
        <f>'B) D RI'!S51</f>
        <v>71</v>
      </c>
      <c r="F50" s="10">
        <f>'B) D RI'!R51</f>
        <v>2474498.63</v>
      </c>
      <c r="G50" s="10">
        <f>'B) D RI'!U51</f>
        <v>34852.093380281687</v>
      </c>
      <c r="H50" s="44">
        <f>'B) D RI'!T51</f>
        <v>2196933.5299999998</v>
      </c>
      <c r="I50" s="10">
        <f t="shared" si="2"/>
        <v>61885.451549295765</v>
      </c>
      <c r="J50" s="34">
        <f t="shared" si="3"/>
        <v>83362.112187757113</v>
      </c>
      <c r="K50" s="10">
        <f t="shared" si="0"/>
        <v>61885.451549295765</v>
      </c>
      <c r="L50" s="10">
        <f t="shared" si="4"/>
        <v>21476.660638461348</v>
      </c>
      <c r="M50" s="10">
        <f>'D) Ecrêtage'!M49</f>
        <v>34852.093380281687</v>
      </c>
      <c r="N50" s="10">
        <f t="shared" si="6"/>
        <v>44623.67333685566</v>
      </c>
      <c r="O50" s="67">
        <f t="shared" si="5"/>
        <v>106509.12488615143</v>
      </c>
      <c r="P50" s="315"/>
      <c r="Q50" s="316"/>
      <c r="R50" s="312"/>
      <c r="S50" s="312"/>
      <c r="T50" s="317"/>
    </row>
    <row r="51" spans="1:20" s="311" customFormat="1" x14ac:dyDescent="0.25">
      <c r="A51" s="324">
        <f>'A) Base RI'!A52</f>
        <v>5481</v>
      </c>
      <c r="B51" s="324" t="str">
        <f>'A) Base RI'!B52</f>
        <v>Dizy</v>
      </c>
      <c r="C51" s="383">
        <v>0</v>
      </c>
      <c r="D51" s="313">
        <f>'B) D RI'!AR52</f>
        <v>222</v>
      </c>
      <c r="E51" s="314">
        <f>'B) D RI'!S52</f>
        <v>79</v>
      </c>
      <c r="F51" s="10">
        <f>'B) D RI'!R52</f>
        <v>703119.96</v>
      </c>
      <c r="G51" s="10">
        <f>'B) D RI'!U52</f>
        <v>8900.2526582278479</v>
      </c>
      <c r="H51" s="44">
        <f>'B) D RI'!T52</f>
        <v>668128.80999999994</v>
      </c>
      <c r="I51" s="10">
        <f t="shared" si="2"/>
        <v>16914.653417721518</v>
      </c>
      <c r="J51" s="34">
        <f t="shared" si="3"/>
        <v>19317.733722006345</v>
      </c>
      <c r="K51" s="10">
        <f t="shared" si="0"/>
        <v>16914.653417721518</v>
      </c>
      <c r="L51" s="10">
        <f t="shared" si="4"/>
        <v>2403.0803042848274</v>
      </c>
      <c r="M51" s="10">
        <f>'D) Ecrêtage'!M50</f>
        <v>8900.2526582278479</v>
      </c>
      <c r="N51" s="10">
        <f t="shared" si="6"/>
        <v>11395.641659245168</v>
      </c>
      <c r="O51" s="67">
        <f t="shared" si="5"/>
        <v>28310.295076966686</v>
      </c>
      <c r="P51" s="315"/>
      <c r="Q51" s="316"/>
      <c r="R51" s="312"/>
      <c r="S51" s="312"/>
      <c r="T51" s="317"/>
    </row>
    <row r="52" spans="1:20" s="311" customFormat="1" x14ac:dyDescent="0.25">
      <c r="A52" s="324">
        <f>'A) Base RI'!A53</f>
        <v>5482</v>
      </c>
      <c r="B52" s="324" t="str">
        <f>'A) Base RI'!B53</f>
        <v>Eclépens</v>
      </c>
      <c r="C52" s="383">
        <v>0</v>
      </c>
      <c r="D52" s="313">
        <f>'B) D RI'!AR53</f>
        <v>1043</v>
      </c>
      <c r="E52" s="314">
        <f>'B) D RI'!S53</f>
        <v>46</v>
      </c>
      <c r="F52" s="10">
        <f>'B) D RI'!R53</f>
        <v>1232432.3400000001</v>
      </c>
      <c r="G52" s="10">
        <f>'B) D RI'!U53</f>
        <v>26792.007391304349</v>
      </c>
      <c r="H52" s="44">
        <f>'B) D RI'!T53</f>
        <v>812164.74000000011</v>
      </c>
      <c r="I52" s="10">
        <f t="shared" si="2"/>
        <v>35311.510434782613</v>
      </c>
      <c r="J52" s="34">
        <f t="shared" si="3"/>
        <v>90758.541766002774</v>
      </c>
      <c r="K52" s="10">
        <f t="shared" si="0"/>
        <v>35311.510434782613</v>
      </c>
      <c r="L52" s="10">
        <f t="shared" si="4"/>
        <v>55447.031331220162</v>
      </c>
      <c r="M52" s="10">
        <f>'D) Ecrêtage'!M51</f>
        <v>26792.007391304349</v>
      </c>
      <c r="N52" s="10">
        <f t="shared" si="6"/>
        <v>34303.758251279098</v>
      </c>
      <c r="O52" s="67">
        <f t="shared" si="5"/>
        <v>69615.26868606171</v>
      </c>
      <c r="P52" s="315"/>
      <c r="Q52" s="316"/>
      <c r="R52" s="312"/>
      <c r="S52" s="312"/>
      <c r="T52" s="317"/>
    </row>
    <row r="53" spans="1:20" s="311" customFormat="1" x14ac:dyDescent="0.25">
      <c r="A53" s="324">
        <f>'A) Base RI'!A54</f>
        <v>5483</v>
      </c>
      <c r="B53" s="324" t="str">
        <f>'A) Base RI'!B54</f>
        <v>Ferreyres</v>
      </c>
      <c r="C53" s="383">
        <v>0</v>
      </c>
      <c r="D53" s="313">
        <f>'B) D RI'!AR54</f>
        <v>316</v>
      </c>
      <c r="E53" s="314">
        <f>'B) D RI'!S54</f>
        <v>76</v>
      </c>
      <c r="F53" s="10">
        <f>'B) D RI'!R54</f>
        <v>742813.0199999999</v>
      </c>
      <c r="G53" s="10">
        <f>'B) D RI'!U54</f>
        <v>9773.8555263157887</v>
      </c>
      <c r="H53" s="44">
        <f>'B) D RI'!T54</f>
        <v>694653.0199999999</v>
      </c>
      <c r="I53" s="10">
        <f t="shared" si="2"/>
        <v>18280.342631578944</v>
      </c>
      <c r="J53" s="34">
        <f t="shared" si="3"/>
        <v>27497.314667360384</v>
      </c>
      <c r="K53" s="10">
        <f t="shared" si="0"/>
        <v>18280.342631578944</v>
      </c>
      <c r="L53" s="10">
        <f t="shared" si="4"/>
        <v>9216.9720357814404</v>
      </c>
      <c r="M53" s="10">
        <f>'D) Ecrêtage'!M52</f>
        <v>9773.8555263157887</v>
      </c>
      <c r="N53" s="10">
        <f t="shared" si="6"/>
        <v>12514.179033351715</v>
      </c>
      <c r="O53" s="67">
        <f t="shared" si="5"/>
        <v>30794.52166493066</v>
      </c>
      <c r="P53" s="315"/>
      <c r="Q53" s="316"/>
      <c r="R53" s="312"/>
      <c r="S53" s="312"/>
      <c r="T53" s="317"/>
    </row>
    <row r="54" spans="1:20" s="311" customFormat="1" x14ac:dyDescent="0.25">
      <c r="A54" s="324">
        <f>'A) Base RI'!A55</f>
        <v>5484</v>
      </c>
      <c r="B54" s="324" t="str">
        <f>'A) Base RI'!B55</f>
        <v>Gollion</v>
      </c>
      <c r="C54" s="383">
        <v>0</v>
      </c>
      <c r="D54" s="313">
        <f>'B) D RI'!AR55</f>
        <v>902</v>
      </c>
      <c r="E54" s="314">
        <f>'B) D RI'!S55</f>
        <v>74</v>
      </c>
      <c r="F54" s="10">
        <f>'B) D RI'!R55</f>
        <v>2150715.3800000004</v>
      </c>
      <c r="G54" s="10">
        <f>'B) D RI'!U55</f>
        <v>29063.721351351356</v>
      </c>
      <c r="H54" s="44">
        <f>'B) D RI'!T55</f>
        <v>2002952.5800000003</v>
      </c>
      <c r="I54" s="10">
        <f t="shared" si="2"/>
        <v>54133.853513513524</v>
      </c>
      <c r="J54" s="34">
        <f t="shared" si="3"/>
        <v>78489.170347971725</v>
      </c>
      <c r="K54" s="10">
        <f t="shared" si="0"/>
        <v>54133.853513513524</v>
      </c>
      <c r="L54" s="10">
        <f t="shared" si="4"/>
        <v>24355.316834458201</v>
      </c>
      <c r="M54" s="10">
        <f>'D) Ecrêtage'!M53</f>
        <v>29063.721351351356</v>
      </c>
      <c r="N54" s="10">
        <f t="shared" si="6"/>
        <v>37212.399077005393</v>
      </c>
      <c r="O54" s="67">
        <f t="shared" si="5"/>
        <v>91346.25259051891</v>
      </c>
      <c r="P54" s="315"/>
      <c r="Q54" s="316"/>
      <c r="R54" s="312"/>
      <c r="S54" s="312"/>
      <c r="T54" s="317"/>
    </row>
    <row r="55" spans="1:20" s="311" customFormat="1" x14ac:dyDescent="0.25">
      <c r="A55" s="324">
        <f>'A) Base RI'!A56</f>
        <v>5485</v>
      </c>
      <c r="B55" s="324" t="str">
        <f>'A) Base RI'!B56</f>
        <v>Grancy</v>
      </c>
      <c r="C55" s="383">
        <v>0</v>
      </c>
      <c r="D55" s="313">
        <f>'B) D RI'!AR56</f>
        <v>408</v>
      </c>
      <c r="E55" s="314">
        <f>'B) D RI'!S56</f>
        <v>70</v>
      </c>
      <c r="F55" s="10">
        <f>'B) D RI'!R56</f>
        <v>1055176.3599999999</v>
      </c>
      <c r="G55" s="10">
        <f>'B) D RI'!U56</f>
        <v>15073.947999999999</v>
      </c>
      <c r="H55" s="44">
        <f>'B) D RI'!T56</f>
        <v>988441.30999999994</v>
      </c>
      <c r="I55" s="10">
        <f t="shared" si="2"/>
        <v>28241.180285714283</v>
      </c>
      <c r="J55" s="34">
        <f t="shared" si="3"/>
        <v>35502.861975579232</v>
      </c>
      <c r="K55" s="10">
        <f t="shared" si="0"/>
        <v>28241.180285714283</v>
      </c>
      <c r="L55" s="10">
        <f t="shared" si="4"/>
        <v>7261.6816898649486</v>
      </c>
      <c r="M55" s="10">
        <f>'D) Ecrêtage'!M54</f>
        <v>15073.947999999999</v>
      </c>
      <c r="N55" s="10">
        <f t="shared" si="6"/>
        <v>19300.273418563644</v>
      </c>
      <c r="O55" s="67">
        <f t="shared" si="5"/>
        <v>47541.453704277927</v>
      </c>
      <c r="P55" s="315"/>
      <c r="Q55" s="316"/>
      <c r="R55" s="312"/>
      <c r="S55" s="312"/>
      <c r="T55" s="317"/>
    </row>
    <row r="56" spans="1:20" s="311" customFormat="1" x14ac:dyDescent="0.25">
      <c r="A56" s="324">
        <f>'A) Base RI'!A57</f>
        <v>5486</v>
      </c>
      <c r="B56" s="324" t="str">
        <f>'A) Base RI'!B57</f>
        <v>L'Isle</v>
      </c>
      <c r="C56" s="383">
        <v>0</v>
      </c>
      <c r="D56" s="313">
        <f>'B) D RI'!AR57</f>
        <v>1033</v>
      </c>
      <c r="E56" s="314">
        <f>'B) D RI'!S57</f>
        <v>76</v>
      </c>
      <c r="F56" s="10">
        <f>'B) D RI'!R57</f>
        <v>2267428.54</v>
      </c>
      <c r="G56" s="10">
        <f>'B) D RI'!U57</f>
        <v>29834.586052631581</v>
      </c>
      <c r="H56" s="44">
        <f>'B) D RI'!T57</f>
        <v>2089876.8900000001</v>
      </c>
      <c r="I56" s="10">
        <f t="shared" si="2"/>
        <v>54996.760263157899</v>
      </c>
      <c r="J56" s="34">
        <f t="shared" si="3"/>
        <v>89888.373580326821</v>
      </c>
      <c r="K56" s="10">
        <f t="shared" si="0"/>
        <v>54996.760263157899</v>
      </c>
      <c r="L56" s="10">
        <f t="shared" si="4"/>
        <v>34891.613317168922</v>
      </c>
      <c r="M56" s="10">
        <f>'D) Ecrêtage'!M55</f>
        <v>29834.586052631581</v>
      </c>
      <c r="N56" s="10">
        <f t="shared" si="6"/>
        <v>38199.393294009969</v>
      </c>
      <c r="O56" s="67">
        <f t="shared" si="5"/>
        <v>93196.153557167869</v>
      </c>
      <c r="P56" s="315"/>
      <c r="Q56" s="316"/>
      <c r="R56" s="312"/>
      <c r="S56" s="312"/>
      <c r="T56" s="317"/>
    </row>
    <row r="57" spans="1:20" s="311" customFormat="1" x14ac:dyDescent="0.25">
      <c r="A57" s="324">
        <f>'A) Base RI'!A58</f>
        <v>5487</v>
      </c>
      <c r="B57" s="324" t="str">
        <f>'A) Base RI'!B58</f>
        <v>Lussery-Villars</v>
      </c>
      <c r="C57" s="383">
        <v>0</v>
      </c>
      <c r="D57" s="313">
        <f>'B) D RI'!AR58</f>
        <v>462</v>
      </c>
      <c r="E57" s="314">
        <f>'B) D RI'!S58</f>
        <v>68</v>
      </c>
      <c r="F57" s="10">
        <f>'B) D RI'!R58</f>
        <v>893778.32999999984</v>
      </c>
      <c r="G57" s="10">
        <f>'B) D RI'!U58</f>
        <v>13143.798970588234</v>
      </c>
      <c r="H57" s="44">
        <f>'B) D RI'!T58</f>
        <v>824232.72999999986</v>
      </c>
      <c r="I57" s="10">
        <f t="shared" si="2"/>
        <v>24242.139117647053</v>
      </c>
      <c r="J57" s="34">
        <f t="shared" si="3"/>
        <v>40201.770178229417</v>
      </c>
      <c r="K57" s="10">
        <f t="shared" si="0"/>
        <v>24242.139117647053</v>
      </c>
      <c r="L57" s="10">
        <f t="shared" si="4"/>
        <v>15959.631060582364</v>
      </c>
      <c r="M57" s="10">
        <f>'D) Ecrêtage'!M56</f>
        <v>13143.798970588234</v>
      </c>
      <c r="N57" s="10">
        <f t="shared" si="6"/>
        <v>16828.963048763886</v>
      </c>
      <c r="O57" s="67">
        <f t="shared" si="5"/>
        <v>41071.102166410943</v>
      </c>
      <c r="P57" s="315"/>
      <c r="Q57" s="316"/>
      <c r="R57" s="312"/>
      <c r="S57" s="312"/>
      <c r="T57" s="317"/>
    </row>
    <row r="58" spans="1:20" s="311" customFormat="1" x14ac:dyDescent="0.25">
      <c r="A58" s="324">
        <f>'A) Base RI'!A59</f>
        <v>5488</v>
      </c>
      <c r="B58" s="324" t="str">
        <f>'A) Base RI'!B59</f>
        <v>Mauraz</v>
      </c>
      <c r="C58" s="383">
        <v>0</v>
      </c>
      <c r="D58" s="313">
        <f>'B) D RI'!AR59</f>
        <v>53</v>
      </c>
      <c r="E58" s="314">
        <f>'B) D RI'!S59</f>
        <v>74</v>
      </c>
      <c r="F58" s="10">
        <f>'B) D RI'!R59</f>
        <v>118762.37000000002</v>
      </c>
      <c r="G58" s="10">
        <f>'B) D RI'!U59</f>
        <v>1604.8968918918922</v>
      </c>
      <c r="H58" s="44">
        <f>'B) D RI'!T59</f>
        <v>110288.37000000002</v>
      </c>
      <c r="I58" s="10">
        <f t="shared" si="2"/>
        <v>2980.7667567567573</v>
      </c>
      <c r="J58" s="34">
        <f t="shared" si="3"/>
        <v>4611.8913840825953</v>
      </c>
      <c r="K58" s="10">
        <f t="shared" si="0"/>
        <v>2980.7667567567573</v>
      </c>
      <c r="L58" s="10">
        <f t="shared" si="4"/>
        <v>1631.124627325838</v>
      </c>
      <c r="M58" s="10">
        <f>'D) Ecrêtage'!M57</f>
        <v>1604.8968918918922</v>
      </c>
      <c r="N58" s="10">
        <f t="shared" si="6"/>
        <v>2054.8663709146736</v>
      </c>
      <c r="O58" s="67">
        <f t="shared" si="5"/>
        <v>5035.6331276714309</v>
      </c>
      <c r="P58" s="315"/>
      <c r="Q58" s="316"/>
      <c r="R58" s="312"/>
      <c r="S58" s="312"/>
      <c r="T58" s="317"/>
    </row>
    <row r="59" spans="1:20" s="311" customFormat="1" x14ac:dyDescent="0.25">
      <c r="A59" s="324">
        <f>'A) Base RI'!A60</f>
        <v>5489</v>
      </c>
      <c r="B59" s="324" t="str">
        <f>'A) Base RI'!B60</f>
        <v>Mex</v>
      </c>
      <c r="C59" s="383">
        <v>0</v>
      </c>
      <c r="D59" s="313">
        <f>'B) D RI'!AR60</f>
        <v>710</v>
      </c>
      <c r="E59" s="314">
        <f>'B) D RI'!S60</f>
        <v>61</v>
      </c>
      <c r="F59" s="10">
        <f>'B) D RI'!R60</f>
        <v>2861020.2</v>
      </c>
      <c r="G59" s="10">
        <f>'B) D RI'!U60</f>
        <v>46901.97049180328</v>
      </c>
      <c r="H59" s="44">
        <f>'B) D RI'!T60</f>
        <v>2591843</v>
      </c>
      <c r="I59" s="10">
        <f t="shared" si="2"/>
        <v>84978.459016393448</v>
      </c>
      <c r="J59" s="34">
        <f t="shared" si="3"/>
        <v>61781.941182993265</v>
      </c>
      <c r="K59" s="10">
        <f t="shared" si="0"/>
        <v>61781.941182993265</v>
      </c>
      <c r="L59" s="10">
        <f t="shared" si="4"/>
        <v>0</v>
      </c>
      <c r="M59" s="10">
        <f>'D) Ecrêtage'!M58</f>
        <v>44353.476729435359</v>
      </c>
      <c r="N59" s="10">
        <f t="shared" si="6"/>
        <v>56788.986398387635</v>
      </c>
      <c r="O59" s="67">
        <f t="shared" si="5"/>
        <v>118570.92758138091</v>
      </c>
      <c r="P59" s="315"/>
      <c r="Q59" s="316"/>
      <c r="R59" s="312"/>
      <c r="S59" s="312"/>
      <c r="T59" s="317"/>
    </row>
    <row r="60" spans="1:20" s="311" customFormat="1" x14ac:dyDescent="0.25">
      <c r="A60" s="324">
        <f>'A) Base RI'!A61</f>
        <v>5490</v>
      </c>
      <c r="B60" s="324" t="str">
        <f>'A) Base RI'!B61</f>
        <v>Moiry</v>
      </c>
      <c r="C60" s="383">
        <v>0</v>
      </c>
      <c r="D60" s="313">
        <f>'B) D RI'!AR61</f>
        <v>304</v>
      </c>
      <c r="E60" s="314">
        <f>'B) D RI'!S61</f>
        <v>81</v>
      </c>
      <c r="F60" s="10">
        <f>'B) D RI'!R61</f>
        <v>603120.11</v>
      </c>
      <c r="G60" s="10">
        <f>'B) D RI'!U61</f>
        <v>7445.9272839506175</v>
      </c>
      <c r="H60" s="44">
        <f>'B) D RI'!T61</f>
        <v>565052.41</v>
      </c>
      <c r="I60" s="10">
        <f t="shared" si="2"/>
        <v>13951.911358024692</v>
      </c>
      <c r="J60" s="34">
        <f t="shared" si="3"/>
        <v>26453.112844549229</v>
      </c>
      <c r="K60" s="10">
        <f t="shared" si="0"/>
        <v>13951.911358024692</v>
      </c>
      <c r="L60" s="10">
        <f t="shared" si="4"/>
        <v>12501.201486524536</v>
      </c>
      <c r="M60" s="10">
        <f>'D) Ecrêtage'!M59</f>
        <v>7445.9272839506175</v>
      </c>
      <c r="N60" s="10">
        <f t="shared" si="6"/>
        <v>9533.5629680419424</v>
      </c>
      <c r="O60" s="67">
        <f t="shared" si="5"/>
        <v>23485.474326066636</v>
      </c>
      <c r="P60" s="315"/>
      <c r="Q60" s="316"/>
      <c r="R60" s="312"/>
      <c r="S60" s="312"/>
      <c r="T60" s="317"/>
    </row>
    <row r="61" spans="1:20" s="311" customFormat="1" x14ac:dyDescent="0.25">
      <c r="A61" s="324">
        <f>'A) Base RI'!A62</f>
        <v>5491</v>
      </c>
      <c r="B61" s="324" t="str">
        <f>'A) Base RI'!B62</f>
        <v>Mont-la-Ville</v>
      </c>
      <c r="C61" s="383">
        <v>0</v>
      </c>
      <c r="D61" s="313">
        <f>'B) D RI'!AR62</f>
        <v>402</v>
      </c>
      <c r="E61" s="314">
        <f>'B) D RI'!S62</f>
        <v>76</v>
      </c>
      <c r="F61" s="10">
        <f>'B) D RI'!R62</f>
        <v>665488.86</v>
      </c>
      <c r="G61" s="10">
        <f>'B) D RI'!U62</f>
        <v>8756.4323684210522</v>
      </c>
      <c r="H61" s="44">
        <f>'B) D RI'!T62</f>
        <v>602976.26</v>
      </c>
      <c r="I61" s="10">
        <f t="shared" si="2"/>
        <v>15867.796315789474</v>
      </c>
      <c r="J61" s="34">
        <f t="shared" si="3"/>
        <v>34980.761064173654</v>
      </c>
      <c r="K61" s="10">
        <f t="shared" si="0"/>
        <v>15867.796315789474</v>
      </c>
      <c r="L61" s="10">
        <f t="shared" si="4"/>
        <v>19112.96474838418</v>
      </c>
      <c r="M61" s="10">
        <f>'D) Ecrêtage'!M60</f>
        <v>8756.4323684210522</v>
      </c>
      <c r="N61" s="10">
        <f t="shared" si="6"/>
        <v>11211.498068169476</v>
      </c>
      <c r="O61" s="67">
        <f t="shared" si="5"/>
        <v>27079.29438395895</v>
      </c>
      <c r="P61" s="315"/>
      <c r="Q61" s="316"/>
      <c r="R61" s="312"/>
      <c r="S61" s="312"/>
      <c r="T61" s="317"/>
    </row>
    <row r="62" spans="1:20" s="311" customFormat="1" x14ac:dyDescent="0.25">
      <c r="A62" s="324">
        <f>'A) Base RI'!A63</f>
        <v>5492</v>
      </c>
      <c r="B62" s="324" t="str">
        <f>'A) Base RI'!B63</f>
        <v>Montricher</v>
      </c>
      <c r="C62" s="383">
        <v>0</v>
      </c>
      <c r="D62" s="313">
        <f>'B) D RI'!AR63</f>
        <v>951</v>
      </c>
      <c r="E62" s="314">
        <f>'B) D RI'!S63</f>
        <v>64</v>
      </c>
      <c r="F62" s="10">
        <f>'B) D RI'!R63</f>
        <v>12918053.520000001</v>
      </c>
      <c r="G62" s="10">
        <f>'B) D RI'!U63</f>
        <v>201844.58625000002</v>
      </c>
      <c r="H62" s="44">
        <f>'B) D RI'!T63</f>
        <v>12669737.020000001</v>
      </c>
      <c r="I62" s="10">
        <f t="shared" si="2"/>
        <v>395929.28187500004</v>
      </c>
      <c r="J62" s="34">
        <f t="shared" si="3"/>
        <v>82752.994457783934</v>
      </c>
      <c r="K62" s="10">
        <f t="shared" si="0"/>
        <v>82752.994457783934</v>
      </c>
      <c r="L62" s="10">
        <f t="shared" si="4"/>
        <v>0</v>
      </c>
      <c r="M62" s="10">
        <f>'D) Ecrêtage'!M61</f>
        <v>116722.19002278935</v>
      </c>
      <c r="N62" s="10">
        <f t="shared" si="6"/>
        <v>149447.9204421679</v>
      </c>
      <c r="O62" s="67">
        <f t="shared" si="5"/>
        <v>232200.91489995184</v>
      </c>
      <c r="P62" s="315"/>
      <c r="Q62" s="316"/>
      <c r="R62" s="312"/>
      <c r="S62" s="312"/>
      <c r="T62" s="317"/>
    </row>
    <row r="63" spans="1:20" s="311" customFormat="1" x14ac:dyDescent="0.25">
      <c r="A63" s="324">
        <f>'A) Base RI'!A64</f>
        <v>5493</v>
      </c>
      <c r="B63" s="324" t="str">
        <f>'A) Base RI'!B64</f>
        <v>Orny</v>
      </c>
      <c r="C63" s="383">
        <v>0</v>
      </c>
      <c r="D63" s="313">
        <f>'B) D RI'!AR64</f>
        <v>371</v>
      </c>
      <c r="E63" s="314">
        <f>'B) D RI'!S64</f>
        <v>73</v>
      </c>
      <c r="F63" s="10">
        <f>'B) D RI'!R64</f>
        <v>662775.21846153855</v>
      </c>
      <c r="G63" s="10">
        <f>'B) D RI'!U64</f>
        <v>9079.112581664911</v>
      </c>
      <c r="H63" s="44">
        <f>'B) D RI'!T64</f>
        <v>612770.68000000005</v>
      </c>
      <c r="I63" s="10">
        <f t="shared" si="2"/>
        <v>16788.237808219179</v>
      </c>
      <c r="J63" s="34">
        <f t="shared" si="3"/>
        <v>32283.239688578171</v>
      </c>
      <c r="K63" s="10">
        <f t="shared" si="0"/>
        <v>16788.237808219179</v>
      </c>
      <c r="L63" s="10">
        <f t="shared" si="4"/>
        <v>15495.001880358992</v>
      </c>
      <c r="M63" s="10">
        <f>'D) Ecrêtage'!M62</f>
        <v>9079.112581664911</v>
      </c>
      <c r="N63" s="10">
        <f t="shared" si="6"/>
        <v>11624.649045097811</v>
      </c>
      <c r="O63" s="67">
        <f t="shared" si="5"/>
        <v>28412.886853316988</v>
      </c>
      <c r="P63" s="315"/>
      <c r="Q63" s="316"/>
      <c r="R63" s="312"/>
      <c r="S63" s="312"/>
      <c r="T63" s="317"/>
    </row>
    <row r="64" spans="1:20" s="311" customFormat="1" x14ac:dyDescent="0.25">
      <c r="A64" s="324">
        <f>'A) Base RI'!A65</f>
        <v>5494</v>
      </c>
      <c r="B64" s="324" t="str">
        <f>'A) Base RI'!B65</f>
        <v>Pampigny</v>
      </c>
      <c r="C64" s="383">
        <v>0</v>
      </c>
      <c r="D64" s="313">
        <f>'B) D RI'!AR65</f>
        <v>1116</v>
      </c>
      <c r="E64" s="314">
        <f>'B) D RI'!S65</f>
        <v>75</v>
      </c>
      <c r="F64" s="10">
        <f>'B) D RI'!R65</f>
        <v>2759849.4319047621</v>
      </c>
      <c r="G64" s="10">
        <f>'B) D RI'!U65</f>
        <v>36797.992425396827</v>
      </c>
      <c r="H64" s="44">
        <f>'B) D RI'!T65</f>
        <v>2558101.67</v>
      </c>
      <c r="I64" s="10">
        <f t="shared" si="2"/>
        <v>68216.044533333334</v>
      </c>
      <c r="J64" s="34">
        <f t="shared" si="3"/>
        <v>97110.769521437294</v>
      </c>
      <c r="K64" s="10">
        <f t="shared" si="0"/>
        <v>68216.044533333334</v>
      </c>
      <c r="L64" s="10">
        <f t="shared" si="4"/>
        <v>28894.724988103961</v>
      </c>
      <c r="M64" s="10">
        <f>'D) Ecrêtage'!M63</f>
        <v>36797.992425396827</v>
      </c>
      <c r="N64" s="10">
        <f t="shared" si="6"/>
        <v>47115.149598790762</v>
      </c>
      <c r="O64" s="67">
        <f t="shared" si="5"/>
        <v>115331.1941321241</v>
      </c>
      <c r="P64" s="315"/>
      <c r="Q64" s="316"/>
      <c r="R64" s="312"/>
      <c r="S64" s="312"/>
      <c r="T64" s="317"/>
    </row>
    <row r="65" spans="1:20" s="311" customFormat="1" x14ac:dyDescent="0.25">
      <c r="A65" s="324">
        <f>'A) Base RI'!A66</f>
        <v>5495</v>
      </c>
      <c r="B65" s="324" t="str">
        <f>'A) Base RI'!B66</f>
        <v>Penthalaz</v>
      </c>
      <c r="C65" s="383">
        <v>0</v>
      </c>
      <c r="D65" s="313">
        <f>'B) D RI'!AR66</f>
        <v>3252</v>
      </c>
      <c r="E65" s="314">
        <f>'B) D RI'!S66</f>
        <v>74</v>
      </c>
      <c r="F65" s="10">
        <f>'B) D RI'!R66</f>
        <v>7358266.0799999991</v>
      </c>
      <c r="G65" s="10">
        <f>'B) D RI'!U66</f>
        <v>99436.02810810809</v>
      </c>
      <c r="H65" s="44">
        <f>'B) D RI'!T66</f>
        <v>6798130.7799999993</v>
      </c>
      <c r="I65" s="10">
        <f t="shared" si="2"/>
        <v>183733.26432432429</v>
      </c>
      <c r="J65" s="34">
        <f t="shared" si="3"/>
        <v>282978.6939818227</v>
      </c>
      <c r="K65" s="10">
        <f t="shared" si="0"/>
        <v>183733.26432432429</v>
      </c>
      <c r="L65" s="10">
        <f t="shared" si="4"/>
        <v>99245.429657498404</v>
      </c>
      <c r="M65" s="10">
        <f>'D) Ecrêtage'!M64</f>
        <v>99436.02810810809</v>
      </c>
      <c r="N65" s="10">
        <f t="shared" si="6"/>
        <v>127315.18843918436</v>
      </c>
      <c r="O65" s="67">
        <f t="shared" si="5"/>
        <v>311048.45276350866</v>
      </c>
      <c r="P65" s="315"/>
      <c r="Q65" s="316"/>
      <c r="R65" s="312"/>
      <c r="S65" s="312"/>
      <c r="T65" s="317"/>
    </row>
    <row r="66" spans="1:20" s="311" customFormat="1" x14ac:dyDescent="0.25">
      <c r="A66" s="324">
        <f>'A) Base RI'!A67</f>
        <v>5496</v>
      </c>
      <c r="B66" s="324" t="str">
        <f>'A) Base RI'!B67</f>
        <v>Penthaz</v>
      </c>
      <c r="C66" s="383">
        <v>0</v>
      </c>
      <c r="D66" s="313">
        <f>'B) D RI'!AR67</f>
        <v>1703</v>
      </c>
      <c r="E66" s="314">
        <f>'B) D RI'!S67</f>
        <v>71</v>
      </c>
      <c r="F66" s="10">
        <f>'B) D RI'!R67</f>
        <v>3756300.96</v>
      </c>
      <c r="G66" s="10">
        <f>'B) D RI'!U67</f>
        <v>52905.64732394366</v>
      </c>
      <c r="H66" s="44">
        <f>'B) D RI'!T67</f>
        <v>3452548.71</v>
      </c>
      <c r="I66" s="10">
        <f t="shared" si="2"/>
        <v>97254.893239436613</v>
      </c>
      <c r="J66" s="34">
        <f t="shared" si="3"/>
        <v>148189.64202061624</v>
      </c>
      <c r="K66" s="10">
        <f t="shared" si="0"/>
        <v>97254.893239436613</v>
      </c>
      <c r="L66" s="10">
        <f t="shared" si="4"/>
        <v>50934.748781179631</v>
      </c>
      <c r="M66" s="10">
        <f>'D) Ecrêtage'!M65</f>
        <v>52905.64732394366</v>
      </c>
      <c r="N66" s="10">
        <f t="shared" si="6"/>
        <v>67738.953241593554</v>
      </c>
      <c r="O66" s="67">
        <f t="shared" si="5"/>
        <v>164993.84648103017</v>
      </c>
      <c r="P66" s="315"/>
      <c r="Q66" s="316"/>
      <c r="R66" s="312"/>
      <c r="S66" s="312"/>
      <c r="T66" s="317"/>
    </row>
    <row r="67" spans="1:20" s="311" customFormat="1" x14ac:dyDescent="0.25">
      <c r="A67" s="324">
        <f>'A) Base RI'!A68</f>
        <v>5497</v>
      </c>
      <c r="B67" s="324" t="str">
        <f>'A) Base RI'!B68</f>
        <v>Pompaples</v>
      </c>
      <c r="C67" s="383">
        <v>0</v>
      </c>
      <c r="D67" s="313">
        <f>'B) D RI'!AR68</f>
        <v>859</v>
      </c>
      <c r="E67" s="314">
        <f>'B) D RI'!S68</f>
        <v>66</v>
      </c>
      <c r="F67" s="10">
        <f>'B) D RI'!R68</f>
        <v>1469992.1400000004</v>
      </c>
      <c r="G67" s="10">
        <f>'B) D RI'!U68</f>
        <v>22272.608181818188</v>
      </c>
      <c r="H67" s="44">
        <f>'B) D RI'!T68</f>
        <v>1341654.5400000003</v>
      </c>
      <c r="I67" s="10">
        <f t="shared" si="2"/>
        <v>40656.198181818188</v>
      </c>
      <c r="J67" s="34">
        <f t="shared" si="3"/>
        <v>74747.447149565094</v>
      </c>
      <c r="K67" s="10">
        <f t="shared" si="0"/>
        <v>40656.198181818188</v>
      </c>
      <c r="L67" s="10">
        <f t="shared" si="4"/>
        <v>34091.248967746906</v>
      </c>
      <c r="M67" s="10">
        <f>'D) Ecrêtage'!M66</f>
        <v>22272.608181818188</v>
      </c>
      <c r="N67" s="10">
        <f t="shared" si="6"/>
        <v>28517.242307962635</v>
      </c>
      <c r="O67" s="67">
        <f t="shared" si="5"/>
        <v>69173.440489780827</v>
      </c>
      <c r="P67" s="315"/>
      <c r="Q67" s="316"/>
      <c r="R67" s="312"/>
      <c r="S67" s="312"/>
      <c r="T67" s="317"/>
    </row>
    <row r="68" spans="1:20" s="311" customFormat="1" x14ac:dyDescent="0.25">
      <c r="A68" s="324">
        <f>'A) Base RI'!A69</f>
        <v>5498</v>
      </c>
      <c r="B68" s="324" t="str">
        <f>'A) Base RI'!B69</f>
        <v>La Sarraz</v>
      </c>
      <c r="C68" s="383">
        <v>0</v>
      </c>
      <c r="D68" s="313">
        <f>'B) D RI'!AR69</f>
        <v>2567</v>
      </c>
      <c r="E68" s="314">
        <f>'B) D RI'!S69</f>
        <v>66</v>
      </c>
      <c r="F68" s="10">
        <f>'B) D RI'!R69</f>
        <v>4871104.8599999994</v>
      </c>
      <c r="G68" s="10">
        <f>'B) D RI'!U69</f>
        <v>73804.61909090908</v>
      </c>
      <c r="H68" s="44">
        <f>'B) D RI'!T69</f>
        <v>4499551.8099999996</v>
      </c>
      <c r="I68" s="10">
        <f t="shared" si="2"/>
        <v>136350.05484848484</v>
      </c>
      <c r="J68" s="34">
        <f t="shared" si="3"/>
        <v>223372.1732630193</v>
      </c>
      <c r="K68" s="10">
        <f t="shared" si="0"/>
        <v>136350.05484848484</v>
      </c>
      <c r="L68" s="10">
        <f t="shared" si="4"/>
        <v>87022.11841453446</v>
      </c>
      <c r="M68" s="10">
        <f>'D) Ecrêtage'!M67</f>
        <v>73804.61909090908</v>
      </c>
      <c r="N68" s="10">
        <f t="shared" si="6"/>
        <v>94497.428809459045</v>
      </c>
      <c r="O68" s="67">
        <f t="shared" si="5"/>
        <v>230847.4836579439</v>
      </c>
      <c r="P68" s="315"/>
      <c r="Q68" s="316"/>
      <c r="R68" s="312"/>
      <c r="S68" s="312"/>
      <c r="T68" s="317"/>
    </row>
    <row r="69" spans="1:20" s="311" customFormat="1" x14ac:dyDescent="0.25">
      <c r="A69" s="324">
        <f>'A) Base RI'!A70</f>
        <v>5499</v>
      </c>
      <c r="B69" s="324" t="str">
        <f>'A) Base RI'!B70</f>
        <v>Senarclens</v>
      </c>
      <c r="C69" s="383">
        <v>0</v>
      </c>
      <c r="D69" s="313">
        <f>'B) D RI'!AR70</f>
        <v>459</v>
      </c>
      <c r="E69" s="314">
        <f>'B) D RI'!S70</f>
        <v>68.5</v>
      </c>
      <c r="F69" s="10">
        <f>'B) D RI'!R70</f>
        <v>1273136.67</v>
      </c>
      <c r="G69" s="10">
        <f>'B) D RI'!U70</f>
        <v>18585.936788321167</v>
      </c>
      <c r="H69" s="44">
        <f>'B) D RI'!T70</f>
        <v>1190318.0699999998</v>
      </c>
      <c r="I69" s="10">
        <f t="shared" si="2"/>
        <v>34753.812262773718</v>
      </c>
      <c r="J69" s="34">
        <f t="shared" si="3"/>
        <v>39940.719722526628</v>
      </c>
      <c r="K69" s="10">
        <f t="shared" si="0"/>
        <v>34753.812262773718</v>
      </c>
      <c r="L69" s="10">
        <f t="shared" si="4"/>
        <v>5186.9074597529107</v>
      </c>
      <c r="M69" s="10">
        <f>'D) Ecrêtage'!M68</f>
        <v>18585.936788321167</v>
      </c>
      <c r="N69" s="10">
        <f t="shared" si="6"/>
        <v>23796.928432733032</v>
      </c>
      <c r="O69" s="67">
        <f t="shared" si="5"/>
        <v>58550.740695506749</v>
      </c>
      <c r="P69" s="315"/>
      <c r="Q69" s="316"/>
      <c r="R69" s="312"/>
      <c r="S69" s="312"/>
      <c r="T69" s="317"/>
    </row>
    <row r="70" spans="1:20" s="311" customFormat="1" x14ac:dyDescent="0.25">
      <c r="A70" s="324">
        <f>'A) Base RI'!A71</f>
        <v>5500</v>
      </c>
      <c r="B70" s="324" t="str">
        <f>'A) Base RI'!B71</f>
        <v>Sévery</v>
      </c>
      <c r="C70" s="383">
        <v>0</v>
      </c>
      <c r="D70" s="313">
        <f>'B) D RI'!AR71</f>
        <v>243</v>
      </c>
      <c r="E70" s="314">
        <f>'B) D RI'!S71</f>
        <v>76</v>
      </c>
      <c r="F70" s="10">
        <f>'B) D RI'!R71</f>
        <v>610185.20499999996</v>
      </c>
      <c r="G70" s="10">
        <f>'B) D RI'!U71</f>
        <v>8028.7526973684207</v>
      </c>
      <c r="H70" s="44">
        <f>'B) D RI'!T71</f>
        <v>570648.57999999996</v>
      </c>
      <c r="I70" s="10">
        <f t="shared" si="2"/>
        <v>15017.067894736841</v>
      </c>
      <c r="J70" s="34">
        <f t="shared" si="3"/>
        <v>21145.086911925864</v>
      </c>
      <c r="K70" s="10">
        <f t="shared" ref="K70:K133" si="7">IF(C70=1,0,IF(J70&gt;I70,I70,J70))</f>
        <v>15017.067894736841</v>
      </c>
      <c r="L70" s="10">
        <f t="shared" si="4"/>
        <v>6128.0190171890226</v>
      </c>
      <c r="M70" s="10">
        <f>'D) Ecrêtage'!M69</f>
        <v>8028.7526973684207</v>
      </c>
      <c r="N70" s="10">
        <f t="shared" ref="N70:N133" si="8">+$N$5*M70</f>
        <v>10279.796790412234</v>
      </c>
      <c r="O70" s="67">
        <f t="shared" ref="O70:O133" si="9">+N70+K70</f>
        <v>25296.864685149078</v>
      </c>
      <c r="P70" s="315"/>
      <c r="Q70" s="316"/>
      <c r="R70" s="312"/>
      <c r="S70" s="312"/>
      <c r="T70" s="317"/>
    </row>
    <row r="71" spans="1:20" s="311" customFormat="1" x14ac:dyDescent="0.25">
      <c r="A71" s="324">
        <f>'A) Base RI'!A72</f>
        <v>5501</v>
      </c>
      <c r="B71" s="324" t="str">
        <f>'A) Base RI'!B72</f>
        <v>Sullens</v>
      </c>
      <c r="C71" s="383">
        <v>0</v>
      </c>
      <c r="D71" s="313">
        <f>'B) D RI'!AR72</f>
        <v>978</v>
      </c>
      <c r="E71" s="314">
        <f>'B) D RI'!S72</f>
        <v>70</v>
      </c>
      <c r="F71" s="10">
        <f>'B) D RI'!R72</f>
        <v>2501635.5100000002</v>
      </c>
      <c r="G71" s="10">
        <f>'B) D RI'!U72</f>
        <v>35737.650142857143</v>
      </c>
      <c r="H71" s="44">
        <f>'B) D RI'!T72</f>
        <v>2318943.81</v>
      </c>
      <c r="I71" s="10">
        <f t="shared" ref="I71:I134" si="10">+H71/E71*$I$5</f>
        <v>66255.537428571435</v>
      </c>
      <c r="J71" s="34">
        <f t="shared" ref="J71:J134" si="11">+$I$324/$D$324*D71</f>
        <v>85102.448559109034</v>
      </c>
      <c r="K71" s="10">
        <f t="shared" si="7"/>
        <v>66255.537428571435</v>
      </c>
      <c r="L71" s="10">
        <f t="shared" ref="L71:L134" si="12">+J71-K71</f>
        <v>18846.911130537599</v>
      </c>
      <c r="M71" s="10">
        <f>'D) Ecrêtage'!M70</f>
        <v>35737.650142857143</v>
      </c>
      <c r="N71" s="10">
        <f t="shared" si="8"/>
        <v>45757.516152643824</v>
      </c>
      <c r="O71" s="67">
        <f t="shared" si="9"/>
        <v>112013.05358121527</v>
      </c>
      <c r="P71" s="315"/>
      <c r="Q71" s="316"/>
      <c r="R71" s="312"/>
      <c r="S71" s="312"/>
      <c r="T71" s="317"/>
    </row>
    <row r="72" spans="1:20" s="311" customFormat="1" x14ac:dyDescent="0.25">
      <c r="A72" s="324">
        <f>'A) Base RI'!A73</f>
        <v>5503</v>
      </c>
      <c r="B72" s="324" t="str">
        <f>'A) Base RI'!B73</f>
        <v>Vufflens-la-Ville</v>
      </c>
      <c r="C72" s="383">
        <v>0</v>
      </c>
      <c r="D72" s="313">
        <f>'B) D RI'!AR73</f>
        <v>1252</v>
      </c>
      <c r="E72" s="314">
        <f>'B) D RI'!S73</f>
        <v>67</v>
      </c>
      <c r="F72" s="10">
        <f>'B) D RI'!R73</f>
        <v>4350153.583333333</v>
      </c>
      <c r="G72" s="10">
        <f>'B) D RI'!U73</f>
        <v>64927.66542288557</v>
      </c>
      <c r="H72" s="44">
        <f>'B) D RI'!T73</f>
        <v>4017417</v>
      </c>
      <c r="I72" s="10">
        <f t="shared" si="10"/>
        <v>119922.89552238806</v>
      </c>
      <c r="J72" s="34">
        <f t="shared" si="11"/>
        <v>108945.05684663038</v>
      </c>
      <c r="K72" s="10">
        <f t="shared" si="7"/>
        <v>108945.05684663038</v>
      </c>
      <c r="L72" s="10">
        <f t="shared" si="12"/>
        <v>0</v>
      </c>
      <c r="M72" s="10">
        <f>'D) Ecrêtage'!M71</f>
        <v>64927.66542288557</v>
      </c>
      <c r="N72" s="10">
        <f t="shared" si="8"/>
        <v>83131.618544173849</v>
      </c>
      <c r="O72" s="67">
        <f t="shared" si="9"/>
        <v>192076.67539080424</v>
      </c>
      <c r="P72" s="315"/>
      <c r="Q72" s="316"/>
      <c r="R72" s="312"/>
      <c r="S72" s="312"/>
      <c r="T72" s="317"/>
    </row>
    <row r="73" spans="1:20" s="311" customFormat="1" x14ac:dyDescent="0.25">
      <c r="A73" s="324">
        <f>'A) Base RI'!A74</f>
        <v>5511</v>
      </c>
      <c r="B73" s="324" t="str">
        <f>'A) Base RI'!B74</f>
        <v>Assens</v>
      </c>
      <c r="C73" s="383">
        <v>0</v>
      </c>
      <c r="D73" s="313">
        <f>'B) D RI'!AR74</f>
        <v>1060</v>
      </c>
      <c r="E73" s="314">
        <f>'B) D RI'!S74</f>
        <v>70</v>
      </c>
      <c r="F73" s="10">
        <f>'B) D RI'!R74</f>
        <v>2799534.25</v>
      </c>
      <c r="G73" s="10">
        <f>'B) D RI'!U74</f>
        <v>39993.346428571429</v>
      </c>
      <c r="H73" s="44">
        <f>'B) D RI'!T74</f>
        <v>2585019.6</v>
      </c>
      <c r="I73" s="10">
        <f t="shared" si="10"/>
        <v>73857.702857142853</v>
      </c>
      <c r="J73" s="34">
        <f t="shared" si="11"/>
        <v>92237.827681651921</v>
      </c>
      <c r="K73" s="10">
        <f t="shared" si="7"/>
        <v>73857.702857142853</v>
      </c>
      <c r="L73" s="10">
        <f t="shared" si="12"/>
        <v>18380.124824509068</v>
      </c>
      <c r="M73" s="10">
        <f>'D) Ecrêtage'!M72</f>
        <v>39993.346428571429</v>
      </c>
      <c r="N73" s="10">
        <f t="shared" si="8"/>
        <v>51206.394037896673</v>
      </c>
      <c r="O73" s="67">
        <f t="shared" si="9"/>
        <v>125064.09689503952</v>
      </c>
      <c r="P73" s="315"/>
      <c r="Q73" s="316"/>
      <c r="R73" s="312"/>
      <c r="S73" s="312"/>
      <c r="T73" s="317"/>
    </row>
    <row r="74" spans="1:20" s="311" customFormat="1" x14ac:dyDescent="0.25">
      <c r="A74" s="324">
        <f>'A) Base RI'!A75</f>
        <v>5512</v>
      </c>
      <c r="B74" s="324" t="str">
        <f>'A) Base RI'!B75</f>
        <v>Bercher</v>
      </c>
      <c r="C74" s="383">
        <v>0</v>
      </c>
      <c r="D74" s="313">
        <f>'B) D RI'!AR75</f>
        <v>1157</v>
      </c>
      <c r="E74" s="314">
        <f>'B) D RI'!S75</f>
        <v>79</v>
      </c>
      <c r="F74" s="10">
        <f>'B) D RI'!R75</f>
        <v>2772604.72</v>
      </c>
      <c r="G74" s="10">
        <f>'B) D RI'!U75</f>
        <v>35096.262278481016</v>
      </c>
      <c r="H74" s="44">
        <f>'B) D RI'!T75</f>
        <v>2543743.52</v>
      </c>
      <c r="I74" s="10">
        <f t="shared" si="10"/>
        <v>64398.570126582279</v>
      </c>
      <c r="J74" s="34">
        <f t="shared" si="11"/>
        <v>100678.45908270874</v>
      </c>
      <c r="K74" s="10">
        <f t="shared" si="7"/>
        <v>64398.570126582279</v>
      </c>
      <c r="L74" s="10">
        <f t="shared" si="12"/>
        <v>36279.888956126459</v>
      </c>
      <c r="M74" s="10">
        <f>'D) Ecrêtage'!M73</f>
        <v>35096.262278481016</v>
      </c>
      <c r="N74" s="10">
        <f t="shared" si="8"/>
        <v>44936.300559369396</v>
      </c>
      <c r="O74" s="67">
        <f t="shared" si="9"/>
        <v>109334.87068595167</v>
      </c>
      <c r="P74" s="315"/>
      <c r="Q74" s="316"/>
      <c r="R74" s="312"/>
      <c r="S74" s="312"/>
      <c r="T74" s="317"/>
    </row>
    <row r="75" spans="1:20" s="311" customFormat="1" x14ac:dyDescent="0.25">
      <c r="A75" s="324">
        <f>'A) Base RI'!A76</f>
        <v>5513</v>
      </c>
      <c r="B75" s="324" t="str">
        <f>'A) Base RI'!B76</f>
        <v>Bioley-Orjulaz</v>
      </c>
      <c r="C75" s="383">
        <v>0</v>
      </c>
      <c r="D75" s="313">
        <f>'B) D RI'!AR76</f>
        <v>483</v>
      </c>
      <c r="E75" s="314">
        <f>'B) D RI'!S76</f>
        <v>66</v>
      </c>
      <c r="F75" s="10">
        <f>'B) D RI'!R76</f>
        <v>1481121.05</v>
      </c>
      <c r="G75" s="10">
        <f>'B) D RI'!U76</f>
        <v>22441.228030303031</v>
      </c>
      <c r="H75" s="44">
        <f>'B) D RI'!T76</f>
        <v>1378946.55</v>
      </c>
      <c r="I75" s="10">
        <f t="shared" si="10"/>
        <v>41786.259090909094</v>
      </c>
      <c r="J75" s="34">
        <f t="shared" si="11"/>
        <v>42029.123368148939</v>
      </c>
      <c r="K75" s="10">
        <f t="shared" si="7"/>
        <v>41786.259090909094</v>
      </c>
      <c r="L75" s="10">
        <f t="shared" si="12"/>
        <v>242.86427723984525</v>
      </c>
      <c r="M75" s="10">
        <f>'D) Ecrêtage'!M74</f>
        <v>22441.228030303031</v>
      </c>
      <c r="N75" s="10">
        <f t="shared" si="8"/>
        <v>28733.138580097464</v>
      </c>
      <c r="O75" s="67">
        <f t="shared" si="9"/>
        <v>70519.397671006562</v>
      </c>
      <c r="P75" s="315"/>
      <c r="Q75" s="316"/>
      <c r="R75" s="312"/>
      <c r="S75" s="312"/>
      <c r="T75" s="317"/>
    </row>
    <row r="76" spans="1:20" s="311" customFormat="1" x14ac:dyDescent="0.25">
      <c r="A76" s="324">
        <f>'A) Base RI'!A77</f>
        <v>5514</v>
      </c>
      <c r="B76" s="324" t="str">
        <f>'A) Base RI'!B77</f>
        <v>Bottens</v>
      </c>
      <c r="C76" s="383">
        <v>0</v>
      </c>
      <c r="D76" s="313">
        <f>'B) D RI'!AR77</f>
        <v>1240</v>
      </c>
      <c r="E76" s="314">
        <f>'B) D RI'!S77</f>
        <v>69</v>
      </c>
      <c r="F76" s="10">
        <f>'B) D RI'!R77</f>
        <v>2800016.2</v>
      </c>
      <c r="G76" s="10">
        <f>'B) D RI'!U77</f>
        <v>40579.944927536235</v>
      </c>
      <c r="H76" s="44">
        <f>'B) D RI'!T77</f>
        <v>2582073.1500000004</v>
      </c>
      <c r="I76" s="10">
        <f t="shared" si="10"/>
        <v>74842.700000000012</v>
      </c>
      <c r="J76" s="34">
        <f t="shared" si="11"/>
        <v>107900.85502381923</v>
      </c>
      <c r="K76" s="10">
        <f t="shared" si="7"/>
        <v>74842.700000000012</v>
      </c>
      <c r="L76" s="10">
        <f t="shared" si="12"/>
        <v>33058.155023819214</v>
      </c>
      <c r="M76" s="10">
        <f>'D) Ecrêtage'!M75</f>
        <v>40579.944927536235</v>
      </c>
      <c r="N76" s="10">
        <f t="shared" si="8"/>
        <v>51957.458816476232</v>
      </c>
      <c r="O76" s="67">
        <f t="shared" si="9"/>
        <v>126800.15881647624</v>
      </c>
      <c r="P76" s="315"/>
      <c r="Q76" s="316"/>
      <c r="R76" s="312"/>
      <c r="S76" s="312"/>
      <c r="T76" s="317"/>
    </row>
    <row r="77" spans="1:20" s="311" customFormat="1" x14ac:dyDescent="0.25">
      <c r="A77" s="324">
        <f>'A) Base RI'!A78</f>
        <v>5515</v>
      </c>
      <c r="B77" s="324" t="str">
        <f>'A) Base RI'!B78</f>
        <v>Bretigny-sur-Morrens</v>
      </c>
      <c r="C77" s="383">
        <v>0</v>
      </c>
      <c r="D77" s="313">
        <f>'B) D RI'!AR78</f>
        <v>817</v>
      </c>
      <c r="E77" s="314">
        <f>'B) D RI'!S78</f>
        <v>73</v>
      </c>
      <c r="F77" s="10">
        <f>'B) D RI'!R78</f>
        <v>1872813.57</v>
      </c>
      <c r="G77" s="10">
        <f>'B) D RI'!U78</f>
        <v>25654.980410958906</v>
      </c>
      <c r="H77" s="44">
        <f>'B) D RI'!T78</f>
        <v>1732652.72</v>
      </c>
      <c r="I77" s="10">
        <f t="shared" si="10"/>
        <v>47469.937534246572</v>
      </c>
      <c r="J77" s="34">
        <f t="shared" si="11"/>
        <v>71092.74076972605</v>
      </c>
      <c r="K77" s="10">
        <f t="shared" si="7"/>
        <v>47469.937534246572</v>
      </c>
      <c r="L77" s="10">
        <f t="shared" si="12"/>
        <v>23622.803235479478</v>
      </c>
      <c r="M77" s="10">
        <f>'D) Ecrêtage'!M76</f>
        <v>25654.980410958906</v>
      </c>
      <c r="N77" s="10">
        <f t="shared" si="8"/>
        <v>32847.939801795867</v>
      </c>
      <c r="O77" s="67">
        <f t="shared" si="9"/>
        <v>80317.877336042438</v>
      </c>
      <c r="P77" s="315"/>
      <c r="Q77" s="316"/>
      <c r="R77" s="312"/>
      <c r="S77" s="312"/>
      <c r="T77" s="317"/>
    </row>
    <row r="78" spans="1:20" s="311" customFormat="1" x14ac:dyDescent="0.25">
      <c r="A78" s="324">
        <f>'A) Base RI'!A79</f>
        <v>5516</v>
      </c>
      <c r="B78" s="324" t="str">
        <f>'A) Base RI'!B79</f>
        <v>Cugy</v>
      </c>
      <c r="C78" s="383">
        <v>0</v>
      </c>
      <c r="D78" s="313">
        <f>'B) D RI'!AR79</f>
        <v>2739</v>
      </c>
      <c r="E78" s="314">
        <f>'B) D RI'!S79</f>
        <v>70</v>
      </c>
      <c r="F78" s="10">
        <f>'B) D RI'!R79</f>
        <v>7539878.839999998</v>
      </c>
      <c r="G78" s="10">
        <f>'B) D RI'!U79</f>
        <v>107712.55485714282</v>
      </c>
      <c r="H78" s="44">
        <f>'B) D RI'!T79</f>
        <v>6954844.2399999984</v>
      </c>
      <c r="I78" s="10">
        <f t="shared" si="10"/>
        <v>198709.83542857139</v>
      </c>
      <c r="J78" s="34">
        <f t="shared" si="11"/>
        <v>238339.06605664585</v>
      </c>
      <c r="K78" s="10">
        <f t="shared" si="7"/>
        <v>198709.83542857139</v>
      </c>
      <c r="L78" s="10">
        <f t="shared" si="12"/>
        <v>39629.230628074467</v>
      </c>
      <c r="M78" s="10">
        <f>'D) Ecrêtage'!M77</f>
        <v>107712.55485714282</v>
      </c>
      <c r="N78" s="10">
        <f t="shared" si="8"/>
        <v>137912.22839264752</v>
      </c>
      <c r="O78" s="67">
        <f t="shared" si="9"/>
        <v>336622.06382121891</v>
      </c>
      <c r="P78" s="315"/>
      <c r="Q78" s="316"/>
      <c r="R78" s="312"/>
      <c r="S78" s="312"/>
      <c r="T78" s="317"/>
    </row>
    <row r="79" spans="1:20" s="311" customFormat="1" x14ac:dyDescent="0.25">
      <c r="A79" s="324">
        <f>'A) Base RI'!A80</f>
        <v>5518</v>
      </c>
      <c r="B79" s="324" t="str">
        <f>'A) Base RI'!B80</f>
        <v>Echallens</v>
      </c>
      <c r="C79" s="383">
        <v>0</v>
      </c>
      <c r="D79" s="313">
        <f>'B) D RI'!AR80</f>
        <v>5677</v>
      </c>
      <c r="E79" s="314">
        <f>'B) D RI'!S80</f>
        <v>74</v>
      </c>
      <c r="F79" s="10">
        <f>'B) D RI'!R80</f>
        <v>13857791.540000003</v>
      </c>
      <c r="G79" s="10">
        <f>'B) D RI'!U80</f>
        <v>187267.45324324328</v>
      </c>
      <c r="H79" s="44">
        <f>'B) D RI'!T80</f>
        <v>12874481.240000002</v>
      </c>
      <c r="I79" s="10">
        <f t="shared" si="10"/>
        <v>347958.9524324325</v>
      </c>
      <c r="J79" s="34">
        <f t="shared" si="11"/>
        <v>493994.4790082433</v>
      </c>
      <c r="K79" s="10">
        <f t="shared" si="7"/>
        <v>347958.9524324325</v>
      </c>
      <c r="L79" s="10">
        <f t="shared" si="12"/>
        <v>146035.5265758108</v>
      </c>
      <c r="M79" s="10">
        <f>'D) Ecrêtage'!M78</f>
        <v>187267.45324324328</v>
      </c>
      <c r="N79" s="10">
        <f t="shared" si="8"/>
        <v>239772.15856076183</v>
      </c>
      <c r="O79" s="67">
        <f t="shared" si="9"/>
        <v>587731.11099319439</v>
      </c>
      <c r="P79" s="315"/>
      <c r="Q79" s="316"/>
      <c r="R79" s="312"/>
      <c r="S79" s="312"/>
      <c r="T79" s="317"/>
    </row>
    <row r="80" spans="1:20" s="311" customFormat="1" x14ac:dyDescent="0.25">
      <c r="A80" s="324">
        <f>'A) Base RI'!A81</f>
        <v>5520</v>
      </c>
      <c r="B80" s="324" t="str">
        <f>'A) Base RI'!B81</f>
        <v>Essertines-sur-Yverdon</v>
      </c>
      <c r="C80" s="383">
        <v>0</v>
      </c>
      <c r="D80" s="313">
        <f>'B) D RI'!AR81</f>
        <v>943</v>
      </c>
      <c r="E80" s="314">
        <f>'B) D RI'!S81</f>
        <v>73</v>
      </c>
      <c r="F80" s="10">
        <f>'B) D RI'!R81</f>
        <v>2051044.25</v>
      </c>
      <c r="G80" s="10">
        <f>'B) D RI'!U81</f>
        <v>28096.496575342466</v>
      </c>
      <c r="H80" s="44">
        <f>'B) D RI'!T81</f>
        <v>1884516.55</v>
      </c>
      <c r="I80" s="10">
        <f t="shared" si="10"/>
        <v>51630.590410958903</v>
      </c>
      <c r="J80" s="34">
        <f t="shared" si="11"/>
        <v>82056.859909243169</v>
      </c>
      <c r="K80" s="10">
        <f t="shared" si="7"/>
        <v>51630.590410958903</v>
      </c>
      <c r="L80" s="10">
        <f t="shared" si="12"/>
        <v>30426.269498284266</v>
      </c>
      <c r="M80" s="10">
        <f>'D) Ecrêtage'!M79</f>
        <v>28096.496575342466</v>
      </c>
      <c r="N80" s="10">
        <f t="shared" si="8"/>
        <v>35973.990755961655</v>
      </c>
      <c r="O80" s="67">
        <f t="shared" si="9"/>
        <v>87604.581166920558</v>
      </c>
      <c r="P80" s="315"/>
      <c r="Q80" s="316"/>
      <c r="R80" s="312"/>
      <c r="S80" s="312"/>
      <c r="T80" s="317"/>
    </row>
    <row r="81" spans="1:20" s="311" customFormat="1" x14ac:dyDescent="0.25">
      <c r="A81" s="324">
        <f>'A) Base RI'!A82</f>
        <v>5521</v>
      </c>
      <c r="B81" s="324" t="str">
        <f>'A) Base RI'!B82</f>
        <v>Etagnières</v>
      </c>
      <c r="C81" s="383">
        <v>0</v>
      </c>
      <c r="D81" s="313">
        <f>'B) D RI'!AR82</f>
        <v>1118</v>
      </c>
      <c r="E81" s="314">
        <f>'B) D RI'!S82</f>
        <v>73</v>
      </c>
      <c r="F81" s="10">
        <f>'B) D RI'!R82</f>
        <v>2968037.4499999997</v>
      </c>
      <c r="G81" s="10">
        <f>'B) D RI'!U82</f>
        <v>40658.047260273968</v>
      </c>
      <c r="H81" s="44">
        <f>'B) D RI'!T82</f>
        <v>2727671.55</v>
      </c>
      <c r="I81" s="10">
        <f t="shared" si="10"/>
        <v>74730.727397260271</v>
      </c>
      <c r="J81" s="34">
        <f t="shared" si="11"/>
        <v>97284.803158572497</v>
      </c>
      <c r="K81" s="10">
        <f t="shared" si="7"/>
        <v>74730.727397260271</v>
      </c>
      <c r="L81" s="10">
        <f t="shared" si="12"/>
        <v>22554.075761312226</v>
      </c>
      <c r="M81" s="10">
        <f>'D) Ecrêtage'!M80</f>
        <v>40658.047260273968</v>
      </c>
      <c r="N81" s="10">
        <f t="shared" si="8"/>
        <v>52057.45892105838</v>
      </c>
      <c r="O81" s="67">
        <f t="shared" si="9"/>
        <v>126788.18631831865</v>
      </c>
      <c r="P81" s="315"/>
      <c r="Q81" s="316"/>
      <c r="R81" s="312"/>
      <c r="S81" s="312"/>
      <c r="T81" s="317"/>
    </row>
    <row r="82" spans="1:20" s="311" customFormat="1" x14ac:dyDescent="0.25">
      <c r="A82" s="324">
        <f>'A) Base RI'!A83</f>
        <v>5522</v>
      </c>
      <c r="B82" s="324" t="str">
        <f>'A) Base RI'!B83</f>
        <v>Fey</v>
      </c>
      <c r="C82" s="383">
        <v>0</v>
      </c>
      <c r="D82" s="313">
        <f>'B) D RI'!AR83</f>
        <v>696</v>
      </c>
      <c r="E82" s="314">
        <f>'B) D RI'!S83</f>
        <v>75</v>
      </c>
      <c r="F82" s="10">
        <f>'B) D RI'!R83</f>
        <v>1433186.95</v>
      </c>
      <c r="G82" s="10">
        <f>'B) D RI'!U83</f>
        <v>19109.159333333333</v>
      </c>
      <c r="H82" s="44">
        <f>'B) D RI'!T83</f>
        <v>1317659.3</v>
      </c>
      <c r="I82" s="10">
        <f t="shared" si="10"/>
        <v>35137.581333333335</v>
      </c>
      <c r="J82" s="34">
        <f t="shared" si="11"/>
        <v>60563.705723046922</v>
      </c>
      <c r="K82" s="10">
        <f t="shared" si="7"/>
        <v>35137.581333333335</v>
      </c>
      <c r="L82" s="10">
        <f t="shared" si="12"/>
        <v>25426.124389713586</v>
      </c>
      <c r="M82" s="10">
        <f>'D) Ecrêtage'!M81</f>
        <v>19109.159333333333</v>
      </c>
      <c r="N82" s="10">
        <f t="shared" si="8"/>
        <v>24466.848361970649</v>
      </c>
      <c r="O82" s="67">
        <f t="shared" si="9"/>
        <v>59604.429695303988</v>
      </c>
      <c r="P82" s="315"/>
      <c r="Q82" s="316"/>
      <c r="R82" s="312"/>
      <c r="S82" s="312"/>
      <c r="T82" s="317"/>
    </row>
    <row r="83" spans="1:20" s="311" customFormat="1" x14ac:dyDescent="0.25">
      <c r="A83" s="324">
        <f>'A) Base RI'!A84</f>
        <v>5523</v>
      </c>
      <c r="B83" s="324" t="str">
        <f>'A) Base RI'!B84</f>
        <v>Froideville</v>
      </c>
      <c r="C83" s="383">
        <v>0</v>
      </c>
      <c r="D83" s="313">
        <f>'B) D RI'!AR84</f>
        <v>2459</v>
      </c>
      <c r="E83" s="314">
        <f>'B) D RI'!S84</f>
        <v>76</v>
      </c>
      <c r="F83" s="10">
        <f>'B) D RI'!R84</f>
        <v>5867052.3500000006</v>
      </c>
      <c r="G83" s="10">
        <f>'B) D RI'!U84</f>
        <v>77198.057236842113</v>
      </c>
      <c r="H83" s="44">
        <f>'B) D RI'!T84</f>
        <v>5381988.1500000004</v>
      </c>
      <c r="I83" s="10">
        <f t="shared" si="10"/>
        <v>141631.26710526316</v>
      </c>
      <c r="J83" s="34">
        <f t="shared" si="11"/>
        <v>213974.35685771893</v>
      </c>
      <c r="K83" s="10">
        <f t="shared" si="7"/>
        <v>141631.26710526316</v>
      </c>
      <c r="L83" s="10">
        <f t="shared" si="12"/>
        <v>72343.089752455766</v>
      </c>
      <c r="M83" s="10">
        <f>'D) Ecrêtage'!M82</f>
        <v>77198.057236842113</v>
      </c>
      <c r="N83" s="10">
        <f t="shared" si="8"/>
        <v>98842.294802461751</v>
      </c>
      <c r="O83" s="67">
        <f t="shared" si="9"/>
        <v>240473.56190772491</v>
      </c>
      <c r="P83" s="315"/>
      <c r="Q83" s="316"/>
      <c r="R83" s="312"/>
      <c r="S83" s="312"/>
      <c r="T83" s="317"/>
    </row>
    <row r="84" spans="1:20" s="311" customFormat="1" x14ac:dyDescent="0.25">
      <c r="A84" s="324">
        <f>'A) Base RI'!A85</f>
        <v>5527</v>
      </c>
      <c r="B84" s="324" t="str">
        <f>'A) Base RI'!B85</f>
        <v>Morrens</v>
      </c>
      <c r="C84" s="383">
        <v>0</v>
      </c>
      <c r="D84" s="313">
        <f>'B) D RI'!AR85</f>
        <v>1074</v>
      </c>
      <c r="E84" s="314">
        <f>'B) D RI'!S85</f>
        <v>71</v>
      </c>
      <c r="F84" s="10">
        <f>'B) D RI'!R85</f>
        <v>2666810.9300000002</v>
      </c>
      <c r="G84" s="10">
        <f>'B) D RI'!U85</f>
        <v>37560.717323943667</v>
      </c>
      <c r="H84" s="44">
        <f>'B) D RI'!T85</f>
        <v>2456458.3800000004</v>
      </c>
      <c r="I84" s="10">
        <f t="shared" si="10"/>
        <v>69196.010704225366</v>
      </c>
      <c r="J84" s="34">
        <f t="shared" si="11"/>
        <v>93456.063141598264</v>
      </c>
      <c r="K84" s="10">
        <f t="shared" si="7"/>
        <v>69196.010704225366</v>
      </c>
      <c r="L84" s="10">
        <f t="shared" si="12"/>
        <v>24260.052437372899</v>
      </c>
      <c r="M84" s="10">
        <f>'D) Ecrêtage'!M83</f>
        <v>37560.717323943667</v>
      </c>
      <c r="N84" s="10">
        <f t="shared" si="8"/>
        <v>48091.721833556345</v>
      </c>
      <c r="O84" s="67">
        <f t="shared" si="9"/>
        <v>117287.7325377817</v>
      </c>
      <c r="P84" s="315"/>
      <c r="Q84" s="316"/>
      <c r="R84" s="312"/>
      <c r="S84" s="312"/>
      <c r="T84" s="317"/>
    </row>
    <row r="85" spans="1:20" s="311" customFormat="1" x14ac:dyDescent="0.25">
      <c r="A85" s="324">
        <f>'A) Base RI'!A86</f>
        <v>5529</v>
      </c>
      <c r="B85" s="324" t="str">
        <f>'A) Base RI'!B86</f>
        <v>Oulens-sous-Echallens</v>
      </c>
      <c r="C85" s="383">
        <v>0</v>
      </c>
      <c r="D85" s="313">
        <f>'B) D RI'!AR86</f>
        <v>560</v>
      </c>
      <c r="E85" s="314">
        <f>'B) D RI'!S86</f>
        <v>71</v>
      </c>
      <c r="F85" s="10">
        <f>'B) D RI'!R86</f>
        <v>1411115.23</v>
      </c>
      <c r="G85" s="10">
        <f>'B) D RI'!U86</f>
        <v>19874.862394366199</v>
      </c>
      <c r="H85" s="44">
        <f>'B) D RI'!T86</f>
        <v>1307058.73</v>
      </c>
      <c r="I85" s="10">
        <f t="shared" si="10"/>
        <v>36818.555774647888</v>
      </c>
      <c r="J85" s="34">
        <f t="shared" si="11"/>
        <v>48729.418397853842</v>
      </c>
      <c r="K85" s="10">
        <f t="shared" si="7"/>
        <v>36818.555774647888</v>
      </c>
      <c r="L85" s="10">
        <f t="shared" si="12"/>
        <v>11910.862623205954</v>
      </c>
      <c r="M85" s="10">
        <f>'D) Ecrêtage'!M84</f>
        <v>19874.862394366199</v>
      </c>
      <c r="N85" s="10">
        <f t="shared" si="8"/>
        <v>25447.233755058474</v>
      </c>
      <c r="O85" s="67">
        <f t="shared" si="9"/>
        <v>62265.789529706366</v>
      </c>
      <c r="P85" s="315"/>
      <c r="Q85" s="316"/>
      <c r="R85" s="312"/>
      <c r="S85" s="312"/>
      <c r="T85" s="317"/>
    </row>
    <row r="86" spans="1:20" s="311" customFormat="1" x14ac:dyDescent="0.25">
      <c r="A86" s="324">
        <f>'A) Base RI'!A87</f>
        <v>5530</v>
      </c>
      <c r="B86" s="324" t="str">
        <f>'A) Base RI'!B87</f>
        <v>Pailly</v>
      </c>
      <c r="C86" s="383">
        <v>0</v>
      </c>
      <c r="D86" s="313">
        <f>'B) D RI'!AR87</f>
        <v>534</v>
      </c>
      <c r="E86" s="314">
        <f>'B) D RI'!S87</f>
        <v>77.5</v>
      </c>
      <c r="F86" s="10">
        <f>'B) D RI'!R87</f>
        <v>1183582.1433333335</v>
      </c>
      <c r="G86" s="10">
        <f>'B) D RI'!U87</f>
        <v>15272.027655913982</v>
      </c>
      <c r="H86" s="44">
        <f>'B) D RI'!T87</f>
        <v>1092524.3100000003</v>
      </c>
      <c r="I86" s="10">
        <f t="shared" si="10"/>
        <v>28194.175741935491</v>
      </c>
      <c r="J86" s="34">
        <f t="shared" si="11"/>
        <v>46466.981115096343</v>
      </c>
      <c r="K86" s="10">
        <f t="shared" si="7"/>
        <v>28194.175741935491</v>
      </c>
      <c r="L86" s="10">
        <f t="shared" si="12"/>
        <v>18272.805373160852</v>
      </c>
      <c r="M86" s="10">
        <f>'D) Ecrêtage'!M85</f>
        <v>15272.027655913982</v>
      </c>
      <c r="N86" s="10">
        <f t="shared" si="8"/>
        <v>19553.889227626732</v>
      </c>
      <c r="O86" s="67">
        <f t="shared" si="9"/>
        <v>47748.064969562227</v>
      </c>
      <c r="P86" s="315"/>
      <c r="Q86" s="316"/>
      <c r="R86" s="312"/>
      <c r="S86" s="312"/>
      <c r="T86" s="317"/>
    </row>
    <row r="87" spans="1:20" s="311" customFormat="1" x14ac:dyDescent="0.25">
      <c r="A87" s="324">
        <f>'A) Base RI'!A88</f>
        <v>5531</v>
      </c>
      <c r="B87" s="324" t="str">
        <f>'A) Base RI'!B88</f>
        <v>Penthéréaz</v>
      </c>
      <c r="C87" s="383">
        <v>0</v>
      </c>
      <c r="D87" s="313">
        <f>'B) D RI'!AR88</f>
        <v>411</v>
      </c>
      <c r="E87" s="314">
        <f>'B) D RI'!S88</f>
        <v>78</v>
      </c>
      <c r="F87" s="10">
        <f>'B) D RI'!R88</f>
        <v>943932.60999999987</v>
      </c>
      <c r="G87" s="10">
        <f>'B) D RI'!U88</f>
        <v>12101.700128205126</v>
      </c>
      <c r="H87" s="44">
        <f>'B) D RI'!T88</f>
        <v>874688.25999999989</v>
      </c>
      <c r="I87" s="10">
        <f t="shared" si="10"/>
        <v>22427.904102564098</v>
      </c>
      <c r="J87" s="34">
        <f t="shared" si="11"/>
        <v>35763.912431282013</v>
      </c>
      <c r="K87" s="10">
        <f t="shared" si="7"/>
        <v>22427.904102564098</v>
      </c>
      <c r="L87" s="10">
        <f t="shared" si="12"/>
        <v>13336.008328717915</v>
      </c>
      <c r="M87" s="10">
        <f>'D) Ecrêtage'!M86</f>
        <v>12101.700128205126</v>
      </c>
      <c r="N87" s="10">
        <f t="shared" si="8"/>
        <v>15494.68800766897</v>
      </c>
      <c r="O87" s="67">
        <f t="shared" si="9"/>
        <v>37922.592110233069</v>
      </c>
      <c r="P87" s="315"/>
      <c r="Q87" s="316"/>
      <c r="R87" s="312"/>
      <c r="S87" s="312"/>
      <c r="T87" s="317"/>
    </row>
    <row r="88" spans="1:20" s="311" customFormat="1" x14ac:dyDescent="0.25">
      <c r="A88" s="324">
        <f>'A) Base RI'!A89</f>
        <v>5533</v>
      </c>
      <c r="B88" s="324" t="str">
        <f>'A) Base RI'!B89</f>
        <v>Poliez-Pittet</v>
      </c>
      <c r="C88" s="383">
        <v>0</v>
      </c>
      <c r="D88" s="313">
        <f>'B) D RI'!AR89</f>
        <v>844</v>
      </c>
      <c r="E88" s="314">
        <f>'B) D RI'!S89</f>
        <v>71</v>
      </c>
      <c r="F88" s="10">
        <f>'B) D RI'!R89</f>
        <v>1920207.14</v>
      </c>
      <c r="G88" s="10">
        <f>'B) D RI'!U89</f>
        <v>27045.170985915491</v>
      </c>
      <c r="H88" s="44">
        <f>'B) D RI'!T89</f>
        <v>1785745.39</v>
      </c>
      <c r="I88" s="10">
        <f t="shared" si="10"/>
        <v>50302.687042253521</v>
      </c>
      <c r="J88" s="34">
        <f t="shared" si="11"/>
        <v>73442.19487105115</v>
      </c>
      <c r="K88" s="10">
        <f t="shared" si="7"/>
        <v>50302.687042253521</v>
      </c>
      <c r="L88" s="10">
        <f t="shared" si="12"/>
        <v>23139.507828797628</v>
      </c>
      <c r="M88" s="10">
        <f>'D) Ecrêtage'!M87</f>
        <v>27045.170985915491</v>
      </c>
      <c r="N88" s="10">
        <f t="shared" si="8"/>
        <v>34627.902038667875</v>
      </c>
      <c r="O88" s="67">
        <f t="shared" si="9"/>
        <v>84930.589080921403</v>
      </c>
      <c r="P88" s="315"/>
      <c r="Q88" s="316"/>
      <c r="R88" s="312"/>
      <c r="S88" s="312"/>
      <c r="T88" s="317"/>
    </row>
    <row r="89" spans="1:20" s="311" customFormat="1" x14ac:dyDescent="0.25">
      <c r="A89" s="324">
        <f>'A) Base RI'!A90</f>
        <v>5534</v>
      </c>
      <c r="B89" s="324" t="str">
        <f>'A) Base RI'!B90</f>
        <v>Rueyres</v>
      </c>
      <c r="C89" s="383">
        <v>0</v>
      </c>
      <c r="D89" s="313">
        <f>'B) D RI'!AR90</f>
        <v>271</v>
      </c>
      <c r="E89" s="314">
        <f>'B) D RI'!S90</f>
        <v>73</v>
      </c>
      <c r="F89" s="10">
        <f>'B) D RI'!R90</f>
        <v>798193.53</v>
      </c>
      <c r="G89" s="10">
        <f>'B) D RI'!U90</f>
        <v>10934.157945205479</v>
      </c>
      <c r="H89" s="44">
        <f>'B) D RI'!T90</f>
        <v>726509.63</v>
      </c>
      <c r="I89" s="10">
        <f t="shared" si="10"/>
        <v>19904.373424657533</v>
      </c>
      <c r="J89" s="34">
        <f t="shared" si="11"/>
        <v>23581.557831818554</v>
      </c>
      <c r="K89" s="10">
        <f t="shared" si="7"/>
        <v>19904.373424657533</v>
      </c>
      <c r="L89" s="10">
        <f t="shared" si="12"/>
        <v>3677.1844071610212</v>
      </c>
      <c r="M89" s="10">
        <f>'D) Ecrêtage'!M88</f>
        <v>10934.157945205479</v>
      </c>
      <c r="N89" s="10">
        <f t="shared" si="8"/>
        <v>13999.798721889303</v>
      </c>
      <c r="O89" s="67">
        <f t="shared" si="9"/>
        <v>33904.172146546836</v>
      </c>
      <c r="P89" s="315"/>
      <c r="Q89" s="316"/>
      <c r="R89" s="312"/>
      <c r="S89" s="312"/>
      <c r="T89" s="317"/>
    </row>
    <row r="90" spans="1:20" s="311" customFormat="1" x14ac:dyDescent="0.25">
      <c r="A90" s="324">
        <f>'A) Base RI'!A91</f>
        <v>5535</v>
      </c>
      <c r="B90" s="324" t="str">
        <f>'A) Base RI'!B91</f>
        <v>Saint-Barthélemy</v>
      </c>
      <c r="C90" s="383">
        <v>0</v>
      </c>
      <c r="D90" s="313">
        <f>'B) D RI'!AR91</f>
        <v>777</v>
      </c>
      <c r="E90" s="314">
        <f>'B) D RI'!S91</f>
        <v>75</v>
      </c>
      <c r="F90" s="10">
        <f>'B) D RI'!R91</f>
        <v>1552316.04</v>
      </c>
      <c r="G90" s="10">
        <f>'B) D RI'!U91</f>
        <v>20697.547200000001</v>
      </c>
      <c r="H90" s="44">
        <f>'B) D RI'!T91</f>
        <v>1421004.24</v>
      </c>
      <c r="I90" s="10">
        <f t="shared" si="10"/>
        <v>37893.446400000001</v>
      </c>
      <c r="J90" s="34">
        <f t="shared" si="11"/>
        <v>67612.068027022207</v>
      </c>
      <c r="K90" s="10">
        <f t="shared" si="7"/>
        <v>37893.446400000001</v>
      </c>
      <c r="L90" s="10">
        <f t="shared" si="12"/>
        <v>29718.621627022207</v>
      </c>
      <c r="M90" s="10">
        <f>'D) Ecrêtage'!M89</f>
        <v>20697.547200000001</v>
      </c>
      <c r="N90" s="10">
        <f t="shared" si="8"/>
        <v>26500.577025582577</v>
      </c>
      <c r="O90" s="67">
        <f t="shared" si="9"/>
        <v>64394.023425582578</v>
      </c>
      <c r="P90" s="315"/>
      <c r="Q90" s="316"/>
      <c r="R90" s="312"/>
      <c r="S90" s="312"/>
      <c r="T90" s="317"/>
    </row>
    <row r="91" spans="1:20" s="311" customFormat="1" x14ac:dyDescent="0.25">
      <c r="A91" s="324">
        <f>'A) Base RI'!A92</f>
        <v>5537</v>
      </c>
      <c r="B91" s="324" t="str">
        <f>'A) Base RI'!B92</f>
        <v>Villars-le-Terroir</v>
      </c>
      <c r="C91" s="383">
        <v>0</v>
      </c>
      <c r="D91" s="313">
        <f>'B) D RI'!AR92</f>
        <v>1066</v>
      </c>
      <c r="E91" s="314">
        <f>'B) D RI'!S92</f>
        <v>73</v>
      </c>
      <c r="F91" s="10">
        <f>'B) D RI'!R92</f>
        <v>2193003.0949999997</v>
      </c>
      <c r="G91" s="10">
        <f>'B) D RI'!U92</f>
        <v>30041.138287671231</v>
      </c>
      <c r="H91" s="44">
        <f>'B) D RI'!T92</f>
        <v>1996766.52</v>
      </c>
      <c r="I91" s="10">
        <f t="shared" si="10"/>
        <v>54705.932054794524</v>
      </c>
      <c r="J91" s="34">
        <f t="shared" si="11"/>
        <v>92759.928593057499</v>
      </c>
      <c r="K91" s="10">
        <f t="shared" si="7"/>
        <v>54705.932054794524</v>
      </c>
      <c r="L91" s="10">
        <f t="shared" si="12"/>
        <v>38053.996538262974</v>
      </c>
      <c r="M91" s="10">
        <f>'D) Ecrêtage'!M90</f>
        <v>30041.138287671231</v>
      </c>
      <c r="N91" s="10">
        <f t="shared" si="8"/>
        <v>38463.857163162276</v>
      </c>
      <c r="O91" s="67">
        <f t="shared" si="9"/>
        <v>93169.789217956801</v>
      </c>
      <c r="P91" s="315"/>
      <c r="Q91" s="316"/>
      <c r="R91" s="312"/>
      <c r="S91" s="312"/>
      <c r="T91" s="317"/>
    </row>
    <row r="92" spans="1:20" s="311" customFormat="1" x14ac:dyDescent="0.25">
      <c r="A92" s="324">
        <f>'A) Base RI'!A93</f>
        <v>5539</v>
      </c>
      <c r="B92" s="324" t="str">
        <f>'A) Base RI'!B93</f>
        <v>Vuarrens</v>
      </c>
      <c r="C92" s="383">
        <v>0</v>
      </c>
      <c r="D92" s="313">
        <f>'B) D RI'!AR93</f>
        <v>993</v>
      </c>
      <c r="E92" s="314">
        <f>'B) D RI'!S93</f>
        <v>75</v>
      </c>
      <c r="F92" s="10">
        <f>'B) D RI'!R93</f>
        <v>1704527.3674999997</v>
      </c>
      <c r="G92" s="10">
        <f>'B) D RI'!U93</f>
        <v>22727.031566666661</v>
      </c>
      <c r="H92" s="44">
        <f>'B) D RI'!T93</f>
        <v>1537282.1799999997</v>
      </c>
      <c r="I92" s="10">
        <f t="shared" si="10"/>
        <v>40994.191466666656</v>
      </c>
      <c r="J92" s="34">
        <f t="shared" si="11"/>
        <v>86407.700837622979</v>
      </c>
      <c r="K92" s="10">
        <f t="shared" si="7"/>
        <v>40994.191466666656</v>
      </c>
      <c r="L92" s="10">
        <f t="shared" si="12"/>
        <v>45413.509370956323</v>
      </c>
      <c r="M92" s="10">
        <f>'D) Ecrêtage'!M91</f>
        <v>22727.031566666661</v>
      </c>
      <c r="N92" s="10">
        <f t="shared" si="8"/>
        <v>29099.073661989114</v>
      </c>
      <c r="O92" s="67">
        <f t="shared" si="9"/>
        <v>70093.265128655767</v>
      </c>
      <c r="P92" s="315"/>
      <c r="Q92" s="316"/>
      <c r="R92" s="312"/>
      <c r="S92" s="312"/>
      <c r="T92" s="317"/>
    </row>
    <row r="93" spans="1:20" s="311" customFormat="1" x14ac:dyDescent="0.25">
      <c r="A93" s="324">
        <f>'A) Base RI'!A94</f>
        <v>5540</v>
      </c>
      <c r="B93" s="324" t="str">
        <f>'A) Base RI'!B94</f>
        <v>Montilliez</v>
      </c>
      <c r="C93" s="383">
        <v>0</v>
      </c>
      <c r="D93" s="313">
        <f>'B) D RI'!AR94</f>
        <v>1698</v>
      </c>
      <c r="E93" s="314">
        <f>'B) D RI'!S94</f>
        <v>74</v>
      </c>
      <c r="F93" s="10">
        <f>'B) D RI'!R94</f>
        <v>4060799.9050000003</v>
      </c>
      <c r="G93" s="10">
        <f>'B) D RI'!U94</f>
        <v>54875.674391891895</v>
      </c>
      <c r="H93" s="44">
        <f>'B) D RI'!T94</f>
        <v>3760525.7800000003</v>
      </c>
      <c r="I93" s="10">
        <f t="shared" si="10"/>
        <v>101635.8318918919</v>
      </c>
      <c r="J93" s="34">
        <f t="shared" si="11"/>
        <v>147754.55792777825</v>
      </c>
      <c r="K93" s="10">
        <f t="shared" si="7"/>
        <v>101635.8318918919</v>
      </c>
      <c r="L93" s="10">
        <f t="shared" si="12"/>
        <v>46118.726035886357</v>
      </c>
      <c r="M93" s="10">
        <f>'D) Ecrêtage'!M92</f>
        <v>54875.674391891895</v>
      </c>
      <c r="N93" s="10">
        <f t="shared" si="8"/>
        <v>70261.322368339403</v>
      </c>
      <c r="O93" s="67">
        <f t="shared" si="9"/>
        <v>171897.1542602313</v>
      </c>
      <c r="P93" s="315"/>
      <c r="Q93" s="316"/>
      <c r="R93" s="312"/>
      <c r="S93" s="312"/>
      <c r="T93" s="317"/>
    </row>
    <row r="94" spans="1:20" s="311" customFormat="1" x14ac:dyDescent="0.25">
      <c r="A94" s="324">
        <f>'A) Base RI'!A95</f>
        <v>5541</v>
      </c>
      <c r="B94" s="324" t="str">
        <f>'A) Base RI'!B95</f>
        <v>Goumoëns</v>
      </c>
      <c r="C94" s="383">
        <v>0</v>
      </c>
      <c r="D94" s="313">
        <f>'B) D RI'!AR95</f>
        <v>1051</v>
      </c>
      <c r="E94" s="314">
        <f>'B) D RI'!S95</f>
        <v>77</v>
      </c>
      <c r="F94" s="10">
        <f>'B) D RI'!R95</f>
        <v>2502351.4299999992</v>
      </c>
      <c r="G94" s="10">
        <f>'B) D RI'!U95</f>
        <v>32498.070519480509</v>
      </c>
      <c r="H94" s="44">
        <f>'B) D RI'!T95</f>
        <v>2323512.0799999991</v>
      </c>
      <c r="I94" s="10">
        <f t="shared" si="10"/>
        <v>60350.963116883097</v>
      </c>
      <c r="J94" s="34">
        <f t="shared" si="11"/>
        <v>91454.676314543554</v>
      </c>
      <c r="K94" s="10">
        <f t="shared" si="7"/>
        <v>60350.963116883097</v>
      </c>
      <c r="L94" s="10">
        <f t="shared" si="12"/>
        <v>31103.713197660458</v>
      </c>
      <c r="M94" s="10">
        <f>'D) Ecrêtage'!M93</f>
        <v>32498.070519480509</v>
      </c>
      <c r="N94" s="10">
        <f t="shared" si="8"/>
        <v>41609.64643116299</v>
      </c>
      <c r="O94" s="67">
        <f t="shared" si="9"/>
        <v>101960.60954804608</v>
      </c>
      <c r="P94" s="315"/>
      <c r="Q94" s="316"/>
      <c r="R94" s="312"/>
      <c r="S94" s="312"/>
      <c r="T94" s="317"/>
    </row>
    <row r="95" spans="1:20" s="311" customFormat="1" x14ac:dyDescent="0.25">
      <c r="A95" s="324">
        <f>'A) Base RI'!A96</f>
        <v>5551</v>
      </c>
      <c r="B95" s="324" t="str">
        <f>'A) Base RI'!B96</f>
        <v>Bonvillars</v>
      </c>
      <c r="C95" s="383">
        <v>0</v>
      </c>
      <c r="D95" s="313">
        <f>'B) D RI'!AR96</f>
        <v>495</v>
      </c>
      <c r="E95" s="314">
        <f>'B) D RI'!S96</f>
        <v>55</v>
      </c>
      <c r="F95" s="10">
        <f>'B) D RI'!R96</f>
        <v>1061058.1242857142</v>
      </c>
      <c r="G95" s="10">
        <f>'B) D RI'!U96</f>
        <v>19291.965896103895</v>
      </c>
      <c r="H95" s="44">
        <f>'B) D RI'!T96</f>
        <v>940054.01</v>
      </c>
      <c r="I95" s="10">
        <f t="shared" si="10"/>
        <v>34183.782181818184</v>
      </c>
      <c r="J95" s="34">
        <f t="shared" si="11"/>
        <v>43073.325190960095</v>
      </c>
      <c r="K95" s="10">
        <f t="shared" si="7"/>
        <v>34183.782181818184</v>
      </c>
      <c r="L95" s="10">
        <f t="shared" si="12"/>
        <v>8889.5430091419112</v>
      </c>
      <c r="M95" s="10">
        <f>'D) Ecrêtage'!M94</f>
        <v>19291.965896103895</v>
      </c>
      <c r="N95" s="10">
        <f t="shared" si="8"/>
        <v>24700.908917584857</v>
      </c>
      <c r="O95" s="67">
        <f t="shared" si="9"/>
        <v>58884.69109940304</v>
      </c>
      <c r="P95" s="315"/>
      <c r="Q95" s="316"/>
      <c r="R95" s="312"/>
      <c r="S95" s="312"/>
      <c r="T95" s="317"/>
    </row>
    <row r="96" spans="1:20" s="311" customFormat="1" x14ac:dyDescent="0.25">
      <c r="A96" s="324">
        <f>'A) Base RI'!A97</f>
        <v>5552</v>
      </c>
      <c r="B96" s="324" t="str">
        <f>'A) Base RI'!B97</f>
        <v>Bullet</v>
      </c>
      <c r="C96" s="383">
        <v>0</v>
      </c>
      <c r="D96" s="313">
        <f>'B) D RI'!AR97</f>
        <v>629</v>
      </c>
      <c r="E96" s="314">
        <f>'B) D RI'!S97</f>
        <v>70</v>
      </c>
      <c r="F96" s="10">
        <f>'B) D RI'!R97</f>
        <v>1101487.6299999999</v>
      </c>
      <c r="G96" s="10">
        <f>'B) D RI'!U97</f>
        <v>15735.537571428569</v>
      </c>
      <c r="H96" s="44">
        <f>'B) D RI'!T97</f>
        <v>992866.73</v>
      </c>
      <c r="I96" s="10">
        <f t="shared" si="10"/>
        <v>28367.620857142858</v>
      </c>
      <c r="J96" s="34">
        <f t="shared" si="11"/>
        <v>54733.578879017979</v>
      </c>
      <c r="K96" s="10">
        <f t="shared" si="7"/>
        <v>28367.620857142858</v>
      </c>
      <c r="L96" s="10">
        <f t="shared" si="12"/>
        <v>26365.958021875122</v>
      </c>
      <c r="M96" s="10">
        <f>'D) Ecrêtage'!M95</f>
        <v>15735.537571428569</v>
      </c>
      <c r="N96" s="10">
        <f t="shared" si="8"/>
        <v>20147.354728612063</v>
      </c>
      <c r="O96" s="67">
        <f t="shared" si="9"/>
        <v>48514.975585754917</v>
      </c>
      <c r="P96" s="315"/>
      <c r="Q96" s="316"/>
      <c r="R96" s="312"/>
      <c r="S96" s="312"/>
      <c r="T96" s="317"/>
    </row>
    <row r="97" spans="1:20" s="311" customFormat="1" x14ac:dyDescent="0.25">
      <c r="A97" s="324">
        <f>'A) Base RI'!A98</f>
        <v>5553</v>
      </c>
      <c r="B97" s="324" t="str">
        <f>'A) Base RI'!B98</f>
        <v>Champagne</v>
      </c>
      <c r="C97" s="383">
        <v>0</v>
      </c>
      <c r="D97" s="313">
        <f>'B) D RI'!AR98</f>
        <v>1027</v>
      </c>
      <c r="E97" s="314">
        <f>'B) D RI'!S98</f>
        <v>63</v>
      </c>
      <c r="F97" s="10">
        <f>'B) D RI'!R98</f>
        <v>2102296.37</v>
      </c>
      <c r="G97" s="10">
        <f>'B) D RI'!U98</f>
        <v>33369.783650793652</v>
      </c>
      <c r="H97" s="44">
        <f>'B) D RI'!T98</f>
        <v>1900567.67</v>
      </c>
      <c r="I97" s="10">
        <f t="shared" si="10"/>
        <v>60335.481587301583</v>
      </c>
      <c r="J97" s="34">
        <f t="shared" si="11"/>
        <v>89366.272668921243</v>
      </c>
      <c r="K97" s="10">
        <f t="shared" si="7"/>
        <v>60335.481587301583</v>
      </c>
      <c r="L97" s="10">
        <f t="shared" si="12"/>
        <v>29030.79108161966</v>
      </c>
      <c r="M97" s="10">
        <f>'D) Ecrêtage'!M96</f>
        <v>33369.783650793652</v>
      </c>
      <c r="N97" s="10">
        <f t="shared" si="8"/>
        <v>42725.764237652438</v>
      </c>
      <c r="O97" s="67">
        <f t="shared" si="9"/>
        <v>103061.24582495402</v>
      </c>
      <c r="P97" s="315"/>
      <c r="Q97" s="316"/>
      <c r="R97" s="312"/>
      <c r="S97" s="312"/>
      <c r="T97" s="317"/>
    </row>
    <row r="98" spans="1:20" s="311" customFormat="1" x14ac:dyDescent="0.25">
      <c r="A98" s="324">
        <f>'A) Base RI'!A99</f>
        <v>5554</v>
      </c>
      <c r="B98" s="324" t="str">
        <f>'A) Base RI'!B99</f>
        <v>Concise</v>
      </c>
      <c r="C98" s="383">
        <v>0</v>
      </c>
      <c r="D98" s="313">
        <f>'B) D RI'!AR99</f>
        <v>960</v>
      </c>
      <c r="E98" s="314">
        <f>'B) D RI'!S99</f>
        <v>75</v>
      </c>
      <c r="F98" s="10">
        <f>'B) D RI'!R99</f>
        <v>2174003.16</v>
      </c>
      <c r="G98" s="10">
        <f>'B) D RI'!U99</f>
        <v>28986.7088</v>
      </c>
      <c r="H98" s="44">
        <f>'B) D RI'!T99</f>
        <v>2003154.56</v>
      </c>
      <c r="I98" s="10">
        <f t="shared" si="10"/>
        <v>53417.454933333334</v>
      </c>
      <c r="J98" s="34">
        <f t="shared" si="11"/>
        <v>83536.145824892301</v>
      </c>
      <c r="K98" s="10">
        <f t="shared" si="7"/>
        <v>53417.454933333334</v>
      </c>
      <c r="L98" s="10">
        <f t="shared" si="12"/>
        <v>30118.690891558967</v>
      </c>
      <c r="M98" s="10">
        <f>'D) Ecrêtage'!M97</f>
        <v>28986.7088</v>
      </c>
      <c r="N98" s="10">
        <f t="shared" si="8"/>
        <v>37113.794298897999</v>
      </c>
      <c r="O98" s="67">
        <f t="shared" si="9"/>
        <v>90531.249232231334</v>
      </c>
      <c r="P98" s="315"/>
      <c r="Q98" s="316"/>
      <c r="R98" s="312"/>
      <c r="S98" s="312"/>
      <c r="T98" s="317"/>
    </row>
    <row r="99" spans="1:20" s="311" customFormat="1" x14ac:dyDescent="0.25">
      <c r="A99" s="324">
        <f>'A) Base RI'!A100</f>
        <v>5555</v>
      </c>
      <c r="B99" s="324" t="str">
        <f>'A) Base RI'!B100</f>
        <v>Corcelles-près-Concise</v>
      </c>
      <c r="C99" s="383">
        <v>0</v>
      </c>
      <c r="D99" s="313">
        <f>'B) D RI'!AR100</f>
        <v>379</v>
      </c>
      <c r="E99" s="314">
        <f>'B) D RI'!S100</f>
        <v>71</v>
      </c>
      <c r="F99" s="10">
        <f>'B) D RI'!R100</f>
        <v>783866.44000000006</v>
      </c>
      <c r="G99" s="10">
        <f>'B) D RI'!U100</f>
        <v>11040.372394366199</v>
      </c>
      <c r="H99" s="44">
        <f>'B) D RI'!T100</f>
        <v>708566.59</v>
      </c>
      <c r="I99" s="10">
        <f t="shared" si="10"/>
        <v>19959.622253521127</v>
      </c>
      <c r="J99" s="34">
        <f t="shared" si="11"/>
        <v>32979.374237118936</v>
      </c>
      <c r="K99" s="10">
        <f t="shared" si="7"/>
        <v>19959.622253521127</v>
      </c>
      <c r="L99" s="10">
        <f t="shared" si="12"/>
        <v>13019.751983597809</v>
      </c>
      <c r="M99" s="10">
        <f>'D) Ecrêtage'!M98</f>
        <v>11040.372394366199</v>
      </c>
      <c r="N99" s="10">
        <f t="shared" si="8"/>
        <v>14135.792816455903</v>
      </c>
      <c r="O99" s="67">
        <f t="shared" si="9"/>
        <v>34095.415069977033</v>
      </c>
      <c r="P99" s="315"/>
      <c r="Q99" s="316"/>
      <c r="R99" s="312"/>
      <c r="S99" s="312"/>
      <c r="T99" s="317"/>
    </row>
    <row r="100" spans="1:20" s="311" customFormat="1" x14ac:dyDescent="0.25">
      <c r="A100" s="324">
        <f>'A) Base RI'!A101</f>
        <v>5556</v>
      </c>
      <c r="B100" s="324" t="str">
        <f>'A) Base RI'!B101</f>
        <v>Fiez</v>
      </c>
      <c r="C100" s="383">
        <v>0</v>
      </c>
      <c r="D100" s="313">
        <f>'B) D RI'!AR101</f>
        <v>427</v>
      </c>
      <c r="E100" s="314">
        <f>'B) D RI'!S101</f>
        <v>69</v>
      </c>
      <c r="F100" s="10">
        <f>'B) D RI'!R101</f>
        <v>860620.04</v>
      </c>
      <c r="G100" s="10">
        <f>'B) D RI'!U101</f>
        <v>12472.754202898552</v>
      </c>
      <c r="H100" s="44">
        <f>'B) D RI'!T101</f>
        <v>795736.04</v>
      </c>
      <c r="I100" s="10">
        <f t="shared" si="10"/>
        <v>23064.812753623188</v>
      </c>
      <c r="J100" s="34">
        <f t="shared" si="11"/>
        <v>37156.181528363551</v>
      </c>
      <c r="K100" s="10">
        <f t="shared" si="7"/>
        <v>23064.812753623188</v>
      </c>
      <c r="L100" s="10">
        <f t="shared" si="12"/>
        <v>14091.368774740364</v>
      </c>
      <c r="M100" s="10">
        <f>'D) Ecrêtage'!M99</f>
        <v>12472.754202898552</v>
      </c>
      <c r="N100" s="10">
        <f t="shared" si="8"/>
        <v>15969.775562346435</v>
      </c>
      <c r="O100" s="67">
        <f t="shared" si="9"/>
        <v>39034.588315969624</v>
      </c>
      <c r="P100" s="315"/>
      <c r="Q100" s="316"/>
      <c r="R100" s="312"/>
      <c r="S100" s="312"/>
      <c r="T100" s="317"/>
    </row>
    <row r="101" spans="1:20" s="311" customFormat="1" x14ac:dyDescent="0.25">
      <c r="A101" s="324">
        <f>'A) Base RI'!A102</f>
        <v>5557</v>
      </c>
      <c r="B101" s="324" t="str">
        <f>'A) Base RI'!B102</f>
        <v>Fontaines-sur-Grandson</v>
      </c>
      <c r="C101" s="383">
        <v>0</v>
      </c>
      <c r="D101" s="313">
        <f>'B) D RI'!AR102</f>
        <v>200</v>
      </c>
      <c r="E101" s="314">
        <f>'B) D RI'!S102</f>
        <v>69</v>
      </c>
      <c r="F101" s="10">
        <f>'B) D RI'!R102</f>
        <v>278089.82</v>
      </c>
      <c r="G101" s="10">
        <f>'B) D RI'!U102</f>
        <v>4030.2872463768117</v>
      </c>
      <c r="H101" s="44">
        <f>'B) D RI'!T102</f>
        <v>247709.12</v>
      </c>
      <c r="I101" s="10">
        <f t="shared" si="10"/>
        <v>7179.9744927536231</v>
      </c>
      <c r="J101" s="34">
        <f t="shared" si="11"/>
        <v>17403.363713519229</v>
      </c>
      <c r="K101" s="10">
        <f t="shared" si="7"/>
        <v>7179.9744927536231</v>
      </c>
      <c r="L101" s="10">
        <f t="shared" si="12"/>
        <v>10223.389220765606</v>
      </c>
      <c r="M101" s="10">
        <f>'D) Ecrêtage'!M100</f>
        <v>4030.2872463768117</v>
      </c>
      <c r="N101" s="10">
        <f t="shared" si="8"/>
        <v>5160.2702762688614</v>
      </c>
      <c r="O101" s="67">
        <f t="shared" si="9"/>
        <v>12340.244769022484</v>
      </c>
      <c r="P101" s="315"/>
      <c r="Q101" s="316"/>
      <c r="R101" s="312"/>
      <c r="S101" s="312"/>
      <c r="T101" s="317"/>
    </row>
    <row r="102" spans="1:20" s="311" customFormat="1" x14ac:dyDescent="0.25">
      <c r="A102" s="324">
        <f>'A) Base RI'!A103</f>
        <v>5559</v>
      </c>
      <c r="B102" s="324" t="str">
        <f>'A) Base RI'!B103</f>
        <v>Giez</v>
      </c>
      <c r="C102" s="383">
        <v>0</v>
      </c>
      <c r="D102" s="313">
        <f>'B) D RI'!AR103</f>
        <v>408</v>
      </c>
      <c r="E102" s="314">
        <f>'B) D RI'!S103</f>
        <v>66</v>
      </c>
      <c r="F102" s="10">
        <f>'B) D RI'!R103</f>
        <v>1197843.1400000001</v>
      </c>
      <c r="G102" s="10">
        <f>'B) D RI'!U103</f>
        <v>18149.138484848489</v>
      </c>
      <c r="H102" s="44">
        <f>'B) D RI'!T103</f>
        <v>1111282.3400000001</v>
      </c>
      <c r="I102" s="10">
        <f t="shared" si="10"/>
        <v>33675.222424242427</v>
      </c>
      <c r="J102" s="34">
        <f t="shared" si="11"/>
        <v>35502.861975579232</v>
      </c>
      <c r="K102" s="10">
        <f t="shared" si="7"/>
        <v>33675.222424242427</v>
      </c>
      <c r="L102" s="10">
        <f t="shared" si="12"/>
        <v>1827.6395513368043</v>
      </c>
      <c r="M102" s="10">
        <f>'D) Ecrêtage'!M101</f>
        <v>18149.138484848489</v>
      </c>
      <c r="N102" s="10">
        <f t="shared" si="8"/>
        <v>23237.663753978173</v>
      </c>
      <c r="O102" s="67">
        <f t="shared" si="9"/>
        <v>56912.8861782206</v>
      </c>
      <c r="P102" s="315"/>
      <c r="Q102" s="316"/>
      <c r="R102" s="312"/>
      <c r="S102" s="312"/>
      <c r="T102" s="317"/>
    </row>
    <row r="103" spans="1:20" s="311" customFormat="1" x14ac:dyDescent="0.25">
      <c r="A103" s="324">
        <f>'A) Base RI'!A104</f>
        <v>5560</v>
      </c>
      <c r="B103" s="324" t="str">
        <f>'A) Base RI'!B104</f>
        <v>Grandevent</v>
      </c>
      <c r="C103" s="383">
        <v>0</v>
      </c>
      <c r="D103" s="313">
        <f>'B) D RI'!AR104</f>
        <v>232</v>
      </c>
      <c r="E103" s="314">
        <f>'B) D RI'!S104</f>
        <v>68</v>
      </c>
      <c r="F103" s="10">
        <f>'B) D RI'!R104</f>
        <v>438370.66</v>
      </c>
      <c r="G103" s="10">
        <f>'B) D RI'!U104</f>
        <v>6446.6273529411765</v>
      </c>
      <c r="H103" s="44">
        <f>'B) D RI'!T104</f>
        <v>398291.31</v>
      </c>
      <c r="I103" s="10">
        <f t="shared" si="10"/>
        <v>11714.450294117647</v>
      </c>
      <c r="J103" s="34">
        <f t="shared" si="11"/>
        <v>20187.901907682306</v>
      </c>
      <c r="K103" s="10">
        <f t="shared" si="7"/>
        <v>11714.450294117647</v>
      </c>
      <c r="L103" s="10">
        <f t="shared" si="12"/>
        <v>8473.4516135646591</v>
      </c>
      <c r="M103" s="10">
        <f>'D) Ecrêtage'!M102</f>
        <v>6446.6273529411765</v>
      </c>
      <c r="N103" s="10">
        <f t="shared" si="8"/>
        <v>8254.0864901057048</v>
      </c>
      <c r="O103" s="67">
        <f t="shared" si="9"/>
        <v>19968.536784223354</v>
      </c>
      <c r="P103" s="315"/>
      <c r="Q103" s="316"/>
      <c r="R103" s="312"/>
      <c r="S103" s="312"/>
      <c r="T103" s="317"/>
    </row>
    <row r="104" spans="1:20" s="311" customFormat="1" x14ac:dyDescent="0.25">
      <c r="A104" s="324">
        <f>'A) Base RI'!A105</f>
        <v>5561</v>
      </c>
      <c r="B104" s="324" t="str">
        <f>'A) Base RI'!B105</f>
        <v>Grandson</v>
      </c>
      <c r="C104" s="383">
        <v>0</v>
      </c>
      <c r="D104" s="313">
        <f>'B) D RI'!AR105</f>
        <v>3313</v>
      </c>
      <c r="E104" s="314">
        <f>'B) D RI'!S105</f>
        <v>69</v>
      </c>
      <c r="F104" s="10">
        <f>'B) D RI'!R105</f>
        <v>7946757.6899999995</v>
      </c>
      <c r="G104" s="10">
        <f>'B) D RI'!U105</f>
        <v>115170.40130434782</v>
      </c>
      <c r="H104" s="44">
        <f>'B) D RI'!T105</f>
        <v>7371183.6899999995</v>
      </c>
      <c r="I104" s="10">
        <f t="shared" si="10"/>
        <v>213657.49826086956</v>
      </c>
      <c r="J104" s="34">
        <f t="shared" si="11"/>
        <v>288286.71991444606</v>
      </c>
      <c r="K104" s="10">
        <f t="shared" si="7"/>
        <v>213657.49826086956</v>
      </c>
      <c r="L104" s="10">
        <f t="shared" si="12"/>
        <v>74629.221653576504</v>
      </c>
      <c r="M104" s="10">
        <f>'D) Ecrêtage'!M103</f>
        <v>115170.40130434782</v>
      </c>
      <c r="N104" s="10">
        <f t="shared" si="8"/>
        <v>147461.05233344392</v>
      </c>
      <c r="O104" s="67">
        <f t="shared" si="9"/>
        <v>361118.55059431348</v>
      </c>
      <c r="P104" s="315"/>
      <c r="Q104" s="316"/>
      <c r="R104" s="312"/>
      <c r="S104" s="312"/>
      <c r="T104" s="317"/>
    </row>
    <row r="105" spans="1:20" s="311" customFormat="1" x14ac:dyDescent="0.25">
      <c r="A105" s="324">
        <f>'A) Base RI'!A106</f>
        <v>5562</v>
      </c>
      <c r="B105" s="324" t="str">
        <f>'A) Base RI'!B106</f>
        <v>Mauborget</v>
      </c>
      <c r="C105" s="383">
        <v>0</v>
      </c>
      <c r="D105" s="313">
        <f>'B) D RI'!AR106</f>
        <v>123</v>
      </c>
      <c r="E105" s="314">
        <f>'B) D RI'!S106</f>
        <v>70</v>
      </c>
      <c r="F105" s="10">
        <f>'B) D RI'!R106</f>
        <v>256378.81999999998</v>
      </c>
      <c r="G105" s="10">
        <f>'B) D RI'!U106</f>
        <v>3662.5545714285713</v>
      </c>
      <c r="H105" s="44">
        <f>'B) D RI'!T106</f>
        <v>225942.81999999998</v>
      </c>
      <c r="I105" s="10">
        <f t="shared" si="10"/>
        <v>6455.5091428571423</v>
      </c>
      <c r="J105" s="34">
        <f t="shared" si="11"/>
        <v>10703.068683814327</v>
      </c>
      <c r="K105" s="10">
        <f t="shared" si="7"/>
        <v>6455.5091428571423</v>
      </c>
      <c r="L105" s="10">
        <f t="shared" si="12"/>
        <v>4247.5595409571843</v>
      </c>
      <c r="M105" s="10">
        <f>'D) Ecrêtage'!M104</f>
        <v>3662.5545714285713</v>
      </c>
      <c r="N105" s="10">
        <f t="shared" si="8"/>
        <v>4689.4353515735638</v>
      </c>
      <c r="O105" s="67">
        <f t="shared" si="9"/>
        <v>11144.944494430707</v>
      </c>
      <c r="P105" s="315"/>
      <c r="Q105" s="316"/>
      <c r="R105" s="312"/>
      <c r="S105" s="312"/>
      <c r="T105" s="317"/>
    </row>
    <row r="106" spans="1:20" s="311" customFormat="1" x14ac:dyDescent="0.25">
      <c r="A106" s="324">
        <f>'A) Base RI'!A107</f>
        <v>5563</v>
      </c>
      <c r="B106" s="324" t="str">
        <f>'A) Base RI'!B107</f>
        <v>Mutrux</v>
      </c>
      <c r="C106" s="383">
        <v>0</v>
      </c>
      <c r="D106" s="313">
        <f>'B) D RI'!AR107</f>
        <v>162</v>
      </c>
      <c r="E106" s="314">
        <f>'B) D RI'!S107</f>
        <v>78.5</v>
      </c>
      <c r="F106" s="10">
        <f>'B) D RI'!R107</f>
        <v>335600.73999999993</v>
      </c>
      <c r="G106" s="10">
        <f>'B) D RI'!U107</f>
        <v>4275.1686624203812</v>
      </c>
      <c r="H106" s="44">
        <f>'B) D RI'!T107</f>
        <v>315391.48999999993</v>
      </c>
      <c r="I106" s="10">
        <f t="shared" si="10"/>
        <v>8035.4519745222915</v>
      </c>
      <c r="J106" s="34">
        <f t="shared" si="11"/>
        <v>14096.724607950575</v>
      </c>
      <c r="K106" s="10">
        <f t="shared" si="7"/>
        <v>8035.4519745222915</v>
      </c>
      <c r="L106" s="10">
        <f t="shared" si="12"/>
        <v>6061.2726334282834</v>
      </c>
      <c r="M106" s="10">
        <f>'D) Ecrêtage'!M105</f>
        <v>4275.1686624203812</v>
      </c>
      <c r="N106" s="10">
        <f t="shared" si="8"/>
        <v>5473.8097872692924</v>
      </c>
      <c r="O106" s="67">
        <f t="shared" si="9"/>
        <v>13509.261761791584</v>
      </c>
      <c r="P106" s="315"/>
      <c r="Q106" s="316"/>
      <c r="R106" s="312"/>
      <c r="S106" s="312"/>
      <c r="T106" s="317"/>
    </row>
    <row r="107" spans="1:20" s="311" customFormat="1" x14ac:dyDescent="0.25">
      <c r="A107" s="324">
        <f>'A) Base RI'!A108</f>
        <v>5564</v>
      </c>
      <c r="B107" s="324" t="str">
        <f>'A) Base RI'!B108</f>
        <v>Novalles</v>
      </c>
      <c r="C107" s="383">
        <v>0</v>
      </c>
      <c r="D107" s="313">
        <f>'B) D RI'!AR108</f>
        <v>101</v>
      </c>
      <c r="E107" s="314">
        <f>'B) D RI'!S108</f>
        <v>76</v>
      </c>
      <c r="F107" s="10">
        <f>'B) D RI'!R108</f>
        <v>156788.5975</v>
      </c>
      <c r="G107" s="10">
        <f>'B) D RI'!U108</f>
        <v>2063.0078618421053</v>
      </c>
      <c r="H107" s="44">
        <f>'B) D RI'!T108</f>
        <v>144521.91</v>
      </c>
      <c r="I107" s="10">
        <f t="shared" si="10"/>
        <v>3803.2081578947368</v>
      </c>
      <c r="J107" s="34">
        <f t="shared" si="11"/>
        <v>8788.6986753272104</v>
      </c>
      <c r="K107" s="10">
        <f t="shared" si="7"/>
        <v>3803.2081578947368</v>
      </c>
      <c r="L107" s="10">
        <f t="shared" si="12"/>
        <v>4985.490517432474</v>
      </c>
      <c r="M107" s="10">
        <f>'D) Ecrêtage'!M106</f>
        <v>2063.0078618421053</v>
      </c>
      <c r="N107" s="10">
        <f t="shared" si="8"/>
        <v>2641.4192087035863</v>
      </c>
      <c r="O107" s="67">
        <f t="shared" si="9"/>
        <v>6444.6273665983226</v>
      </c>
      <c r="P107" s="315"/>
      <c r="Q107" s="316"/>
      <c r="R107" s="312"/>
      <c r="S107" s="312"/>
      <c r="T107" s="317"/>
    </row>
    <row r="108" spans="1:20" s="311" customFormat="1" x14ac:dyDescent="0.25">
      <c r="A108" s="324">
        <f>'A) Base RI'!A109</f>
        <v>5565</v>
      </c>
      <c r="B108" s="324" t="str">
        <f>'A) Base RI'!B109</f>
        <v>Onnens</v>
      </c>
      <c r="C108" s="383">
        <v>0</v>
      </c>
      <c r="D108" s="313">
        <f>'B) D RI'!AR109</f>
        <v>500</v>
      </c>
      <c r="E108" s="314">
        <f>'B) D RI'!S109</f>
        <v>65</v>
      </c>
      <c r="F108" s="10">
        <f>'B) D RI'!R109</f>
        <v>1163682.4166666667</v>
      </c>
      <c r="G108" s="10">
        <f>'B) D RI'!U109</f>
        <v>17902.806410256413</v>
      </c>
      <c r="H108" s="44">
        <f>'B) D RI'!T109</f>
        <v>1026944.25</v>
      </c>
      <c r="I108" s="10">
        <f t="shared" si="10"/>
        <v>31598.284615384615</v>
      </c>
      <c r="J108" s="34">
        <f t="shared" si="11"/>
        <v>43508.409283798072</v>
      </c>
      <c r="K108" s="10">
        <f t="shared" si="7"/>
        <v>31598.284615384615</v>
      </c>
      <c r="L108" s="10">
        <f t="shared" si="12"/>
        <v>11910.124668413457</v>
      </c>
      <c r="M108" s="10">
        <f>'D) Ecrêtage'!M107</f>
        <v>17902.806410256413</v>
      </c>
      <c r="N108" s="10">
        <f t="shared" si="8"/>
        <v>22922.266859190619</v>
      </c>
      <c r="O108" s="67">
        <f t="shared" si="9"/>
        <v>54520.55147457523</v>
      </c>
      <c r="P108" s="315"/>
      <c r="Q108" s="316"/>
      <c r="R108" s="312"/>
      <c r="S108" s="312"/>
      <c r="T108" s="317"/>
    </row>
    <row r="109" spans="1:20" s="311" customFormat="1" x14ac:dyDescent="0.25">
      <c r="A109" s="324">
        <f>'A) Base RI'!A110</f>
        <v>5566</v>
      </c>
      <c r="B109" s="324" t="str">
        <f>'A) Base RI'!B110</f>
        <v>Provence</v>
      </c>
      <c r="C109" s="383">
        <v>0</v>
      </c>
      <c r="D109" s="313">
        <f>'B) D RI'!AR110</f>
        <v>390</v>
      </c>
      <c r="E109" s="314">
        <f>'B) D RI'!S110</f>
        <v>81</v>
      </c>
      <c r="F109" s="10">
        <f>'B) D RI'!R110</f>
        <v>697012.91333333321</v>
      </c>
      <c r="G109" s="10">
        <f>'B) D RI'!U110</f>
        <v>8605.0976954732487</v>
      </c>
      <c r="H109" s="44">
        <f>'B) D RI'!T110</f>
        <v>644026.77999999991</v>
      </c>
      <c r="I109" s="10">
        <f t="shared" si="10"/>
        <v>15901.895802469133</v>
      </c>
      <c r="J109" s="34">
        <f t="shared" si="11"/>
        <v>33936.559241362498</v>
      </c>
      <c r="K109" s="10">
        <f t="shared" si="7"/>
        <v>15901.895802469133</v>
      </c>
      <c r="L109" s="10">
        <f t="shared" si="12"/>
        <v>18034.663438893367</v>
      </c>
      <c r="M109" s="10">
        <f>'D) Ecrêtage'!M108</f>
        <v>8605.0976954732487</v>
      </c>
      <c r="N109" s="10">
        <f t="shared" si="8"/>
        <v>11017.733265106503</v>
      </c>
      <c r="O109" s="67">
        <f t="shared" si="9"/>
        <v>26919.629067575635</v>
      </c>
      <c r="P109" s="315"/>
      <c r="Q109" s="316"/>
      <c r="R109" s="312"/>
      <c r="S109" s="312"/>
      <c r="T109" s="317"/>
    </row>
    <row r="110" spans="1:20" s="311" customFormat="1" x14ac:dyDescent="0.25">
      <c r="A110" s="324">
        <f>'A) Base RI'!A111</f>
        <v>5568</v>
      </c>
      <c r="B110" s="324" t="str">
        <f>'A) Base RI'!B111</f>
        <v>Sainte-Croix</v>
      </c>
      <c r="C110" s="383">
        <v>0</v>
      </c>
      <c r="D110" s="313">
        <f>'B) D RI'!AR111</f>
        <v>4851</v>
      </c>
      <c r="E110" s="314">
        <f>'B) D RI'!S111</f>
        <v>70</v>
      </c>
      <c r="F110" s="10">
        <f>'B) D RI'!R111</f>
        <v>6736053.7800000003</v>
      </c>
      <c r="G110" s="10">
        <f>'B) D RI'!U111</f>
        <v>96229.339714285714</v>
      </c>
      <c r="H110" s="44">
        <f>'B) D RI'!T111</f>
        <v>6159291.0300000003</v>
      </c>
      <c r="I110" s="10">
        <f t="shared" si="10"/>
        <v>175979.74371428572</v>
      </c>
      <c r="J110" s="34">
        <f t="shared" si="11"/>
        <v>422118.58687140892</v>
      </c>
      <c r="K110" s="10">
        <f t="shared" si="7"/>
        <v>175979.74371428572</v>
      </c>
      <c r="L110" s="10">
        <f t="shared" si="12"/>
        <v>246138.84315712319</v>
      </c>
      <c r="M110" s="10">
        <f>'D) Ecrêtage'!M109</f>
        <v>96229.339714285714</v>
      </c>
      <c r="N110" s="10">
        <f t="shared" si="8"/>
        <v>123209.43175427961</v>
      </c>
      <c r="O110" s="67">
        <f t="shared" si="9"/>
        <v>299189.17546856531</v>
      </c>
      <c r="P110" s="315"/>
      <c r="Q110" s="316"/>
      <c r="R110" s="312"/>
      <c r="S110" s="312"/>
      <c r="T110" s="317"/>
    </row>
    <row r="111" spans="1:20" s="311" customFormat="1" x14ac:dyDescent="0.25">
      <c r="A111" s="324">
        <f>'A) Base RI'!A112</f>
        <v>5571</v>
      </c>
      <c r="B111" s="324" t="str">
        <f>'A) Base RI'!B112</f>
        <v>Tévenon</v>
      </c>
      <c r="C111" s="383">
        <v>0</v>
      </c>
      <c r="D111" s="313">
        <f>'B) D RI'!AR112</f>
        <v>791</v>
      </c>
      <c r="E111" s="314">
        <f>'B) D RI'!S112</f>
        <v>73</v>
      </c>
      <c r="F111" s="10">
        <f>'B) D RI'!R112</f>
        <v>1530333.0033333332</v>
      </c>
      <c r="G111" s="10">
        <f>'B) D RI'!U112</f>
        <v>20963.465799086756</v>
      </c>
      <c r="H111" s="44">
        <f>'B) D RI'!T112</f>
        <v>1392533.42</v>
      </c>
      <c r="I111" s="10">
        <f t="shared" si="10"/>
        <v>38151.600547945207</v>
      </c>
      <c r="J111" s="34">
        <f t="shared" si="11"/>
        <v>68830.303486968551</v>
      </c>
      <c r="K111" s="10">
        <f t="shared" si="7"/>
        <v>38151.600547945207</v>
      </c>
      <c r="L111" s="10">
        <f t="shared" si="12"/>
        <v>30678.702939023344</v>
      </c>
      <c r="M111" s="10">
        <f>'D) Ecrêtage'!M110</f>
        <v>20963.465799086756</v>
      </c>
      <c r="N111" s="10">
        <f t="shared" si="8"/>
        <v>26841.051974113365</v>
      </c>
      <c r="O111" s="67">
        <f t="shared" si="9"/>
        <v>64992.652522058575</v>
      </c>
      <c r="P111" s="315"/>
      <c r="Q111" s="316"/>
      <c r="R111" s="312"/>
      <c r="S111" s="312"/>
      <c r="T111" s="317"/>
    </row>
    <row r="112" spans="1:20" s="311" customFormat="1" x14ac:dyDescent="0.25">
      <c r="A112" s="324">
        <f>'A) Base RI'!A113</f>
        <v>5581</v>
      </c>
      <c r="B112" s="324" t="str">
        <f>'A) Base RI'!B113</f>
        <v>Belmont-sur-Lausanne</v>
      </c>
      <c r="C112" s="383">
        <v>1</v>
      </c>
      <c r="D112" s="313">
        <f>'B) D RI'!AR113</f>
        <v>3564</v>
      </c>
      <c r="E112" s="314">
        <f>'B) D RI'!S113</f>
        <v>69.5</v>
      </c>
      <c r="F112" s="10">
        <f>'B) D RI'!R113</f>
        <v>12999482.886666669</v>
      </c>
      <c r="G112" s="10">
        <f>'B) D RI'!U113</f>
        <v>187042.91923261393</v>
      </c>
      <c r="H112" s="44">
        <f>'B) D RI'!T113</f>
        <v>12087418.720000003</v>
      </c>
      <c r="I112" s="10">
        <f t="shared" si="10"/>
        <v>347839.38762589934</v>
      </c>
      <c r="J112" s="34">
        <f t="shared" si="11"/>
        <v>310127.94137491268</v>
      </c>
      <c r="K112" s="10">
        <f t="shared" si="7"/>
        <v>0</v>
      </c>
      <c r="L112" s="10">
        <f t="shared" si="12"/>
        <v>310127.94137491268</v>
      </c>
      <c r="M112" s="10">
        <f>'D) Ecrêtage'!M111</f>
        <v>187042.91923261393</v>
      </c>
      <c r="N112" s="10">
        <f t="shared" si="8"/>
        <v>239484.6713147588</v>
      </c>
      <c r="O112" s="67">
        <f t="shared" si="9"/>
        <v>239484.6713147588</v>
      </c>
      <c r="P112" s="315"/>
      <c r="Q112" s="316"/>
      <c r="R112" s="312"/>
      <c r="S112" s="312"/>
      <c r="T112" s="317"/>
    </row>
    <row r="113" spans="1:20" s="311" customFormat="1" x14ac:dyDescent="0.25">
      <c r="A113" s="324">
        <f>'A) Base RI'!A114</f>
        <v>5582</v>
      </c>
      <c r="B113" s="324" t="str">
        <f>'A) Base RI'!B114</f>
        <v>Cheseaux-sur-Lausanne</v>
      </c>
      <c r="C113" s="383">
        <v>0</v>
      </c>
      <c r="D113" s="313">
        <f>'B) D RI'!AR114</f>
        <v>4347</v>
      </c>
      <c r="E113" s="314">
        <f>'B) D RI'!S114</f>
        <v>74.5</v>
      </c>
      <c r="F113" s="10">
        <f>'B) D RI'!R114</f>
        <v>15169480.229999999</v>
      </c>
      <c r="G113" s="10">
        <f>'B) D RI'!U114</f>
        <v>203617.184295302</v>
      </c>
      <c r="H113" s="44">
        <f>'B) D RI'!T114</f>
        <v>14282803.029999999</v>
      </c>
      <c r="I113" s="10">
        <f t="shared" si="10"/>
        <v>383430.95382550335</v>
      </c>
      <c r="J113" s="34">
        <f t="shared" si="11"/>
        <v>378262.11031334044</v>
      </c>
      <c r="K113" s="10">
        <f t="shared" si="7"/>
        <v>378262.11031334044</v>
      </c>
      <c r="L113" s="10">
        <f t="shared" si="12"/>
        <v>0</v>
      </c>
      <c r="M113" s="10">
        <f>'D) Ecrêtage'!M112</f>
        <v>203617.184295302</v>
      </c>
      <c r="N113" s="10">
        <f t="shared" si="8"/>
        <v>260705.9099326462</v>
      </c>
      <c r="O113" s="67">
        <f t="shared" si="9"/>
        <v>638968.02024598664</v>
      </c>
      <c r="P113" s="315"/>
      <c r="Q113" s="316"/>
      <c r="R113" s="312"/>
      <c r="S113" s="312"/>
      <c r="T113" s="317"/>
    </row>
    <row r="114" spans="1:20" s="311" customFormat="1" x14ac:dyDescent="0.25">
      <c r="A114" s="324">
        <f>'A) Base RI'!A115</f>
        <v>5583</v>
      </c>
      <c r="B114" s="324" t="str">
        <f>'A) Base RI'!B115</f>
        <v>Crissier</v>
      </c>
      <c r="C114" s="383">
        <v>1</v>
      </c>
      <c r="D114" s="313">
        <f>'B) D RI'!AR115</f>
        <v>7636</v>
      </c>
      <c r="E114" s="314">
        <f>'B) D RI'!S115</f>
        <v>65</v>
      </c>
      <c r="F114" s="10">
        <f>'B) D RI'!R115</f>
        <v>20263179.360000003</v>
      </c>
      <c r="G114" s="10">
        <f>'B) D RI'!U115</f>
        <v>311741.22092307697</v>
      </c>
      <c r="H114" s="44">
        <f>'B) D RI'!T115</f>
        <v>17792553.460000005</v>
      </c>
      <c r="I114" s="10">
        <f t="shared" si="10"/>
        <v>547463.18338461558</v>
      </c>
      <c r="J114" s="34">
        <f t="shared" si="11"/>
        <v>664460.42658216413</v>
      </c>
      <c r="K114" s="10">
        <f t="shared" si="7"/>
        <v>0</v>
      </c>
      <c r="L114" s="10">
        <f t="shared" si="12"/>
        <v>664460.42658216413</v>
      </c>
      <c r="M114" s="10">
        <f>'D) Ecrêtage'!M113</f>
        <v>311741.22092307697</v>
      </c>
      <c r="N114" s="10">
        <f t="shared" si="8"/>
        <v>399144.98840331938</v>
      </c>
      <c r="O114" s="67">
        <f t="shared" si="9"/>
        <v>399144.98840331938</v>
      </c>
      <c r="P114" s="315"/>
      <c r="Q114" s="316"/>
      <c r="R114" s="312"/>
      <c r="S114" s="312"/>
      <c r="T114" s="317"/>
    </row>
    <row r="115" spans="1:20" s="311" customFormat="1" x14ac:dyDescent="0.25">
      <c r="A115" s="324">
        <f>'A) Base RI'!A116</f>
        <v>5584</v>
      </c>
      <c r="B115" s="324" t="str">
        <f>'A) Base RI'!B116</f>
        <v>Epalinges</v>
      </c>
      <c r="C115" s="383">
        <v>0</v>
      </c>
      <c r="D115" s="313">
        <f>'B) D RI'!AR116</f>
        <v>9297</v>
      </c>
      <c r="E115" s="314">
        <f>'B) D RI'!S116</f>
        <v>66</v>
      </c>
      <c r="F115" s="10">
        <f>'B) D RI'!R116</f>
        <v>30075705.66</v>
      </c>
      <c r="G115" s="10">
        <f>'B) D RI'!U116</f>
        <v>455692.51</v>
      </c>
      <c r="H115" s="44">
        <f>'B) D RI'!T116</f>
        <v>27880352.460000001</v>
      </c>
      <c r="I115" s="10">
        <f t="shared" si="10"/>
        <v>844859.16545454552</v>
      </c>
      <c r="J115" s="34">
        <f t="shared" si="11"/>
        <v>808995.36222294136</v>
      </c>
      <c r="K115" s="10">
        <f t="shared" si="7"/>
        <v>808995.36222294136</v>
      </c>
      <c r="L115" s="10">
        <f t="shared" si="12"/>
        <v>0</v>
      </c>
      <c r="M115" s="10">
        <f>'D) Ecrêtage'!M114</f>
        <v>455692.51</v>
      </c>
      <c r="N115" s="10">
        <f t="shared" si="8"/>
        <v>583456.30738487013</v>
      </c>
      <c r="O115" s="67">
        <f t="shared" si="9"/>
        <v>1392451.6696078116</v>
      </c>
      <c r="P115" s="315"/>
      <c r="Q115" s="316"/>
      <c r="R115" s="312"/>
      <c r="S115" s="312"/>
      <c r="T115" s="317"/>
    </row>
    <row r="116" spans="1:20" s="311" customFormat="1" x14ac:dyDescent="0.25">
      <c r="A116" s="324">
        <f>'A) Base RI'!A117</f>
        <v>5585</v>
      </c>
      <c r="B116" s="324" t="str">
        <f>'A) Base RI'!B117</f>
        <v>Jouxtens-Mézery</v>
      </c>
      <c r="C116" s="383">
        <v>0</v>
      </c>
      <c r="D116" s="313">
        <f>'B) D RI'!AR117</f>
        <v>1448</v>
      </c>
      <c r="E116" s="314">
        <f>'B) D RI'!S117</f>
        <v>53</v>
      </c>
      <c r="F116" s="10">
        <f>'B) D RI'!R117</f>
        <v>10681946.659999998</v>
      </c>
      <c r="G116" s="10">
        <f>'B) D RI'!U117</f>
        <v>201546.16339622639</v>
      </c>
      <c r="H116" s="44">
        <f>'B) D RI'!T117</f>
        <v>10193649.159999998</v>
      </c>
      <c r="I116" s="10">
        <f t="shared" si="10"/>
        <v>384666.00603773579</v>
      </c>
      <c r="J116" s="34">
        <f t="shared" si="11"/>
        <v>126000.35328587922</v>
      </c>
      <c r="K116" s="10">
        <f t="shared" si="7"/>
        <v>126000.35328587922</v>
      </c>
      <c r="L116" s="10">
        <f t="shared" si="12"/>
        <v>0</v>
      </c>
      <c r="M116" s="10">
        <f>'D) Ecrêtage'!M115</f>
        <v>141606.14993641613</v>
      </c>
      <c r="N116" s="10">
        <f t="shared" si="8"/>
        <v>181308.66654992776</v>
      </c>
      <c r="O116" s="67">
        <f t="shared" si="9"/>
        <v>307309.01983580698</v>
      </c>
      <c r="P116" s="315"/>
      <c r="Q116" s="316"/>
      <c r="R116" s="312"/>
      <c r="S116" s="312"/>
      <c r="T116" s="317"/>
    </row>
    <row r="117" spans="1:20" s="311" customFormat="1" x14ac:dyDescent="0.25">
      <c r="A117" s="324">
        <f>'A) Base RI'!A118</f>
        <v>5586</v>
      </c>
      <c r="B117" s="324" t="str">
        <f>'A) Base RI'!B118</f>
        <v>Lausanne</v>
      </c>
      <c r="C117" s="383">
        <v>1</v>
      </c>
      <c r="D117" s="313">
        <f>'B) D RI'!AR118</f>
        <v>137053</v>
      </c>
      <c r="E117" s="314">
        <f>'B) D RI'!S118</f>
        <v>79</v>
      </c>
      <c r="F117" s="10">
        <f>'B) D RI'!R118</f>
        <v>479958919.8033334</v>
      </c>
      <c r="G117" s="10">
        <f>'B) D RI'!U118</f>
        <v>6075429.3645991571</v>
      </c>
      <c r="H117" s="44">
        <f>'B) D RI'!T118</f>
        <v>451781731.07000005</v>
      </c>
      <c r="I117" s="10">
        <f t="shared" si="10"/>
        <v>11437512.178987343</v>
      </c>
      <c r="J117" s="34">
        <f t="shared" si="11"/>
        <v>11925916.035144756</v>
      </c>
      <c r="K117" s="10">
        <f t="shared" si="7"/>
        <v>0</v>
      </c>
      <c r="L117" s="10">
        <f t="shared" si="12"/>
        <v>11925916.035144756</v>
      </c>
      <c r="M117" s="10">
        <f>'D) Ecrêtage'!M116</f>
        <v>6075429.3645991571</v>
      </c>
      <c r="N117" s="10">
        <f t="shared" si="8"/>
        <v>7778814.6723031113</v>
      </c>
      <c r="O117" s="67">
        <f t="shared" si="9"/>
        <v>7778814.6723031113</v>
      </c>
      <c r="P117" s="315"/>
      <c r="Q117" s="316"/>
      <c r="R117" s="312"/>
      <c r="S117" s="312"/>
      <c r="T117" s="317"/>
    </row>
    <row r="118" spans="1:20" s="311" customFormat="1" x14ac:dyDescent="0.25">
      <c r="A118" s="324">
        <f>'A) Base RI'!A119</f>
        <v>5587</v>
      </c>
      <c r="B118" s="324" t="str">
        <f>'A) Base RI'!B119</f>
        <v>Le Mont-sur-Lausanne</v>
      </c>
      <c r="C118" s="383">
        <v>0</v>
      </c>
      <c r="D118" s="313">
        <f>'B) D RI'!AR119</f>
        <v>7881</v>
      </c>
      <c r="E118" s="314">
        <f>'B) D RI'!S119</f>
        <v>75</v>
      </c>
      <c r="F118" s="10">
        <f>'B) D RI'!R119</f>
        <v>31000785.205000002</v>
      </c>
      <c r="G118" s="10">
        <f>'B) D RI'!U119</f>
        <v>413343.80273333337</v>
      </c>
      <c r="H118" s="44">
        <f>'B) D RI'!T119</f>
        <v>28826056.330000002</v>
      </c>
      <c r="I118" s="10">
        <f t="shared" si="10"/>
        <v>768694.83546666673</v>
      </c>
      <c r="J118" s="34">
        <f t="shared" si="11"/>
        <v>685779.54713122523</v>
      </c>
      <c r="K118" s="10">
        <f t="shared" si="7"/>
        <v>685779.54713122523</v>
      </c>
      <c r="L118" s="10">
        <f t="shared" si="12"/>
        <v>0</v>
      </c>
      <c r="M118" s="10">
        <f>'D) Ecrêtage'!M117</f>
        <v>413343.80273333337</v>
      </c>
      <c r="N118" s="10">
        <f t="shared" si="8"/>
        <v>529234.17333151004</v>
      </c>
      <c r="O118" s="67">
        <f t="shared" si="9"/>
        <v>1215013.7204627353</v>
      </c>
      <c r="P118" s="315"/>
      <c r="Q118" s="316"/>
      <c r="R118" s="312"/>
      <c r="S118" s="312"/>
      <c r="T118" s="317"/>
    </row>
    <row r="119" spans="1:20" s="311" customFormat="1" x14ac:dyDescent="0.25">
      <c r="A119" s="324">
        <f>'A) Base RI'!A120</f>
        <v>5588</v>
      </c>
      <c r="B119" s="324" t="str">
        <f>'A) Base RI'!B120</f>
        <v>Paudex</v>
      </c>
      <c r="C119" s="383">
        <v>1</v>
      </c>
      <c r="D119" s="313">
        <f>'B) D RI'!AR120</f>
        <v>1473</v>
      </c>
      <c r="E119" s="314">
        <f>'B) D RI'!S120</f>
        <v>61.5</v>
      </c>
      <c r="F119" s="10">
        <f>'B) D RI'!R120</f>
        <v>9840035.4957142845</v>
      </c>
      <c r="G119" s="10">
        <f>'B) D RI'!U120</f>
        <v>160000.57716608592</v>
      </c>
      <c r="H119" s="44">
        <f>'B) D RI'!T120</f>
        <v>9248889.709999999</v>
      </c>
      <c r="I119" s="10">
        <f t="shared" si="10"/>
        <v>300776.90113821137</v>
      </c>
      <c r="J119" s="34">
        <f t="shared" si="11"/>
        <v>128175.77375006913</v>
      </c>
      <c r="K119" s="10">
        <f t="shared" si="7"/>
        <v>0</v>
      </c>
      <c r="L119" s="10">
        <f t="shared" si="12"/>
        <v>128175.77375006913</v>
      </c>
      <c r="M119" s="10">
        <f>'D) Ecrêtage'!M118</f>
        <v>124239.86682322888</v>
      </c>
      <c r="N119" s="10">
        <f t="shared" si="8"/>
        <v>159073.34954149052</v>
      </c>
      <c r="O119" s="67">
        <f t="shared" si="9"/>
        <v>159073.34954149052</v>
      </c>
      <c r="P119" s="315"/>
      <c r="Q119" s="316"/>
      <c r="R119" s="312"/>
      <c r="S119" s="312"/>
      <c r="T119" s="317"/>
    </row>
    <row r="120" spans="1:20" s="311" customFormat="1" x14ac:dyDescent="0.25">
      <c r="A120" s="324">
        <f>'A) Base RI'!A121</f>
        <v>5589</v>
      </c>
      <c r="B120" s="324" t="str">
        <f>'A) Base RI'!B121</f>
        <v>Prilly</v>
      </c>
      <c r="C120" s="383">
        <v>1</v>
      </c>
      <c r="D120" s="313">
        <f>'B) D RI'!AR121</f>
        <v>11871</v>
      </c>
      <c r="E120" s="314">
        <f>'B) D RI'!S121</f>
        <v>73.5</v>
      </c>
      <c r="F120" s="10">
        <f>'B) D RI'!R121</f>
        <v>32161706.080000002</v>
      </c>
      <c r="G120" s="10">
        <f>'B) D RI'!U121</f>
        <v>437574.2323809524</v>
      </c>
      <c r="H120" s="44">
        <f>'B) D RI'!T121</f>
        <v>29914250.23</v>
      </c>
      <c r="I120" s="10">
        <f t="shared" si="10"/>
        <v>813993.20353741501</v>
      </c>
      <c r="J120" s="34">
        <f t="shared" si="11"/>
        <v>1032976.6532159338</v>
      </c>
      <c r="K120" s="10">
        <f t="shared" si="7"/>
        <v>0</v>
      </c>
      <c r="L120" s="10">
        <f t="shared" si="12"/>
        <v>1032976.6532159338</v>
      </c>
      <c r="M120" s="10">
        <f>'D) Ecrêtage'!M119</f>
        <v>437574.2323809524</v>
      </c>
      <c r="N120" s="10">
        <f t="shared" si="8"/>
        <v>560258.15704488882</v>
      </c>
      <c r="O120" s="67">
        <f t="shared" si="9"/>
        <v>560258.15704488882</v>
      </c>
      <c r="P120" s="315"/>
      <c r="Q120" s="316"/>
      <c r="R120" s="312"/>
      <c r="S120" s="312"/>
      <c r="T120" s="317"/>
    </row>
    <row r="121" spans="1:20" s="311" customFormat="1" x14ac:dyDescent="0.25">
      <c r="A121" s="324">
        <f>'A) Base RI'!A122</f>
        <v>5590</v>
      </c>
      <c r="B121" s="324" t="str">
        <f>'A) Base RI'!B122</f>
        <v>Pully</v>
      </c>
      <c r="C121" s="383">
        <v>1</v>
      </c>
      <c r="D121" s="313">
        <f>'B) D RI'!AR122</f>
        <v>17979</v>
      </c>
      <c r="E121" s="314">
        <f>'B) D RI'!S122</f>
        <v>61</v>
      </c>
      <c r="F121" s="10">
        <f>'B) D RI'!R122</f>
        <v>86760191.425714284</v>
      </c>
      <c r="G121" s="10">
        <f>'B) D RI'!U122</f>
        <v>1422298.2200936768</v>
      </c>
      <c r="H121" s="44">
        <f>'B) D RI'!T122</f>
        <v>81877880.140000001</v>
      </c>
      <c r="I121" s="10">
        <f t="shared" si="10"/>
        <v>2684520.660327869</v>
      </c>
      <c r="J121" s="34">
        <f t="shared" si="11"/>
        <v>1564475.3810268112</v>
      </c>
      <c r="K121" s="10">
        <f t="shared" si="7"/>
        <v>0</v>
      </c>
      <c r="L121" s="10">
        <f t="shared" si="12"/>
        <v>1564475.3810268112</v>
      </c>
      <c r="M121" s="10">
        <f>'D) Ecrêtage'!M120</f>
        <v>1257122.2124035268</v>
      </c>
      <c r="N121" s="10">
        <f t="shared" si="8"/>
        <v>1609585.1212925578</v>
      </c>
      <c r="O121" s="67">
        <f t="shared" si="9"/>
        <v>1609585.1212925578</v>
      </c>
      <c r="P121" s="315"/>
      <c r="Q121" s="316"/>
      <c r="R121" s="312"/>
      <c r="S121" s="312"/>
      <c r="T121" s="317"/>
    </row>
    <row r="122" spans="1:20" s="311" customFormat="1" x14ac:dyDescent="0.25">
      <c r="A122" s="324">
        <f>'A) Base RI'!A123</f>
        <v>5591</v>
      </c>
      <c r="B122" s="324" t="str">
        <f>'A) Base RI'!B123</f>
        <v>Renens</v>
      </c>
      <c r="C122" s="383">
        <v>1</v>
      </c>
      <c r="D122" s="313">
        <f>'B) D RI'!AR123</f>
        <v>20323</v>
      </c>
      <c r="E122" s="314">
        <f>'B) D RI'!S123</f>
        <v>78.5</v>
      </c>
      <c r="F122" s="10">
        <f>'B) D RI'!R123</f>
        <v>41577298.147142857</v>
      </c>
      <c r="G122" s="10">
        <f>'B) D RI'!U123</f>
        <v>529647.11015468603</v>
      </c>
      <c r="H122" s="44">
        <f>'B) D RI'!T123</f>
        <v>37804162.039999999</v>
      </c>
      <c r="I122" s="10">
        <f t="shared" si="10"/>
        <v>963163.36407643312</v>
      </c>
      <c r="J122" s="34">
        <f t="shared" si="11"/>
        <v>1768442.8037492565</v>
      </c>
      <c r="K122" s="10">
        <f t="shared" si="7"/>
        <v>0</v>
      </c>
      <c r="L122" s="10">
        <f t="shared" si="12"/>
        <v>1768442.8037492565</v>
      </c>
      <c r="M122" s="10">
        <f>'D) Ecrêtage'!M121</f>
        <v>529647.11015468603</v>
      </c>
      <c r="N122" s="10">
        <f t="shared" si="8"/>
        <v>678145.76787299104</v>
      </c>
      <c r="O122" s="67">
        <f t="shared" si="9"/>
        <v>678145.76787299104</v>
      </c>
      <c r="P122" s="315"/>
      <c r="Q122" s="316"/>
      <c r="R122" s="312"/>
      <c r="S122" s="312"/>
      <c r="T122" s="317"/>
    </row>
    <row r="123" spans="1:20" s="311" customFormat="1" x14ac:dyDescent="0.25">
      <c r="A123" s="324">
        <f>'A) Base RI'!A124</f>
        <v>5592</v>
      </c>
      <c r="B123" s="324" t="str">
        <f>'A) Base RI'!B124</f>
        <v>Romanel-sur-Lausanne</v>
      </c>
      <c r="C123" s="383">
        <v>0</v>
      </c>
      <c r="D123" s="313">
        <f>'B) D RI'!AR124</f>
        <v>3352</v>
      </c>
      <c r="E123" s="314">
        <f>'B) D RI'!S124</f>
        <v>70</v>
      </c>
      <c r="F123" s="10">
        <f>'B) D RI'!R124</f>
        <v>8158916.0199999996</v>
      </c>
      <c r="G123" s="10">
        <f>'B) D RI'!U124</f>
        <v>116555.94314285714</v>
      </c>
      <c r="H123" s="44">
        <f>'B) D RI'!T124</f>
        <v>7268892.2699999996</v>
      </c>
      <c r="I123" s="10">
        <f t="shared" si="10"/>
        <v>207682.63628571428</v>
      </c>
      <c r="J123" s="34">
        <f t="shared" si="11"/>
        <v>291680.37583858229</v>
      </c>
      <c r="K123" s="10">
        <f t="shared" si="7"/>
        <v>207682.63628571428</v>
      </c>
      <c r="L123" s="10">
        <f t="shared" si="12"/>
        <v>83997.739552868006</v>
      </c>
      <c r="M123" s="10">
        <f>'D) Ecrêtage'!M122</f>
        <v>116555.94314285714</v>
      </c>
      <c r="N123" s="10">
        <f t="shared" si="8"/>
        <v>149235.06245448781</v>
      </c>
      <c r="O123" s="67">
        <f t="shared" si="9"/>
        <v>356917.69874020212</v>
      </c>
      <c r="P123" s="315"/>
      <c r="Q123" s="316"/>
      <c r="R123" s="312"/>
      <c r="S123" s="312"/>
      <c r="T123" s="317"/>
    </row>
    <row r="124" spans="1:20" s="311" customFormat="1" x14ac:dyDescent="0.25">
      <c r="A124" s="324">
        <f>'A) Base RI'!A125</f>
        <v>5601</v>
      </c>
      <c r="B124" s="324" t="str">
        <f>'A) Base RI'!B125</f>
        <v>Chexbres</v>
      </c>
      <c r="C124" s="383">
        <v>1</v>
      </c>
      <c r="D124" s="313">
        <f>'B) D RI'!AR125</f>
        <v>2235</v>
      </c>
      <c r="E124" s="314">
        <f>'B) D RI'!S125</f>
        <v>64</v>
      </c>
      <c r="F124" s="10">
        <f>'B) D RI'!R125</f>
        <v>6383754.2400000012</v>
      </c>
      <c r="G124" s="10">
        <f>'B) D RI'!U125</f>
        <v>99746.160000000018</v>
      </c>
      <c r="H124" s="44">
        <f>'B) D RI'!T125</f>
        <v>5959100.3400000008</v>
      </c>
      <c r="I124" s="10">
        <f t="shared" si="10"/>
        <v>186221.88562500002</v>
      </c>
      <c r="J124" s="34">
        <f t="shared" si="11"/>
        <v>194482.58949857738</v>
      </c>
      <c r="K124" s="10">
        <f t="shared" si="7"/>
        <v>0</v>
      </c>
      <c r="L124" s="10">
        <f t="shared" si="12"/>
        <v>194482.58949857738</v>
      </c>
      <c r="M124" s="10">
        <f>'D) Ecrêtage'!M123</f>
        <v>99746.160000000018</v>
      </c>
      <c r="N124" s="10">
        <f t="shared" si="8"/>
        <v>127712.27288642609</v>
      </c>
      <c r="O124" s="67">
        <f t="shared" si="9"/>
        <v>127712.27288642609</v>
      </c>
      <c r="P124" s="315"/>
      <c r="Q124" s="316"/>
      <c r="R124" s="312"/>
      <c r="S124" s="312"/>
      <c r="T124" s="317"/>
    </row>
    <row r="125" spans="1:20" s="311" customFormat="1" x14ac:dyDescent="0.25">
      <c r="A125" s="324">
        <f>'A) Base RI'!A126</f>
        <v>5604</v>
      </c>
      <c r="B125" s="324" t="str">
        <f>'A) Base RI'!B126</f>
        <v>Forel (Lavaux)</v>
      </c>
      <c r="C125" s="383">
        <v>0</v>
      </c>
      <c r="D125" s="313">
        <f>'B) D RI'!AR126</f>
        <v>2066</v>
      </c>
      <c r="E125" s="314">
        <f>'B) D RI'!S126</f>
        <v>68</v>
      </c>
      <c r="F125" s="10">
        <f>'B) D RI'!R126</f>
        <v>4844343.62</v>
      </c>
      <c r="G125" s="10">
        <f>'B) D RI'!U126</f>
        <v>71240.347352941171</v>
      </c>
      <c r="H125" s="44">
        <f>'B) D RI'!T126</f>
        <v>4476258.67</v>
      </c>
      <c r="I125" s="10">
        <f t="shared" si="10"/>
        <v>131654.66676470588</v>
      </c>
      <c r="J125" s="34">
        <f t="shared" si="11"/>
        <v>179776.74716065364</v>
      </c>
      <c r="K125" s="10">
        <f t="shared" si="7"/>
        <v>131654.66676470588</v>
      </c>
      <c r="L125" s="10">
        <f t="shared" si="12"/>
        <v>48122.080395947763</v>
      </c>
      <c r="M125" s="10">
        <f>'D) Ecrêtage'!M124</f>
        <v>71240.347352941171</v>
      </c>
      <c r="N125" s="10">
        <f t="shared" si="8"/>
        <v>91214.204954482499</v>
      </c>
      <c r="O125" s="67">
        <f t="shared" si="9"/>
        <v>222868.87171918838</v>
      </c>
      <c r="P125" s="315"/>
      <c r="Q125" s="316"/>
      <c r="R125" s="312"/>
      <c r="S125" s="312"/>
      <c r="T125" s="317"/>
    </row>
    <row r="126" spans="1:20" s="311" customFormat="1" x14ac:dyDescent="0.25">
      <c r="A126" s="324">
        <f>'A) Base RI'!A127</f>
        <v>5606</v>
      </c>
      <c r="B126" s="324" t="str">
        <f>'A) Base RI'!B127</f>
        <v>Lutry</v>
      </c>
      <c r="C126" s="383">
        <v>1</v>
      </c>
      <c r="D126" s="313">
        <f>'B) D RI'!AR127</f>
        <v>9888</v>
      </c>
      <c r="E126" s="314">
        <f>'B) D RI'!S127</f>
        <v>55.5</v>
      </c>
      <c r="F126" s="10">
        <f>'B) D RI'!R127</f>
        <v>42770984.954285719</v>
      </c>
      <c r="G126" s="10">
        <f>'B) D RI'!U127</f>
        <v>770648.37755469768</v>
      </c>
      <c r="H126" s="44">
        <f>'B) D RI'!T127</f>
        <v>39902097.740000002</v>
      </c>
      <c r="I126" s="10">
        <f t="shared" si="10"/>
        <v>1437913.4320720721</v>
      </c>
      <c r="J126" s="34">
        <f t="shared" si="11"/>
        <v>860422.30199639068</v>
      </c>
      <c r="K126" s="10">
        <f t="shared" si="7"/>
        <v>0</v>
      </c>
      <c r="L126" s="10">
        <f t="shared" si="12"/>
        <v>860422.30199639068</v>
      </c>
      <c r="M126" s="10">
        <f>'D) Ecrêtage'!M125</f>
        <v>685132.52802278637</v>
      </c>
      <c r="N126" s="10">
        <f t="shared" si="8"/>
        <v>877225.07194475504</v>
      </c>
      <c r="O126" s="67">
        <f t="shared" si="9"/>
        <v>877225.07194475504</v>
      </c>
      <c r="P126" s="315"/>
      <c r="Q126" s="316"/>
      <c r="R126" s="312"/>
      <c r="S126" s="312"/>
      <c r="T126" s="317"/>
    </row>
    <row r="127" spans="1:20" s="311" customFormat="1" x14ac:dyDescent="0.25">
      <c r="A127" s="324">
        <f>'A) Base RI'!A128</f>
        <v>5607</v>
      </c>
      <c r="B127" s="324" t="str">
        <f>'A) Base RI'!B128</f>
        <v>Puidoux</v>
      </c>
      <c r="C127" s="383">
        <v>1</v>
      </c>
      <c r="D127" s="313">
        <f>'B) D RI'!AR128</f>
        <v>2874</v>
      </c>
      <c r="E127" s="314">
        <f>'B) D RI'!S128</f>
        <v>70</v>
      </c>
      <c r="F127" s="10">
        <f>'B) D RI'!R128</f>
        <v>6800327.4456521748</v>
      </c>
      <c r="G127" s="10">
        <f>'B) D RI'!U128</f>
        <v>97147.534937888209</v>
      </c>
      <c r="H127" s="44">
        <f>'B) D RI'!T128</f>
        <v>6195959.7500000009</v>
      </c>
      <c r="I127" s="10">
        <f t="shared" si="10"/>
        <v>177027.42142857146</v>
      </c>
      <c r="J127" s="34">
        <f t="shared" si="11"/>
        <v>250086.33656327132</v>
      </c>
      <c r="K127" s="10">
        <f t="shared" si="7"/>
        <v>0</v>
      </c>
      <c r="L127" s="10">
        <f t="shared" si="12"/>
        <v>250086.33656327132</v>
      </c>
      <c r="M127" s="10">
        <f>'D) Ecrêtage'!M126</f>
        <v>97147.534937888209</v>
      </c>
      <c r="N127" s="10">
        <f t="shared" si="8"/>
        <v>124385.06396869001</v>
      </c>
      <c r="O127" s="67">
        <f t="shared" si="9"/>
        <v>124385.06396869001</v>
      </c>
      <c r="P127" s="315"/>
      <c r="Q127" s="316"/>
      <c r="R127" s="312"/>
      <c r="S127" s="312"/>
      <c r="T127" s="317"/>
    </row>
    <row r="128" spans="1:20" s="311" customFormat="1" x14ac:dyDescent="0.25">
      <c r="A128" s="324">
        <f>'A) Base RI'!A129</f>
        <v>5609</v>
      </c>
      <c r="B128" s="324" t="str">
        <f>'A) Base RI'!B129</f>
        <v>Rivaz</v>
      </c>
      <c r="C128" s="383">
        <v>1</v>
      </c>
      <c r="D128" s="313">
        <f>'B) D RI'!AR129</f>
        <v>357</v>
      </c>
      <c r="E128" s="314">
        <f>'B) D RI'!S129</f>
        <v>63.5</v>
      </c>
      <c r="F128" s="10">
        <f>'B) D RI'!R129</f>
        <v>1072445.8900000001</v>
      </c>
      <c r="G128" s="10">
        <f>'B) D RI'!U129</f>
        <v>16888.91165354331</v>
      </c>
      <c r="H128" s="44">
        <f>'B) D RI'!T129</f>
        <v>1022932.79</v>
      </c>
      <c r="I128" s="10">
        <f t="shared" si="10"/>
        <v>32218.355590551182</v>
      </c>
      <c r="J128" s="34">
        <f t="shared" si="11"/>
        <v>31065.004228631824</v>
      </c>
      <c r="K128" s="10">
        <f t="shared" si="7"/>
        <v>0</v>
      </c>
      <c r="L128" s="10">
        <f t="shared" si="12"/>
        <v>31065.004228631824</v>
      </c>
      <c r="M128" s="10">
        <f>'D) Ecrêtage'!M127</f>
        <v>16888.91165354331</v>
      </c>
      <c r="N128" s="10">
        <f t="shared" si="8"/>
        <v>21624.103563004977</v>
      </c>
      <c r="O128" s="67">
        <f t="shared" si="9"/>
        <v>21624.103563004977</v>
      </c>
      <c r="P128" s="315"/>
      <c r="Q128" s="316"/>
      <c r="R128" s="312"/>
      <c r="S128" s="312"/>
      <c r="T128" s="317"/>
    </row>
    <row r="129" spans="1:20" s="311" customFormat="1" x14ac:dyDescent="0.25">
      <c r="A129" s="324">
        <f>'A) Base RI'!A130</f>
        <v>5610</v>
      </c>
      <c r="B129" s="324" t="str">
        <f>'A) Base RI'!B130</f>
        <v>St-Saphorin (Lavaux)</v>
      </c>
      <c r="C129" s="383">
        <v>1</v>
      </c>
      <c r="D129" s="313">
        <f>'B) D RI'!AR130</f>
        <v>398</v>
      </c>
      <c r="E129" s="314">
        <f>'B) D RI'!S130</f>
        <v>67</v>
      </c>
      <c r="F129" s="10">
        <f>'B) D RI'!R130</f>
        <v>1340516.8500000001</v>
      </c>
      <c r="G129" s="10">
        <f>'B) D RI'!U130</f>
        <v>20007.714179104478</v>
      </c>
      <c r="H129" s="44">
        <f>'B) D RI'!T130</f>
        <v>1256044.3</v>
      </c>
      <c r="I129" s="10">
        <f t="shared" si="10"/>
        <v>37493.85970149254</v>
      </c>
      <c r="J129" s="34">
        <f t="shared" si="11"/>
        <v>34632.693789903264</v>
      </c>
      <c r="K129" s="10">
        <f t="shared" si="7"/>
        <v>0</v>
      </c>
      <c r="L129" s="10">
        <f t="shared" si="12"/>
        <v>34632.693789903264</v>
      </c>
      <c r="M129" s="10">
        <f>'D) Ecrêtage'!M128</f>
        <v>20007.714179104478</v>
      </c>
      <c r="N129" s="10">
        <f t="shared" si="8"/>
        <v>25617.333570288894</v>
      </c>
      <c r="O129" s="67">
        <f t="shared" si="9"/>
        <v>25617.333570288894</v>
      </c>
      <c r="P129" s="315"/>
      <c r="Q129" s="316"/>
      <c r="R129" s="312"/>
      <c r="S129" s="312"/>
      <c r="T129" s="317"/>
    </row>
    <row r="130" spans="1:20" s="311" customFormat="1" x14ac:dyDescent="0.25">
      <c r="A130" s="324">
        <f>'A) Base RI'!A131</f>
        <v>5611</v>
      </c>
      <c r="B130" s="324" t="str">
        <f>'A) Base RI'!B131</f>
        <v>Savigny</v>
      </c>
      <c r="C130" s="383">
        <v>1</v>
      </c>
      <c r="D130" s="313">
        <f>'B) D RI'!AR131</f>
        <v>3276</v>
      </c>
      <c r="E130" s="314">
        <f>'B) D RI'!S131</f>
        <v>69</v>
      </c>
      <c r="F130" s="10">
        <f>'B) D RI'!R131</f>
        <v>7972082.336666666</v>
      </c>
      <c r="G130" s="10">
        <f>'B) D RI'!U131</f>
        <v>115537.42516908211</v>
      </c>
      <c r="H130" s="44">
        <f>'B) D RI'!T131</f>
        <v>7342088.419999999</v>
      </c>
      <c r="I130" s="10">
        <f t="shared" si="10"/>
        <v>212814.15710144924</v>
      </c>
      <c r="J130" s="34">
        <f t="shared" si="11"/>
        <v>285067.09762744495</v>
      </c>
      <c r="K130" s="10">
        <f t="shared" si="7"/>
        <v>0</v>
      </c>
      <c r="L130" s="10">
        <f t="shared" si="12"/>
        <v>285067.09762744495</v>
      </c>
      <c r="M130" s="10">
        <f>'D) Ecrêtage'!M129</f>
        <v>115537.42516908211</v>
      </c>
      <c r="N130" s="10">
        <f t="shared" si="8"/>
        <v>147930.97971680158</v>
      </c>
      <c r="O130" s="67">
        <f t="shared" si="9"/>
        <v>147930.97971680158</v>
      </c>
      <c r="P130" s="315"/>
      <c r="Q130" s="316"/>
      <c r="R130" s="312"/>
      <c r="S130" s="312"/>
      <c r="T130" s="317"/>
    </row>
    <row r="131" spans="1:20" s="311" customFormat="1" x14ac:dyDescent="0.25">
      <c r="A131" s="324">
        <f>'A) Base RI'!A132</f>
        <v>5613</v>
      </c>
      <c r="B131" s="324" t="str">
        <f>'A) Base RI'!B132</f>
        <v>Bourg-en-Lavaux</v>
      </c>
      <c r="C131" s="383">
        <v>1</v>
      </c>
      <c r="D131" s="313">
        <f>'B) D RI'!AR132</f>
        <v>5296</v>
      </c>
      <c r="E131" s="314">
        <f>'B) D RI'!S132</f>
        <v>61</v>
      </c>
      <c r="F131" s="10">
        <f>'B) D RI'!R132</f>
        <v>18414200.120000001</v>
      </c>
      <c r="G131" s="10">
        <f>'B) D RI'!U132</f>
        <v>301872.13311475411</v>
      </c>
      <c r="H131" s="44">
        <f>'B) D RI'!T132</f>
        <v>17149107.52</v>
      </c>
      <c r="I131" s="10">
        <f t="shared" si="10"/>
        <v>562265.8203278688</v>
      </c>
      <c r="J131" s="34">
        <f t="shared" si="11"/>
        <v>460841.0711339892</v>
      </c>
      <c r="K131" s="10">
        <f t="shared" si="7"/>
        <v>0</v>
      </c>
      <c r="L131" s="10">
        <f t="shared" si="12"/>
        <v>460841.0711339892</v>
      </c>
      <c r="M131" s="10">
        <f>'D) Ecrêtage'!M130</f>
        <v>300134.21856717777</v>
      </c>
      <c r="N131" s="10">
        <f t="shared" si="8"/>
        <v>384283.69798101153</v>
      </c>
      <c r="O131" s="67">
        <f t="shared" si="9"/>
        <v>384283.69798101153</v>
      </c>
      <c r="P131" s="315"/>
      <c r="Q131" s="316"/>
      <c r="R131" s="312"/>
      <c r="S131" s="312"/>
      <c r="T131" s="317"/>
    </row>
    <row r="132" spans="1:20" s="311" customFormat="1" x14ac:dyDescent="0.25">
      <c r="A132" s="324">
        <f>'A) Base RI'!A133</f>
        <v>5621</v>
      </c>
      <c r="B132" s="324" t="str">
        <f>'A) Base RI'!B133</f>
        <v>Aclens</v>
      </c>
      <c r="C132" s="383">
        <v>0</v>
      </c>
      <c r="D132" s="313">
        <f>'B) D RI'!AR133</f>
        <v>521</v>
      </c>
      <c r="E132" s="314">
        <f>'B) D RI'!S133</f>
        <v>62</v>
      </c>
      <c r="F132" s="10">
        <f>'B) D RI'!R133</f>
        <v>1662846.5627272727</v>
      </c>
      <c r="G132" s="10">
        <f>'B) D RI'!U133</f>
        <v>26820.105850439882</v>
      </c>
      <c r="H132" s="44">
        <f>'B) D RI'!T133</f>
        <v>1369655.29</v>
      </c>
      <c r="I132" s="10">
        <f t="shared" si="10"/>
        <v>44182.428709677421</v>
      </c>
      <c r="J132" s="34">
        <f t="shared" si="11"/>
        <v>45335.762473717594</v>
      </c>
      <c r="K132" s="10">
        <f t="shared" si="7"/>
        <v>44182.428709677421</v>
      </c>
      <c r="L132" s="10">
        <f t="shared" si="12"/>
        <v>1153.3337640401733</v>
      </c>
      <c r="M132" s="10">
        <f>'D) Ecrêtage'!M131</f>
        <v>26820.105850439882</v>
      </c>
      <c r="N132" s="10">
        <f t="shared" si="8"/>
        <v>34339.734754843797</v>
      </c>
      <c r="O132" s="67">
        <f t="shared" si="9"/>
        <v>78522.163464521218</v>
      </c>
      <c r="P132" s="315"/>
      <c r="Q132" s="316"/>
      <c r="R132" s="312"/>
      <c r="S132" s="312"/>
      <c r="T132" s="317"/>
    </row>
    <row r="133" spans="1:20" s="311" customFormat="1" x14ac:dyDescent="0.25">
      <c r="A133" s="324">
        <f>'A) Base RI'!A134</f>
        <v>5622</v>
      </c>
      <c r="B133" s="324" t="str">
        <f>'A) Base RI'!B134</f>
        <v>Bremblens</v>
      </c>
      <c r="C133" s="383">
        <v>0</v>
      </c>
      <c r="D133" s="313">
        <f>'B) D RI'!AR134</f>
        <v>516</v>
      </c>
      <c r="E133" s="314">
        <f>'B) D RI'!S134</f>
        <v>66</v>
      </c>
      <c r="F133" s="10">
        <f>'B) D RI'!R134</f>
        <v>2156995.9299999997</v>
      </c>
      <c r="G133" s="10">
        <f>'B) D RI'!U134</f>
        <v>32681.756515151512</v>
      </c>
      <c r="H133" s="44">
        <f>'B) D RI'!T134</f>
        <v>2023163.4299999997</v>
      </c>
      <c r="I133" s="10">
        <f t="shared" si="10"/>
        <v>61307.98272727272</v>
      </c>
      <c r="J133" s="34">
        <f t="shared" si="11"/>
        <v>44900.67838087961</v>
      </c>
      <c r="K133" s="10">
        <f t="shared" si="7"/>
        <v>44900.67838087961</v>
      </c>
      <c r="L133" s="10">
        <f t="shared" si="12"/>
        <v>0</v>
      </c>
      <c r="M133" s="10">
        <f>'D) Ecrêtage'!M132</f>
        <v>31335.32030656391</v>
      </c>
      <c r="N133" s="10">
        <f t="shared" si="8"/>
        <v>40120.892653666648</v>
      </c>
      <c r="O133" s="67">
        <f t="shared" si="9"/>
        <v>85021.571034546258</v>
      </c>
      <c r="P133" s="315"/>
      <c r="Q133" s="316"/>
      <c r="R133" s="312"/>
      <c r="S133" s="312"/>
      <c r="T133" s="317"/>
    </row>
    <row r="134" spans="1:20" s="311" customFormat="1" x14ac:dyDescent="0.25">
      <c r="A134" s="324">
        <f>'A) Base RI'!A135</f>
        <v>5623</v>
      </c>
      <c r="B134" s="324" t="str">
        <f>'A) Base RI'!B135</f>
        <v>Buchillon</v>
      </c>
      <c r="C134" s="383">
        <v>1</v>
      </c>
      <c r="D134" s="313">
        <f>'B) D RI'!AR135</f>
        <v>609</v>
      </c>
      <c r="E134" s="314">
        <f>'B) D RI'!S135</f>
        <v>53</v>
      </c>
      <c r="F134" s="10">
        <f>'B) D RI'!R135</f>
        <v>4367327.74</v>
      </c>
      <c r="G134" s="10">
        <f>'B) D RI'!U135</f>
        <v>82402.410188679249</v>
      </c>
      <c r="H134" s="44">
        <f>'B) D RI'!T135</f>
        <v>4065844.8400000003</v>
      </c>
      <c r="I134" s="10">
        <f t="shared" si="10"/>
        <v>153428.10716981132</v>
      </c>
      <c r="J134" s="34">
        <f t="shared" si="11"/>
        <v>52993.242507666051</v>
      </c>
      <c r="K134" s="10">
        <f t="shared" ref="K134:K197" si="13">IF(C134=1,0,IF(J134&gt;I134,I134,J134))</f>
        <v>0</v>
      </c>
      <c r="L134" s="10">
        <f t="shared" si="12"/>
        <v>52993.242507666051</v>
      </c>
      <c r="M134" s="10">
        <f>'D) Ecrêtage'!M133</f>
        <v>58516.615294914322</v>
      </c>
      <c r="N134" s="10">
        <f t="shared" ref="N134:N197" si="14">+$N$5*M134</f>
        <v>74923.084166188564</v>
      </c>
      <c r="O134" s="67">
        <f t="shared" ref="O134:O197" si="15">+N134+K134</f>
        <v>74923.084166188564</v>
      </c>
      <c r="P134" s="315"/>
      <c r="Q134" s="316"/>
      <c r="R134" s="312"/>
      <c r="S134" s="312"/>
      <c r="T134" s="317"/>
    </row>
    <row r="135" spans="1:20" s="311" customFormat="1" x14ac:dyDescent="0.25">
      <c r="A135" s="324">
        <f>'A) Base RI'!A136</f>
        <v>5624</v>
      </c>
      <c r="B135" s="324" t="str">
        <f>'A) Base RI'!B136</f>
        <v>Bussigny</v>
      </c>
      <c r="C135" s="383">
        <v>1</v>
      </c>
      <c r="D135" s="313">
        <f>'B) D RI'!AR136</f>
        <v>8227</v>
      </c>
      <c r="E135" s="314">
        <f>'B) D RI'!S136</f>
        <v>62</v>
      </c>
      <c r="F135" s="10">
        <f>'B) D RI'!R136</f>
        <v>20716068.259999998</v>
      </c>
      <c r="G135" s="10">
        <f>'B) D RI'!U136</f>
        <v>334130.13322580641</v>
      </c>
      <c r="H135" s="44">
        <f>'B) D RI'!T136</f>
        <v>18690711.459999997</v>
      </c>
      <c r="I135" s="10">
        <f t="shared" ref="I135:I198" si="16">+H135/E135*$I$5</f>
        <v>602926.17612903216</v>
      </c>
      <c r="J135" s="34">
        <f t="shared" ref="J135:J198" si="17">+$I$324/$D$324*D135</f>
        <v>715887.36635561346</v>
      </c>
      <c r="K135" s="10">
        <f t="shared" si="13"/>
        <v>0</v>
      </c>
      <c r="L135" s="10">
        <f t="shared" ref="L135:L198" si="18">+J135-K135</f>
        <v>715887.36635561346</v>
      </c>
      <c r="M135" s="10">
        <f>'D) Ecrêtage'!M134</f>
        <v>334130.13322580641</v>
      </c>
      <c r="N135" s="10">
        <f t="shared" si="14"/>
        <v>427811.1433473939</v>
      </c>
      <c r="O135" s="67">
        <f t="shared" si="15"/>
        <v>427811.1433473939</v>
      </c>
      <c r="P135" s="315"/>
      <c r="Q135" s="316"/>
      <c r="R135" s="312"/>
      <c r="S135" s="312"/>
      <c r="T135" s="317"/>
    </row>
    <row r="136" spans="1:20" s="311" customFormat="1" x14ac:dyDescent="0.25">
      <c r="A136" s="324">
        <f>'A) Base RI'!A137</f>
        <v>5625</v>
      </c>
      <c r="B136" s="324" t="str">
        <f>'A) Base RI'!B137</f>
        <v>Bussy-Chardonney</v>
      </c>
      <c r="C136" s="383">
        <v>0</v>
      </c>
      <c r="D136" s="313">
        <f>'B) D RI'!AR137</f>
        <v>369</v>
      </c>
      <c r="E136" s="314">
        <f>'B) D RI'!S137</f>
        <v>78</v>
      </c>
      <c r="F136" s="10">
        <f>'B) D RI'!R137</f>
        <v>1072182.2533333334</v>
      </c>
      <c r="G136" s="10">
        <f>'B) D RI'!U137</f>
        <v>13745.926324786325</v>
      </c>
      <c r="H136" s="44">
        <f>'B) D RI'!T137</f>
        <v>981620.42000000016</v>
      </c>
      <c r="I136" s="10">
        <f t="shared" si="16"/>
        <v>25169.754358974362</v>
      </c>
      <c r="J136" s="34">
        <f t="shared" si="17"/>
        <v>32109.20605144298</v>
      </c>
      <c r="K136" s="10">
        <f t="shared" si="13"/>
        <v>25169.754358974362</v>
      </c>
      <c r="L136" s="10">
        <f t="shared" si="18"/>
        <v>6939.4516924686177</v>
      </c>
      <c r="M136" s="10">
        <f>'D) Ecrêtage'!M135</f>
        <v>13745.926324786325</v>
      </c>
      <c r="N136" s="10">
        <f t="shared" si="14"/>
        <v>17599.910551622426</v>
      </c>
      <c r="O136" s="67">
        <f t="shared" si="15"/>
        <v>42769.664910596788</v>
      </c>
      <c r="P136" s="315"/>
      <c r="Q136" s="316"/>
      <c r="R136" s="312"/>
      <c r="S136" s="312"/>
      <c r="T136" s="317"/>
    </row>
    <row r="137" spans="1:20" s="311" customFormat="1" x14ac:dyDescent="0.25">
      <c r="A137" s="324">
        <f>'A) Base RI'!A138</f>
        <v>5627</v>
      </c>
      <c r="B137" s="324" t="str">
        <f>'A) Base RI'!B138</f>
        <v>Chavannes-près-Renens</v>
      </c>
      <c r="C137" s="383">
        <v>1</v>
      </c>
      <c r="D137" s="313">
        <f>'B) D RI'!AR138</f>
        <v>7543</v>
      </c>
      <c r="E137" s="314">
        <f>'B) D RI'!S138</f>
        <v>79</v>
      </c>
      <c r="F137" s="10">
        <f>'B) D RI'!R138</f>
        <v>13569897.976666665</v>
      </c>
      <c r="G137" s="10">
        <f>'B) D RI'!U138</f>
        <v>171770.86046413501</v>
      </c>
      <c r="H137" s="44">
        <f>'B) D RI'!T138</f>
        <v>12533372.209999999</v>
      </c>
      <c r="I137" s="10">
        <f t="shared" si="16"/>
        <v>317300.56227848097</v>
      </c>
      <c r="J137" s="34">
        <f t="shared" si="17"/>
        <v>656367.8624553777</v>
      </c>
      <c r="K137" s="10">
        <f t="shared" si="13"/>
        <v>0</v>
      </c>
      <c r="L137" s="10">
        <f t="shared" si="18"/>
        <v>656367.8624553777</v>
      </c>
      <c r="M137" s="10">
        <f>'D) Ecrêtage'!M136</f>
        <v>171770.86046413501</v>
      </c>
      <c r="N137" s="10">
        <f t="shared" si="14"/>
        <v>219930.74225144932</v>
      </c>
      <c r="O137" s="67">
        <f t="shared" si="15"/>
        <v>219930.74225144932</v>
      </c>
      <c r="P137" s="315"/>
      <c r="Q137" s="316"/>
      <c r="R137" s="312"/>
      <c r="S137" s="312"/>
      <c r="T137" s="317"/>
    </row>
    <row r="138" spans="1:20" s="311" customFormat="1" x14ac:dyDescent="0.25">
      <c r="A138" s="324">
        <f>'A) Base RI'!A139</f>
        <v>5628</v>
      </c>
      <c r="B138" s="324" t="str">
        <f>'A) Base RI'!B139</f>
        <v>Chigny</v>
      </c>
      <c r="C138" s="383">
        <v>0</v>
      </c>
      <c r="D138" s="313">
        <f>'B) D RI'!AR139</f>
        <v>343</v>
      </c>
      <c r="E138" s="314">
        <f>'B) D RI'!S139</f>
        <v>62</v>
      </c>
      <c r="F138" s="10">
        <f>'B) D RI'!R139</f>
        <v>1200423.3374999999</v>
      </c>
      <c r="G138" s="10">
        <f>'B) D RI'!U139</f>
        <v>19361.666733870967</v>
      </c>
      <c r="H138" s="44">
        <f>'B) D RI'!T139</f>
        <v>1118198.1499999999</v>
      </c>
      <c r="I138" s="10">
        <f t="shared" si="16"/>
        <v>36070.908064516123</v>
      </c>
      <c r="J138" s="34">
        <f t="shared" si="17"/>
        <v>29846.768768685477</v>
      </c>
      <c r="K138" s="10">
        <f t="shared" si="13"/>
        <v>29846.768768685477</v>
      </c>
      <c r="L138" s="10">
        <f t="shared" si="18"/>
        <v>0</v>
      </c>
      <c r="M138" s="10">
        <f>'D) Ecrêtage'!M137</f>
        <v>19317.272281276957</v>
      </c>
      <c r="N138" s="10">
        <f t="shared" si="14"/>
        <v>24733.310525516339</v>
      </c>
      <c r="O138" s="67">
        <f t="shared" si="15"/>
        <v>54580.079294201816</v>
      </c>
      <c r="P138" s="315"/>
      <c r="Q138" s="316"/>
      <c r="R138" s="312"/>
      <c r="S138" s="312"/>
      <c r="T138" s="317"/>
    </row>
    <row r="139" spans="1:20" s="311" customFormat="1" x14ac:dyDescent="0.25">
      <c r="A139" s="324">
        <f>'A) Base RI'!A140</f>
        <v>5629</v>
      </c>
      <c r="B139" s="324" t="str">
        <f>'A) Base RI'!B140</f>
        <v>Clarmont</v>
      </c>
      <c r="C139" s="383">
        <v>0</v>
      </c>
      <c r="D139" s="313">
        <f>'B) D RI'!AR140</f>
        <v>175</v>
      </c>
      <c r="E139" s="314">
        <f>'B) D RI'!S140</f>
        <v>75</v>
      </c>
      <c r="F139" s="10">
        <f>'B) D RI'!R140</f>
        <v>565213.43999999994</v>
      </c>
      <c r="G139" s="10">
        <f>'B) D RI'!U140</f>
        <v>7536.1791999999996</v>
      </c>
      <c r="H139" s="44">
        <f>'B) D RI'!T140</f>
        <v>529057.34</v>
      </c>
      <c r="I139" s="10">
        <f t="shared" si="16"/>
        <v>14108.195733333332</v>
      </c>
      <c r="J139" s="34">
        <f t="shared" si="17"/>
        <v>15227.943249329326</v>
      </c>
      <c r="K139" s="10">
        <f t="shared" si="13"/>
        <v>14108.195733333332</v>
      </c>
      <c r="L139" s="10">
        <f t="shared" si="18"/>
        <v>1119.747515995994</v>
      </c>
      <c r="M139" s="10">
        <f>'D) Ecrêtage'!M138</f>
        <v>7536.1791999999996</v>
      </c>
      <c r="N139" s="10">
        <f t="shared" si="14"/>
        <v>9649.1190689587256</v>
      </c>
      <c r="O139" s="67">
        <f t="shared" si="15"/>
        <v>23757.314802292058</v>
      </c>
      <c r="P139" s="315"/>
      <c r="Q139" s="316"/>
      <c r="R139" s="312"/>
      <c r="S139" s="312"/>
      <c r="T139" s="317"/>
    </row>
    <row r="140" spans="1:20" s="311" customFormat="1" x14ac:dyDescent="0.25">
      <c r="A140" s="324">
        <f>'A) Base RI'!A141</f>
        <v>5631</v>
      </c>
      <c r="B140" s="324" t="str">
        <f>'A) Base RI'!B141</f>
        <v>Denens</v>
      </c>
      <c r="C140" s="383">
        <v>0</v>
      </c>
      <c r="D140" s="313">
        <f>'B) D RI'!AR141</f>
        <v>769</v>
      </c>
      <c r="E140" s="314">
        <f>'B) D RI'!S141</f>
        <v>68</v>
      </c>
      <c r="F140" s="10">
        <f>'B) D RI'!R141</f>
        <v>2871091.6599999997</v>
      </c>
      <c r="G140" s="10">
        <f>'B) D RI'!U141</f>
        <v>42221.936176470583</v>
      </c>
      <c r="H140" s="44">
        <f>'B) D RI'!T141</f>
        <v>2686024.1599999997</v>
      </c>
      <c r="I140" s="10">
        <f t="shared" si="16"/>
        <v>79000.710588235292</v>
      </c>
      <c r="J140" s="34">
        <f t="shared" si="17"/>
        <v>66915.933478481442</v>
      </c>
      <c r="K140" s="10">
        <f t="shared" si="13"/>
        <v>66915.933478481442</v>
      </c>
      <c r="L140" s="10">
        <f t="shared" si="18"/>
        <v>0</v>
      </c>
      <c r="M140" s="10">
        <f>'D) Ecrêtage'!M139</f>
        <v>42221.936176470583</v>
      </c>
      <c r="N140" s="10">
        <f t="shared" si="14"/>
        <v>54059.819794192335</v>
      </c>
      <c r="O140" s="67">
        <f t="shared" si="15"/>
        <v>120975.75327267378</v>
      </c>
      <c r="P140" s="315"/>
      <c r="Q140" s="316"/>
      <c r="R140" s="312"/>
      <c r="S140" s="312"/>
      <c r="T140" s="317"/>
    </row>
    <row r="141" spans="1:20" s="311" customFormat="1" x14ac:dyDescent="0.25">
      <c r="A141" s="324">
        <f>'A) Base RI'!A142</f>
        <v>5632</v>
      </c>
      <c r="B141" s="324" t="str">
        <f>'A) Base RI'!B142</f>
        <v>Denges</v>
      </c>
      <c r="C141" s="383">
        <v>0</v>
      </c>
      <c r="D141" s="313">
        <f>'B) D RI'!AR142</f>
        <v>1624</v>
      </c>
      <c r="E141" s="314">
        <f>'B) D RI'!S142</f>
        <v>62</v>
      </c>
      <c r="F141" s="10">
        <f>'B) D RI'!R142</f>
        <v>4173224.1300000008</v>
      </c>
      <c r="G141" s="10">
        <f>'B) D RI'!U142</f>
        <v>67310.066612903232</v>
      </c>
      <c r="H141" s="44">
        <f>'B) D RI'!T142</f>
        <v>3814809.7300000009</v>
      </c>
      <c r="I141" s="10">
        <f t="shared" si="16"/>
        <v>123058.3783870968</v>
      </c>
      <c r="J141" s="34">
        <f t="shared" si="17"/>
        <v>141315.31335377615</v>
      </c>
      <c r="K141" s="10">
        <f t="shared" si="13"/>
        <v>123058.3783870968</v>
      </c>
      <c r="L141" s="10">
        <f t="shared" si="18"/>
        <v>18256.934966679342</v>
      </c>
      <c r="M141" s="10">
        <f>'D) Ecrêtage'!M140</f>
        <v>67310.066612903232</v>
      </c>
      <c r="N141" s="10">
        <f t="shared" si="14"/>
        <v>86181.98029147803</v>
      </c>
      <c r="O141" s="67">
        <f t="shared" si="15"/>
        <v>209240.35867857485</v>
      </c>
      <c r="P141" s="315"/>
      <c r="Q141" s="316"/>
      <c r="R141" s="312"/>
      <c r="S141" s="312"/>
      <c r="T141" s="317"/>
    </row>
    <row r="142" spans="1:20" s="311" customFormat="1" x14ac:dyDescent="0.25">
      <c r="A142" s="324">
        <f>'A) Base RI'!A143</f>
        <v>5633</v>
      </c>
      <c r="B142" s="324" t="str">
        <f>'A) Base RI'!B143</f>
        <v>Echandens</v>
      </c>
      <c r="C142" s="383">
        <v>0</v>
      </c>
      <c r="D142" s="313">
        <f>'B) D RI'!AR143</f>
        <v>2731</v>
      </c>
      <c r="E142" s="314">
        <f>'B) D RI'!S143</f>
        <v>62</v>
      </c>
      <c r="F142" s="10">
        <f>'B) D RI'!R143</f>
        <v>8652375.6600000001</v>
      </c>
      <c r="G142" s="10">
        <f>'B) D RI'!U143</f>
        <v>139554.44612903227</v>
      </c>
      <c r="H142" s="44">
        <f>'B) D RI'!T143</f>
        <v>8062043.5599999996</v>
      </c>
      <c r="I142" s="10">
        <f t="shared" si="16"/>
        <v>260065.92129032256</v>
      </c>
      <c r="J142" s="34">
        <f t="shared" si="17"/>
        <v>237642.93150810507</v>
      </c>
      <c r="K142" s="10">
        <f t="shared" si="13"/>
        <v>237642.93150810507</v>
      </c>
      <c r="L142" s="10">
        <f t="shared" si="18"/>
        <v>0</v>
      </c>
      <c r="M142" s="10">
        <f>'D) Ecrêtage'!M141</f>
        <v>139554.44612903227</v>
      </c>
      <c r="N142" s="10">
        <f t="shared" si="14"/>
        <v>178681.72074539025</v>
      </c>
      <c r="O142" s="67">
        <f t="shared" si="15"/>
        <v>416324.6522534953</v>
      </c>
      <c r="P142" s="315"/>
      <c r="Q142" s="316"/>
      <c r="R142" s="312"/>
      <c r="S142" s="312"/>
      <c r="T142" s="317"/>
    </row>
    <row r="143" spans="1:20" s="311" customFormat="1" x14ac:dyDescent="0.25">
      <c r="A143" s="324">
        <f>'A) Base RI'!A144</f>
        <v>5634</v>
      </c>
      <c r="B143" s="324" t="str">
        <f>'A) Base RI'!B144</f>
        <v>Echichens</v>
      </c>
      <c r="C143" s="383">
        <v>0</v>
      </c>
      <c r="D143" s="313">
        <f>'B) D RI'!AR144</f>
        <v>2639</v>
      </c>
      <c r="E143" s="314">
        <f>'B) D RI'!S144</f>
        <v>68</v>
      </c>
      <c r="F143" s="10">
        <f>'B) D RI'!R144</f>
        <v>8547546.6400000006</v>
      </c>
      <c r="G143" s="10">
        <f>'B) D RI'!U144</f>
        <v>125699.21529411766</v>
      </c>
      <c r="H143" s="44">
        <f>'B) D RI'!T144</f>
        <v>8037328.9900000002</v>
      </c>
      <c r="I143" s="10">
        <f t="shared" si="16"/>
        <v>236392.02911764706</v>
      </c>
      <c r="J143" s="34">
        <f t="shared" si="17"/>
        <v>229637.38419988623</v>
      </c>
      <c r="K143" s="10">
        <f t="shared" si="13"/>
        <v>229637.38419988623</v>
      </c>
      <c r="L143" s="10">
        <f t="shared" si="18"/>
        <v>0</v>
      </c>
      <c r="M143" s="10">
        <f>'D) Ecrêtage'!M142</f>
        <v>125699.21529411766</v>
      </c>
      <c r="N143" s="10">
        <f t="shared" si="14"/>
        <v>160941.85966910381</v>
      </c>
      <c r="O143" s="67">
        <f t="shared" si="15"/>
        <v>390579.24386899004</v>
      </c>
      <c r="P143" s="315"/>
      <c r="Q143" s="316"/>
      <c r="R143" s="312"/>
      <c r="S143" s="312"/>
      <c r="T143" s="317"/>
    </row>
    <row r="144" spans="1:20" s="311" customFormat="1" x14ac:dyDescent="0.25">
      <c r="A144" s="324">
        <f>'A) Base RI'!A145</f>
        <v>5635</v>
      </c>
      <c r="B144" s="324" t="str">
        <f>'A) Base RI'!B145</f>
        <v>Ecublens</v>
      </c>
      <c r="C144" s="383">
        <v>1</v>
      </c>
      <c r="D144" s="313">
        <f>'B) D RI'!AR145</f>
        <v>12340</v>
      </c>
      <c r="E144" s="314">
        <f>'B) D RI'!S145</f>
        <v>62</v>
      </c>
      <c r="F144" s="10">
        <f>'B) D RI'!R145</f>
        <v>26321685.318947371</v>
      </c>
      <c r="G144" s="10">
        <f>'B) D RI'!U145</f>
        <v>424543.31159592536</v>
      </c>
      <c r="H144" s="44">
        <f>'B) D RI'!T145</f>
        <v>23774223.240000002</v>
      </c>
      <c r="I144" s="10">
        <f t="shared" si="16"/>
        <v>766910.42709677422</v>
      </c>
      <c r="J144" s="34">
        <f t="shared" si="17"/>
        <v>1073787.5411241364</v>
      </c>
      <c r="K144" s="10">
        <f t="shared" si="13"/>
        <v>0</v>
      </c>
      <c r="L144" s="10">
        <f t="shared" si="18"/>
        <v>1073787.5411241364</v>
      </c>
      <c r="M144" s="10">
        <f>'D) Ecrêtage'!M143</f>
        <v>424543.31159592536</v>
      </c>
      <c r="N144" s="10">
        <f t="shared" si="14"/>
        <v>543573.72015770664</v>
      </c>
      <c r="O144" s="67">
        <f t="shared" si="15"/>
        <v>543573.72015770664</v>
      </c>
      <c r="P144" s="315"/>
      <c r="Q144" s="316"/>
      <c r="R144" s="312"/>
      <c r="S144" s="312"/>
      <c r="T144" s="317"/>
    </row>
    <row r="145" spans="1:20" s="311" customFormat="1" x14ac:dyDescent="0.25">
      <c r="A145" s="324">
        <f>'A) Base RI'!A146</f>
        <v>5636</v>
      </c>
      <c r="B145" s="324" t="str">
        <f>'A) Base RI'!B146</f>
        <v>Etoy</v>
      </c>
      <c r="C145" s="383">
        <v>0</v>
      </c>
      <c r="D145" s="313">
        <f>'B) D RI'!AR146</f>
        <v>2906</v>
      </c>
      <c r="E145" s="314">
        <f>'B) D RI'!S146</f>
        <v>61</v>
      </c>
      <c r="F145" s="10">
        <f>'B) D RI'!R146</f>
        <v>9202144.9199999999</v>
      </c>
      <c r="G145" s="10">
        <f>'B) D RI'!U146</f>
        <v>150854.83475409835</v>
      </c>
      <c r="H145" s="44">
        <f>'B) D RI'!T146</f>
        <v>8061443.9199999999</v>
      </c>
      <c r="I145" s="10">
        <f t="shared" si="16"/>
        <v>264309.63672131149</v>
      </c>
      <c r="J145" s="34">
        <f t="shared" si="17"/>
        <v>252870.87475743442</v>
      </c>
      <c r="K145" s="10">
        <f t="shared" si="13"/>
        <v>252870.87475743442</v>
      </c>
      <c r="L145" s="10">
        <f t="shared" si="18"/>
        <v>0</v>
      </c>
      <c r="M145" s="10">
        <f>'D) Ecrêtage'!M144</f>
        <v>150854.83475409835</v>
      </c>
      <c r="N145" s="10">
        <f t="shared" si="14"/>
        <v>193150.43127827797</v>
      </c>
      <c r="O145" s="67">
        <f t="shared" si="15"/>
        <v>446021.30603571236</v>
      </c>
      <c r="P145" s="315"/>
      <c r="Q145" s="316"/>
      <c r="R145" s="312"/>
      <c r="S145" s="312"/>
      <c r="T145" s="317"/>
    </row>
    <row r="146" spans="1:20" s="311" customFormat="1" x14ac:dyDescent="0.25">
      <c r="A146" s="324">
        <f>'A) Base RI'!A147</f>
        <v>5637</v>
      </c>
      <c r="B146" s="324" t="str">
        <f>'A) Base RI'!B147</f>
        <v>Lavigny</v>
      </c>
      <c r="C146" s="383">
        <v>0</v>
      </c>
      <c r="D146" s="313">
        <f>'B) D RI'!AR147</f>
        <v>1006</v>
      </c>
      <c r="E146" s="314">
        <f>'B) D RI'!S147</f>
        <v>74.5</v>
      </c>
      <c r="F146" s="10">
        <f>'B) D RI'!R147</f>
        <v>2666266.3166666673</v>
      </c>
      <c r="G146" s="10">
        <f>'B) D RI'!U147</f>
        <v>35788.809619686814</v>
      </c>
      <c r="H146" s="44">
        <f>'B) D RI'!T147</f>
        <v>2487431.7500000005</v>
      </c>
      <c r="I146" s="10">
        <f t="shared" si="16"/>
        <v>66776.691275167803</v>
      </c>
      <c r="J146" s="34">
        <f t="shared" si="17"/>
        <v>87538.919479001721</v>
      </c>
      <c r="K146" s="10">
        <f t="shared" si="13"/>
        <v>66776.691275167803</v>
      </c>
      <c r="L146" s="10">
        <f t="shared" si="18"/>
        <v>20762.228203833918</v>
      </c>
      <c r="M146" s="10">
        <f>'D) Ecrêtage'!M145</f>
        <v>35788.809619686814</v>
      </c>
      <c r="N146" s="10">
        <f t="shared" si="14"/>
        <v>45823.019356632802</v>
      </c>
      <c r="O146" s="67">
        <f t="shared" si="15"/>
        <v>112599.71063180061</v>
      </c>
      <c r="P146" s="315"/>
      <c r="Q146" s="316"/>
      <c r="R146" s="312"/>
      <c r="S146" s="312"/>
      <c r="T146" s="317"/>
    </row>
    <row r="147" spans="1:20" s="311" customFormat="1" x14ac:dyDescent="0.25">
      <c r="A147" s="324">
        <f>'A) Base RI'!A148</f>
        <v>5638</v>
      </c>
      <c r="B147" s="324" t="str">
        <f>'A) Base RI'!B148</f>
        <v>Lonay</v>
      </c>
      <c r="C147" s="383">
        <v>0</v>
      </c>
      <c r="D147" s="313">
        <f>'B) D RI'!AR148</f>
        <v>2530</v>
      </c>
      <c r="E147" s="314">
        <f>'B) D RI'!S148</f>
        <v>55</v>
      </c>
      <c r="F147" s="10">
        <f>'B) D RI'!R148</f>
        <v>8298086.6200000001</v>
      </c>
      <c r="G147" s="10">
        <f>'B) D RI'!U148</f>
        <v>150874.30218181817</v>
      </c>
      <c r="H147" s="44">
        <f>'B) D RI'!T148</f>
        <v>7664388.4699999997</v>
      </c>
      <c r="I147" s="10">
        <f t="shared" si="16"/>
        <v>278705.03527272725</v>
      </c>
      <c r="J147" s="34">
        <f t="shared" si="17"/>
        <v>220152.55097601825</v>
      </c>
      <c r="K147" s="10">
        <f t="shared" si="13"/>
        <v>220152.55097601825</v>
      </c>
      <c r="L147" s="10">
        <f t="shared" si="18"/>
        <v>0</v>
      </c>
      <c r="M147" s="10">
        <f>'D) Ecrêtage'!M146</f>
        <v>147644.94143177712</v>
      </c>
      <c r="N147" s="10">
        <f t="shared" si="14"/>
        <v>189040.57109001002</v>
      </c>
      <c r="O147" s="67">
        <f t="shared" si="15"/>
        <v>409193.1220660283</v>
      </c>
      <c r="P147" s="315"/>
      <c r="Q147" s="316"/>
      <c r="R147" s="312"/>
      <c r="S147" s="312"/>
      <c r="T147" s="317"/>
    </row>
    <row r="148" spans="1:20" s="311" customFormat="1" x14ac:dyDescent="0.25">
      <c r="A148" s="324">
        <f>'A) Base RI'!A149</f>
        <v>5639</v>
      </c>
      <c r="B148" s="324" t="str">
        <f>'A) Base RI'!B149</f>
        <v>Lully</v>
      </c>
      <c r="C148" s="383">
        <v>0</v>
      </c>
      <c r="D148" s="313">
        <f>'B) D RI'!AR149</f>
        <v>785</v>
      </c>
      <c r="E148" s="314">
        <f>'B) D RI'!S149</f>
        <v>61</v>
      </c>
      <c r="F148" s="10">
        <f>'B) D RI'!R149</f>
        <v>2545146.04</v>
      </c>
      <c r="G148" s="10">
        <f>'B) D RI'!U149</f>
        <v>41723.705573770494</v>
      </c>
      <c r="H148" s="44">
        <f>'B) D RI'!T149</f>
        <v>2361491.16</v>
      </c>
      <c r="I148" s="10">
        <f t="shared" si="16"/>
        <v>77425.93967213115</v>
      </c>
      <c r="J148" s="34">
        <f t="shared" si="17"/>
        <v>68308.202575562973</v>
      </c>
      <c r="K148" s="10">
        <f t="shared" si="13"/>
        <v>68308.202575562973</v>
      </c>
      <c r="L148" s="10">
        <f t="shared" si="18"/>
        <v>0</v>
      </c>
      <c r="M148" s="10">
        <f>'D) Ecrêtage'!M147</f>
        <v>41723.705573770494</v>
      </c>
      <c r="N148" s="10">
        <f t="shared" si="14"/>
        <v>53421.898868791279</v>
      </c>
      <c r="O148" s="67">
        <f t="shared" si="15"/>
        <v>121730.10144435425</v>
      </c>
      <c r="P148" s="315"/>
      <c r="Q148" s="316"/>
      <c r="R148" s="312"/>
      <c r="S148" s="312"/>
      <c r="T148" s="317"/>
    </row>
    <row r="149" spans="1:20" s="311" customFormat="1" x14ac:dyDescent="0.25">
      <c r="A149" s="324">
        <f>'A) Base RI'!A150</f>
        <v>5640</v>
      </c>
      <c r="B149" s="324" t="str">
        <f>'A) Base RI'!B150</f>
        <v>Lussy-sur-Morges</v>
      </c>
      <c r="C149" s="383">
        <v>1</v>
      </c>
      <c r="D149" s="313">
        <f>'B) D RI'!AR150</f>
        <v>644</v>
      </c>
      <c r="E149" s="314">
        <f>'B) D RI'!S150</f>
        <v>66</v>
      </c>
      <c r="F149" s="10">
        <f>'B) D RI'!R150</f>
        <v>3575587.4599999995</v>
      </c>
      <c r="G149" s="10">
        <f>'B) D RI'!U150</f>
        <v>54175.567575757566</v>
      </c>
      <c r="H149" s="44">
        <f>'B) D RI'!T150</f>
        <v>3398321.3099999996</v>
      </c>
      <c r="I149" s="10">
        <f t="shared" si="16"/>
        <v>102979.43363636362</v>
      </c>
      <c r="J149" s="34">
        <f t="shared" si="17"/>
        <v>56038.831157531917</v>
      </c>
      <c r="K149" s="10">
        <f t="shared" si="13"/>
        <v>0</v>
      </c>
      <c r="L149" s="10">
        <f t="shared" si="18"/>
        <v>56038.831157531917</v>
      </c>
      <c r="M149" s="10">
        <f>'D) Ecrêtage'!M148</f>
        <v>46773.482488911992</v>
      </c>
      <c r="N149" s="10">
        <f t="shared" si="14"/>
        <v>59887.496014607474</v>
      </c>
      <c r="O149" s="67">
        <f t="shared" si="15"/>
        <v>59887.496014607474</v>
      </c>
      <c r="P149" s="315"/>
      <c r="Q149" s="316"/>
      <c r="R149" s="312"/>
      <c r="S149" s="312"/>
      <c r="T149" s="317"/>
    </row>
    <row r="150" spans="1:20" s="311" customFormat="1" x14ac:dyDescent="0.25">
      <c r="A150" s="324">
        <f>'A) Base RI'!A151</f>
        <v>5642</v>
      </c>
      <c r="B150" s="324" t="str">
        <f>'A) Base RI'!B151</f>
        <v>Morges</v>
      </c>
      <c r="C150" s="383">
        <v>1</v>
      </c>
      <c r="D150" s="313">
        <f>'B) D RI'!AR151</f>
        <v>15819</v>
      </c>
      <c r="E150" s="314">
        <f>'B) D RI'!S151</f>
        <v>68.5</v>
      </c>
      <c r="F150" s="10">
        <f>'B) D RI'!R151</f>
        <v>53551835.219999991</v>
      </c>
      <c r="G150" s="10">
        <f>'B) D RI'!U151</f>
        <v>781778.61635036487</v>
      </c>
      <c r="H150" s="44">
        <f>'B) D RI'!T151</f>
        <v>50133007.569999993</v>
      </c>
      <c r="I150" s="10">
        <f t="shared" si="16"/>
        <v>1463737.44729927</v>
      </c>
      <c r="J150" s="34">
        <f t="shared" si="17"/>
        <v>1376519.0529208034</v>
      </c>
      <c r="K150" s="10">
        <f t="shared" si="13"/>
        <v>0</v>
      </c>
      <c r="L150" s="10">
        <f t="shared" si="18"/>
        <v>1376519.0529208034</v>
      </c>
      <c r="M150" s="10">
        <f>'D) Ecrêtage'!M149</f>
        <v>781778.61635036487</v>
      </c>
      <c r="N150" s="10">
        <f t="shared" si="14"/>
        <v>1000968.0972992884</v>
      </c>
      <c r="O150" s="67">
        <f t="shared" si="15"/>
        <v>1000968.0972992884</v>
      </c>
      <c r="P150" s="315"/>
      <c r="Q150" s="316"/>
      <c r="R150" s="312"/>
      <c r="S150" s="312"/>
      <c r="T150" s="317"/>
    </row>
    <row r="151" spans="1:20" s="311" customFormat="1" x14ac:dyDescent="0.25">
      <c r="A151" s="324">
        <f>'A) Base RI'!A152</f>
        <v>5643</v>
      </c>
      <c r="B151" s="324" t="str">
        <f>'A) Base RI'!B152</f>
        <v>Préverenges</v>
      </c>
      <c r="C151" s="383">
        <v>1</v>
      </c>
      <c r="D151" s="313">
        <f>'B) D RI'!AR152</f>
        <v>5276</v>
      </c>
      <c r="E151" s="314">
        <f>'B) D RI'!S152</f>
        <v>64</v>
      </c>
      <c r="F151" s="10">
        <f>'B) D RI'!R152</f>
        <v>16817914.829999998</v>
      </c>
      <c r="G151" s="10">
        <f>'B) D RI'!U152</f>
        <v>262779.91921874997</v>
      </c>
      <c r="H151" s="44">
        <f>'B) D RI'!T152</f>
        <v>15651108.179999998</v>
      </c>
      <c r="I151" s="10">
        <f t="shared" si="16"/>
        <v>489097.13062499993</v>
      </c>
      <c r="J151" s="34">
        <f t="shared" si="17"/>
        <v>459100.73476263729</v>
      </c>
      <c r="K151" s="10">
        <f t="shared" si="13"/>
        <v>0</v>
      </c>
      <c r="L151" s="10">
        <f t="shared" si="18"/>
        <v>459100.73476263729</v>
      </c>
      <c r="M151" s="10">
        <f>'D) Ecrêtage'!M150</f>
        <v>262779.91921874997</v>
      </c>
      <c r="N151" s="10">
        <f t="shared" si="14"/>
        <v>336456.26811436145</v>
      </c>
      <c r="O151" s="67">
        <f t="shared" si="15"/>
        <v>336456.26811436145</v>
      </c>
      <c r="P151" s="315"/>
      <c r="Q151" s="316"/>
      <c r="R151" s="312"/>
      <c r="S151" s="312"/>
      <c r="T151" s="317"/>
    </row>
    <row r="152" spans="1:20" s="311" customFormat="1" x14ac:dyDescent="0.25">
      <c r="A152" s="324">
        <f>'A) Base RI'!A153</f>
        <v>5644</v>
      </c>
      <c r="B152" s="324" t="str">
        <f>'A) Base RI'!B153</f>
        <v>Reverolle</v>
      </c>
      <c r="C152" s="383">
        <v>0</v>
      </c>
      <c r="D152" s="313">
        <f>'B) D RI'!AR153</f>
        <v>368</v>
      </c>
      <c r="E152" s="314">
        <f>'B) D RI'!S153</f>
        <v>76</v>
      </c>
      <c r="F152" s="10">
        <f>'B) D RI'!R153</f>
        <v>1073793.3799999999</v>
      </c>
      <c r="G152" s="10">
        <f>'B) D RI'!U153</f>
        <v>14128.860263157892</v>
      </c>
      <c r="H152" s="44">
        <f>'B) D RI'!T153</f>
        <v>1008413.63</v>
      </c>
      <c r="I152" s="10">
        <f t="shared" si="16"/>
        <v>26537.200789473685</v>
      </c>
      <c r="J152" s="34">
        <f t="shared" si="17"/>
        <v>32022.189232875382</v>
      </c>
      <c r="K152" s="10">
        <f t="shared" si="13"/>
        <v>26537.200789473685</v>
      </c>
      <c r="L152" s="10">
        <f t="shared" si="18"/>
        <v>5484.9884434016967</v>
      </c>
      <c r="M152" s="10">
        <f>'D) Ecrêtage'!M151</f>
        <v>14128.860263157892</v>
      </c>
      <c r="N152" s="10">
        <f t="shared" si="14"/>
        <v>18090.208760944806</v>
      </c>
      <c r="O152" s="67">
        <f t="shared" si="15"/>
        <v>44627.409550418495</v>
      </c>
      <c r="P152" s="315"/>
      <c r="Q152" s="316"/>
      <c r="R152" s="312"/>
      <c r="S152" s="312"/>
      <c r="T152" s="317"/>
    </row>
    <row r="153" spans="1:20" s="311" customFormat="1" x14ac:dyDescent="0.25">
      <c r="A153" s="324">
        <f>'A) Base RI'!A154</f>
        <v>5645</v>
      </c>
      <c r="B153" s="324" t="str">
        <f>'A) Base RI'!B154</f>
        <v>Romanel-sur-Morges</v>
      </c>
      <c r="C153" s="383">
        <v>0</v>
      </c>
      <c r="D153" s="313">
        <f>'B) D RI'!AR154</f>
        <v>477</v>
      </c>
      <c r="E153" s="314">
        <f>'B) D RI'!S154</f>
        <v>56</v>
      </c>
      <c r="F153" s="10">
        <f>'B) D RI'!R154</f>
        <v>1475929.5375000001</v>
      </c>
      <c r="G153" s="10">
        <f>'B) D RI'!U154</f>
        <v>26355.884598214288</v>
      </c>
      <c r="H153" s="44">
        <f>'B) D RI'!T154</f>
        <v>1323462.3500000001</v>
      </c>
      <c r="I153" s="10">
        <f t="shared" si="16"/>
        <v>47266.512500000004</v>
      </c>
      <c r="J153" s="34">
        <f t="shared" si="17"/>
        <v>41507.022456743362</v>
      </c>
      <c r="K153" s="10">
        <f t="shared" si="13"/>
        <v>41507.022456743362</v>
      </c>
      <c r="L153" s="10">
        <f t="shared" si="18"/>
        <v>0</v>
      </c>
      <c r="M153" s="10">
        <f>'D) Ecrêtage'!M152</f>
        <v>26355.884598214288</v>
      </c>
      <c r="N153" s="10">
        <f t="shared" si="14"/>
        <v>33745.358477662667</v>
      </c>
      <c r="O153" s="67">
        <f t="shared" si="15"/>
        <v>75252.380934406028</v>
      </c>
      <c r="P153" s="315"/>
      <c r="Q153" s="316"/>
      <c r="R153" s="312"/>
      <c r="S153" s="312"/>
      <c r="T153" s="317"/>
    </row>
    <row r="154" spans="1:20" s="311" customFormat="1" x14ac:dyDescent="0.25">
      <c r="A154" s="324">
        <f>'A) Base RI'!A155</f>
        <v>5646</v>
      </c>
      <c r="B154" s="324" t="str">
        <f>'A) Base RI'!B155</f>
        <v>Saint-Prex</v>
      </c>
      <c r="C154" s="383">
        <v>1</v>
      </c>
      <c r="D154" s="313">
        <f>'B) D RI'!AR155</f>
        <v>5661</v>
      </c>
      <c r="E154" s="314">
        <f>'B) D RI'!S155</f>
        <v>55</v>
      </c>
      <c r="F154" s="10">
        <f>'B) D RI'!R155</f>
        <v>29137712.27</v>
      </c>
      <c r="G154" s="10">
        <f>'B) D RI'!U155</f>
        <v>529776.58672727272</v>
      </c>
      <c r="H154" s="44">
        <f>'B) D RI'!T155</f>
        <v>27563102.57</v>
      </c>
      <c r="I154" s="10">
        <f t="shared" si="16"/>
        <v>1002294.6389090909</v>
      </c>
      <c r="J154" s="34">
        <f t="shared" si="17"/>
        <v>492602.2099111618</v>
      </c>
      <c r="K154" s="10">
        <f t="shared" si="13"/>
        <v>0</v>
      </c>
      <c r="L154" s="10">
        <f t="shared" si="18"/>
        <v>492602.2099111618</v>
      </c>
      <c r="M154" s="10">
        <f>'D) Ecrêtage'!M153</f>
        <v>440016.87022919563</v>
      </c>
      <c r="N154" s="10">
        <f t="shared" si="14"/>
        <v>563385.64417258929</v>
      </c>
      <c r="O154" s="67">
        <f t="shared" si="15"/>
        <v>563385.64417258929</v>
      </c>
      <c r="P154" s="315"/>
      <c r="Q154" s="316"/>
      <c r="R154" s="312"/>
      <c r="S154" s="312"/>
      <c r="T154" s="317"/>
    </row>
    <row r="155" spans="1:20" s="311" customFormat="1" x14ac:dyDescent="0.25">
      <c r="A155" s="324">
        <f>'A) Base RI'!A156</f>
        <v>5648</v>
      </c>
      <c r="B155" s="324" t="str">
        <f>'A) Base RI'!B156</f>
        <v>Saint-Sulpice</v>
      </c>
      <c r="C155" s="383">
        <v>1</v>
      </c>
      <c r="D155" s="313">
        <f>'B) D RI'!AR156</f>
        <v>4148</v>
      </c>
      <c r="E155" s="314">
        <f>'B) D RI'!S156</f>
        <v>55</v>
      </c>
      <c r="F155" s="10">
        <f>'B) D RI'!R156</f>
        <v>17629678.9375</v>
      </c>
      <c r="G155" s="10">
        <f>'B) D RI'!U156</f>
        <v>320539.61704545456</v>
      </c>
      <c r="H155" s="44">
        <f>'B) D RI'!T156</f>
        <v>16243661</v>
      </c>
      <c r="I155" s="10">
        <f t="shared" si="16"/>
        <v>590678.58181818179</v>
      </c>
      <c r="J155" s="34">
        <f t="shared" si="17"/>
        <v>360945.76341838884</v>
      </c>
      <c r="K155" s="10">
        <f t="shared" si="13"/>
        <v>0</v>
      </c>
      <c r="L155" s="10">
        <f t="shared" si="18"/>
        <v>360945.76341838884</v>
      </c>
      <c r="M155" s="10">
        <f>'D) Ecrêtage'!M154</f>
        <v>285929.07649603003</v>
      </c>
      <c r="N155" s="10">
        <f t="shared" si="14"/>
        <v>366095.82006590307</v>
      </c>
      <c r="O155" s="67">
        <f t="shared" si="15"/>
        <v>366095.82006590307</v>
      </c>
      <c r="P155" s="315"/>
      <c r="Q155" s="316"/>
      <c r="R155" s="312"/>
      <c r="S155" s="312"/>
      <c r="T155" s="317"/>
    </row>
    <row r="156" spans="1:20" s="311" customFormat="1" x14ac:dyDescent="0.25">
      <c r="A156" s="324">
        <f>'A) Base RI'!A157</f>
        <v>5649</v>
      </c>
      <c r="B156" s="324" t="str">
        <f>'A) Base RI'!B157</f>
        <v>Tolochenaz</v>
      </c>
      <c r="C156" s="383">
        <v>1</v>
      </c>
      <c r="D156" s="313">
        <f>'B) D RI'!AR157</f>
        <v>1865</v>
      </c>
      <c r="E156" s="314">
        <f>'B) D RI'!S157</f>
        <v>65</v>
      </c>
      <c r="F156" s="10">
        <f>'B) D RI'!R157</f>
        <v>5117302.5</v>
      </c>
      <c r="G156" s="10">
        <f>'B) D RI'!U157</f>
        <v>78727.730769230766</v>
      </c>
      <c r="H156" s="44">
        <f>'B) D RI'!T157</f>
        <v>4532548.55</v>
      </c>
      <c r="I156" s="10">
        <f t="shared" si="16"/>
        <v>139463.03230769231</v>
      </c>
      <c r="J156" s="34">
        <f t="shared" si="17"/>
        <v>162286.36662856682</v>
      </c>
      <c r="K156" s="10">
        <f t="shared" si="13"/>
        <v>0</v>
      </c>
      <c r="L156" s="10">
        <f t="shared" si="18"/>
        <v>162286.36662856682</v>
      </c>
      <c r="M156" s="10">
        <f>'D) Ecrêtage'!M155</f>
        <v>78727.730769230766</v>
      </c>
      <c r="N156" s="10">
        <f t="shared" si="14"/>
        <v>100800.8472278941</v>
      </c>
      <c r="O156" s="67">
        <f t="shared" si="15"/>
        <v>100800.8472278941</v>
      </c>
      <c r="P156" s="315"/>
      <c r="Q156" s="316"/>
      <c r="R156" s="312"/>
      <c r="S156" s="312"/>
      <c r="T156" s="317"/>
    </row>
    <row r="157" spans="1:20" s="311" customFormat="1" x14ac:dyDescent="0.25">
      <c r="A157" s="324">
        <f>'A) Base RI'!A158</f>
        <v>5650</v>
      </c>
      <c r="B157" s="324" t="str">
        <f>'A) Base RI'!B158</f>
        <v>Vaux-sur-Morges</v>
      </c>
      <c r="C157" s="383">
        <v>0</v>
      </c>
      <c r="D157" s="313">
        <f>'B) D RI'!AR158</f>
        <v>200</v>
      </c>
      <c r="E157" s="314">
        <f>'B) D RI'!S158</f>
        <v>39</v>
      </c>
      <c r="F157" s="10">
        <f>'B) D RI'!R158</f>
        <v>10067935.089999998</v>
      </c>
      <c r="G157" s="10">
        <f>'B) D RI'!U158</f>
        <v>258152.18179487175</v>
      </c>
      <c r="H157" s="44">
        <f>'B) D RI'!T158</f>
        <v>10025704.049999999</v>
      </c>
      <c r="I157" s="10">
        <f t="shared" si="16"/>
        <v>514138.66923076916</v>
      </c>
      <c r="J157" s="34">
        <f t="shared" si="17"/>
        <v>17403.363713519229</v>
      </c>
      <c r="K157" s="10">
        <f t="shared" si="13"/>
        <v>17403.363713519229</v>
      </c>
      <c r="L157" s="10">
        <f t="shared" si="18"/>
        <v>0</v>
      </c>
      <c r="M157" s="10">
        <f>'D) Ecrêtage'!M156</f>
        <v>97886.364459633754</v>
      </c>
      <c r="N157" s="10">
        <f t="shared" si="14"/>
        <v>125331.04121230236</v>
      </c>
      <c r="O157" s="67">
        <f t="shared" si="15"/>
        <v>142734.40492582158</v>
      </c>
      <c r="P157" s="315"/>
      <c r="Q157" s="316"/>
      <c r="R157" s="312"/>
      <c r="S157" s="312"/>
      <c r="T157" s="317"/>
    </row>
    <row r="158" spans="1:20" s="311" customFormat="1" x14ac:dyDescent="0.25">
      <c r="A158" s="324">
        <f>'A) Base RI'!A159</f>
        <v>5651</v>
      </c>
      <c r="B158" s="324" t="str">
        <f>'A) Base RI'!B159</f>
        <v>Villars-Sainte-Croix</v>
      </c>
      <c r="C158" s="383">
        <v>1</v>
      </c>
      <c r="D158" s="313">
        <f>'B) D RI'!AR159</f>
        <v>841</v>
      </c>
      <c r="E158" s="314">
        <f>'B) D RI'!S159</f>
        <v>59</v>
      </c>
      <c r="F158" s="10">
        <f>'B) D RI'!R159</f>
        <v>2306482.8899999997</v>
      </c>
      <c r="G158" s="10">
        <f>'B) D RI'!U159</f>
        <v>39092.930338983046</v>
      </c>
      <c r="H158" s="44">
        <f>'B) D RI'!T159</f>
        <v>2033601.39</v>
      </c>
      <c r="I158" s="10">
        <f t="shared" si="16"/>
        <v>68935.640338983052</v>
      </c>
      <c r="J158" s="34">
        <f t="shared" si="17"/>
        <v>73181.144415348361</v>
      </c>
      <c r="K158" s="10">
        <f t="shared" si="13"/>
        <v>0</v>
      </c>
      <c r="L158" s="10">
        <f t="shared" si="18"/>
        <v>73181.144415348361</v>
      </c>
      <c r="M158" s="10">
        <f>'D) Ecrêtage'!M157</f>
        <v>39092.930338983046</v>
      </c>
      <c r="N158" s="10">
        <f t="shared" si="14"/>
        <v>50053.525743569953</v>
      </c>
      <c r="O158" s="67">
        <f t="shared" si="15"/>
        <v>50053.525743569953</v>
      </c>
      <c r="P158" s="315"/>
      <c r="Q158" s="316"/>
      <c r="R158" s="312"/>
      <c r="S158" s="312"/>
      <c r="T158" s="317"/>
    </row>
    <row r="159" spans="1:20" s="311" customFormat="1" x14ac:dyDescent="0.25">
      <c r="A159" s="324">
        <f>'A) Base RI'!A160</f>
        <v>5652</v>
      </c>
      <c r="B159" s="324" t="str">
        <f>'A) Base RI'!B160</f>
        <v>Villars-sous-Yens</v>
      </c>
      <c r="C159" s="383">
        <v>0</v>
      </c>
      <c r="D159" s="313">
        <f>'B) D RI'!AR160</f>
        <v>598</v>
      </c>
      <c r="E159" s="314">
        <f>'B) D RI'!S160</f>
        <v>76</v>
      </c>
      <c r="F159" s="10">
        <f>'B) D RI'!R160</f>
        <v>1666030.59</v>
      </c>
      <c r="G159" s="10">
        <f>'B) D RI'!U160</f>
        <v>21921.455131578947</v>
      </c>
      <c r="H159" s="44">
        <f>'B) D RI'!T160</f>
        <v>1569901.09</v>
      </c>
      <c r="I159" s="10">
        <f t="shared" si="16"/>
        <v>41313.186578947374</v>
      </c>
      <c r="J159" s="34">
        <f t="shared" si="17"/>
        <v>52036.057503422497</v>
      </c>
      <c r="K159" s="10">
        <f t="shared" si="13"/>
        <v>41313.186578947374</v>
      </c>
      <c r="L159" s="10">
        <f t="shared" si="18"/>
        <v>10722.870924475123</v>
      </c>
      <c r="M159" s="10">
        <f>'D) Ecrêtage'!M158</f>
        <v>21921.455131578947</v>
      </c>
      <c r="N159" s="10">
        <f t="shared" si="14"/>
        <v>28067.635484230726</v>
      </c>
      <c r="O159" s="67">
        <f t="shared" si="15"/>
        <v>69380.822063178101</v>
      </c>
      <c r="P159" s="315"/>
      <c r="Q159" s="316"/>
      <c r="R159" s="312"/>
      <c r="S159" s="312"/>
      <c r="T159" s="317"/>
    </row>
    <row r="160" spans="1:20" s="311" customFormat="1" x14ac:dyDescent="0.25">
      <c r="A160" s="324">
        <f>'A) Base RI'!A161</f>
        <v>5653</v>
      </c>
      <c r="B160" s="324" t="str">
        <f>'A) Base RI'!B161</f>
        <v>Vufflens-le-Château</v>
      </c>
      <c r="C160" s="383">
        <v>0</v>
      </c>
      <c r="D160" s="313">
        <f>'B) D RI'!AR161</f>
        <v>841</v>
      </c>
      <c r="E160" s="314">
        <f>'B) D RI'!S161</f>
        <v>55</v>
      </c>
      <c r="F160" s="10">
        <f>'B) D RI'!R161</f>
        <v>3360783.7574999998</v>
      </c>
      <c r="G160" s="10">
        <f>'B) D RI'!U161</f>
        <v>61105.159227272721</v>
      </c>
      <c r="H160" s="44">
        <f>'B) D RI'!T161</f>
        <v>3136252.82</v>
      </c>
      <c r="I160" s="10">
        <f t="shared" si="16"/>
        <v>114045.55709090909</v>
      </c>
      <c r="J160" s="34">
        <f t="shared" si="17"/>
        <v>73181.144415348361</v>
      </c>
      <c r="K160" s="10">
        <f t="shared" si="13"/>
        <v>73181.144415348361</v>
      </c>
      <c r="L160" s="10">
        <f t="shared" si="18"/>
        <v>0</v>
      </c>
      <c r="M160" s="10">
        <f>'D) Ecrêtage'!M159</f>
        <v>55874.435849684494</v>
      </c>
      <c r="N160" s="10">
        <f t="shared" si="14"/>
        <v>71540.109399800596</v>
      </c>
      <c r="O160" s="67">
        <f t="shared" si="15"/>
        <v>144721.25381514896</v>
      </c>
      <c r="P160" s="315"/>
      <c r="Q160" s="316"/>
      <c r="R160" s="312"/>
      <c r="S160" s="312"/>
      <c r="T160" s="317"/>
    </row>
    <row r="161" spans="1:20" s="311" customFormat="1" x14ac:dyDescent="0.25">
      <c r="A161" s="324">
        <f>'A) Base RI'!A162</f>
        <v>5654</v>
      </c>
      <c r="B161" s="324" t="str">
        <f>'A) Base RI'!B162</f>
        <v>Vullierens</v>
      </c>
      <c r="C161" s="383">
        <v>0</v>
      </c>
      <c r="D161" s="313">
        <f>'B) D RI'!AR162</f>
        <v>461</v>
      </c>
      <c r="E161" s="314">
        <f>'B) D RI'!S162</f>
        <v>76</v>
      </c>
      <c r="F161" s="10">
        <f>'B) D RI'!R162</f>
        <v>1302771.8600000001</v>
      </c>
      <c r="G161" s="10">
        <f>'B) D RI'!U162</f>
        <v>17141.735000000001</v>
      </c>
      <c r="H161" s="44">
        <f>'B) D RI'!T162</f>
        <v>1215022.51</v>
      </c>
      <c r="I161" s="10">
        <f t="shared" si="16"/>
        <v>31974.276578947367</v>
      </c>
      <c r="J161" s="34">
        <f t="shared" si="17"/>
        <v>40114.753359661823</v>
      </c>
      <c r="K161" s="10">
        <f t="shared" si="13"/>
        <v>31974.276578947367</v>
      </c>
      <c r="L161" s="10">
        <f t="shared" si="18"/>
        <v>8140.4767807144563</v>
      </c>
      <c r="M161" s="10">
        <f>'D) Ecrêtage'!M160</f>
        <v>17141.735000000001</v>
      </c>
      <c r="N161" s="10">
        <f t="shared" si="14"/>
        <v>21947.81170590227</v>
      </c>
      <c r="O161" s="67">
        <f t="shared" si="15"/>
        <v>53922.08828484964</v>
      </c>
      <c r="P161" s="315"/>
      <c r="Q161" s="316"/>
      <c r="R161" s="312"/>
      <c r="S161" s="312"/>
      <c r="T161" s="317"/>
    </row>
    <row r="162" spans="1:20" s="311" customFormat="1" x14ac:dyDescent="0.25">
      <c r="A162" s="324">
        <f>'A) Base RI'!A163</f>
        <v>5655</v>
      </c>
      <c r="B162" s="324" t="str">
        <f>'A) Base RI'!B163</f>
        <v>Yens</v>
      </c>
      <c r="C162" s="383">
        <v>0</v>
      </c>
      <c r="D162" s="313">
        <f>'B) D RI'!AR163</f>
        <v>1388</v>
      </c>
      <c r="E162" s="314">
        <f>'B) D RI'!S163</f>
        <v>73</v>
      </c>
      <c r="F162" s="10">
        <f>'B) D RI'!R163</f>
        <v>6101381.1799999988</v>
      </c>
      <c r="G162" s="10">
        <f>'B) D RI'!U163</f>
        <v>83580.564109589031</v>
      </c>
      <c r="H162" s="44">
        <f>'B) D RI'!T163</f>
        <v>5639083.2299999986</v>
      </c>
      <c r="I162" s="10">
        <f t="shared" si="16"/>
        <v>154495.43095890406</v>
      </c>
      <c r="J162" s="34">
        <f t="shared" si="17"/>
        <v>120779.34417182345</v>
      </c>
      <c r="K162" s="10">
        <f t="shared" si="13"/>
        <v>120779.34417182345</v>
      </c>
      <c r="L162" s="10">
        <f t="shared" si="18"/>
        <v>0</v>
      </c>
      <c r="M162" s="10">
        <f>'D) Ecrêtage'!M161</f>
        <v>81517.852964189922</v>
      </c>
      <c r="N162" s="10">
        <f t="shared" si="14"/>
        <v>104373.24387102399</v>
      </c>
      <c r="O162" s="67">
        <f t="shared" si="15"/>
        <v>225152.58804284746</v>
      </c>
      <c r="P162" s="315"/>
      <c r="Q162" s="316"/>
      <c r="R162" s="312"/>
      <c r="S162" s="312"/>
      <c r="T162" s="317"/>
    </row>
    <row r="163" spans="1:20" s="311" customFormat="1" x14ac:dyDescent="0.25">
      <c r="A163" s="324">
        <f>'A) Base RI'!A164</f>
        <v>5661</v>
      </c>
      <c r="B163" s="324" t="str">
        <f>'A) Base RI'!B164</f>
        <v>Boulens</v>
      </c>
      <c r="C163" s="383">
        <v>0</v>
      </c>
      <c r="D163" s="313">
        <f>'B) D RI'!AR164</f>
        <v>368</v>
      </c>
      <c r="E163" s="314">
        <f>'B) D RI'!S164</f>
        <v>79</v>
      </c>
      <c r="F163" s="10">
        <f>'B) D RI'!R164</f>
        <v>757844.71999999986</v>
      </c>
      <c r="G163" s="10">
        <f>'B) D RI'!U164</f>
        <v>9592.9711392405043</v>
      </c>
      <c r="H163" s="44">
        <f>'B) D RI'!T164</f>
        <v>715677.46999999986</v>
      </c>
      <c r="I163" s="10">
        <f t="shared" si="16"/>
        <v>18118.416962025312</v>
      </c>
      <c r="J163" s="34">
        <f t="shared" si="17"/>
        <v>32022.189232875382</v>
      </c>
      <c r="K163" s="10">
        <f t="shared" si="13"/>
        <v>18118.416962025312</v>
      </c>
      <c r="L163" s="10">
        <f t="shared" si="18"/>
        <v>13903.77227085007</v>
      </c>
      <c r="M163" s="10">
        <f>'D) Ecrêtage'!M162</f>
        <v>9592.9711392405043</v>
      </c>
      <c r="N163" s="10">
        <f t="shared" si="14"/>
        <v>12282.57957926694</v>
      </c>
      <c r="O163" s="67">
        <f t="shared" si="15"/>
        <v>30400.996541292254</v>
      </c>
      <c r="P163" s="315"/>
      <c r="Q163" s="316"/>
      <c r="R163" s="312"/>
      <c r="S163" s="312"/>
      <c r="T163" s="317"/>
    </row>
    <row r="164" spans="1:20" s="311" customFormat="1" x14ac:dyDescent="0.25">
      <c r="A164" s="324">
        <f>'A) Base RI'!A165</f>
        <v>5662</v>
      </c>
      <c r="B164" s="324" t="str">
        <f>'A) Base RI'!B165</f>
        <v>Brenles</v>
      </c>
      <c r="C164" s="383">
        <v>0</v>
      </c>
      <c r="D164" s="313">
        <f>'B) D RI'!AR165</f>
        <v>138</v>
      </c>
      <c r="E164" s="314">
        <f>'B) D RI'!S165</f>
        <v>78</v>
      </c>
      <c r="F164" s="10">
        <f>'B) D RI'!R165</f>
        <v>399833.34333333332</v>
      </c>
      <c r="G164" s="10">
        <f>'B) D RI'!U165</f>
        <v>5126.068504273504</v>
      </c>
      <c r="H164" s="44">
        <f>'B) D RI'!T165</f>
        <v>380630.01</v>
      </c>
      <c r="I164" s="10">
        <f t="shared" si="16"/>
        <v>9759.7438461538459</v>
      </c>
      <c r="J164" s="34">
        <f t="shared" si="17"/>
        <v>12008.320962328267</v>
      </c>
      <c r="K164" s="10">
        <f t="shared" si="13"/>
        <v>9759.7438461538459</v>
      </c>
      <c r="L164" s="10">
        <f t="shared" si="18"/>
        <v>2248.5771161744215</v>
      </c>
      <c r="M164" s="10">
        <f>'D) Ecrêtage'!M163</f>
        <v>5126.068504273504</v>
      </c>
      <c r="N164" s="10">
        <f t="shared" si="14"/>
        <v>6563.2788234884592</v>
      </c>
      <c r="O164" s="67">
        <f t="shared" si="15"/>
        <v>16323.022669642305</v>
      </c>
      <c r="P164" s="315"/>
      <c r="Q164" s="316"/>
      <c r="R164" s="312"/>
      <c r="S164" s="312"/>
      <c r="T164" s="317"/>
    </row>
    <row r="165" spans="1:20" s="311" customFormat="1" x14ac:dyDescent="0.25">
      <c r="A165" s="324">
        <f>'A) Base RI'!A166</f>
        <v>5663</v>
      </c>
      <c r="B165" s="324" t="str">
        <f>'A) Base RI'!B166</f>
        <v>Bussy-sur-Moudon</v>
      </c>
      <c r="C165" s="383">
        <v>0</v>
      </c>
      <c r="D165" s="313">
        <f>'B) D RI'!AR166</f>
        <v>208</v>
      </c>
      <c r="E165" s="314">
        <f>'B) D RI'!S166</f>
        <v>80</v>
      </c>
      <c r="F165" s="10">
        <f>'B) D RI'!R166</f>
        <v>437473.06</v>
      </c>
      <c r="G165" s="10">
        <f>'B) D RI'!U166</f>
        <v>5468.4132499999996</v>
      </c>
      <c r="H165" s="44">
        <f>'B) D RI'!T166</f>
        <v>407790.26</v>
      </c>
      <c r="I165" s="10">
        <f t="shared" si="16"/>
        <v>10194.7565</v>
      </c>
      <c r="J165" s="34">
        <f t="shared" si="17"/>
        <v>18099.498262059999</v>
      </c>
      <c r="K165" s="10">
        <f t="shared" si="13"/>
        <v>10194.7565</v>
      </c>
      <c r="L165" s="10">
        <f t="shared" si="18"/>
        <v>7904.741762059999</v>
      </c>
      <c r="M165" s="10">
        <f>'D) Ecrêtage'!M164</f>
        <v>5468.4132499999996</v>
      </c>
      <c r="N165" s="10">
        <f t="shared" si="14"/>
        <v>7001.6077334681158</v>
      </c>
      <c r="O165" s="67">
        <f t="shared" si="15"/>
        <v>17196.364233468114</v>
      </c>
      <c r="P165" s="315"/>
      <c r="Q165" s="316"/>
      <c r="R165" s="312"/>
      <c r="S165" s="312"/>
      <c r="T165" s="317"/>
    </row>
    <row r="166" spans="1:20" s="311" customFormat="1" x14ac:dyDescent="0.25">
      <c r="A166" s="324">
        <f>'A) Base RI'!A167</f>
        <v>5665</v>
      </c>
      <c r="B166" s="324" t="str">
        <f>'A) Base RI'!B167</f>
        <v>Chavannes-sur-Moudon</v>
      </c>
      <c r="C166" s="383">
        <v>0</v>
      </c>
      <c r="D166" s="313">
        <f>'B) D RI'!AR167</f>
        <v>224</v>
      </c>
      <c r="E166" s="314">
        <f>'B) D RI'!S167</f>
        <v>73</v>
      </c>
      <c r="F166" s="10">
        <f>'B) D RI'!R167</f>
        <v>363750.16999999993</v>
      </c>
      <c r="G166" s="10">
        <f>'B) D RI'!U167</f>
        <v>4982.8790410958891</v>
      </c>
      <c r="H166" s="44">
        <f>'B) D RI'!T167</f>
        <v>340191.86999999994</v>
      </c>
      <c r="I166" s="10">
        <f t="shared" si="16"/>
        <v>9320.3252054794502</v>
      </c>
      <c r="J166" s="34">
        <f t="shared" si="17"/>
        <v>19491.767359141537</v>
      </c>
      <c r="K166" s="10">
        <f t="shared" si="13"/>
        <v>9320.3252054794502</v>
      </c>
      <c r="L166" s="10">
        <f t="shared" si="18"/>
        <v>10171.442153662087</v>
      </c>
      <c r="M166" s="10">
        <f>'D) Ecrêtage'!M165</f>
        <v>4982.8790410958891</v>
      </c>
      <c r="N166" s="10">
        <f t="shared" si="14"/>
        <v>6379.9429256874773</v>
      </c>
      <c r="O166" s="67">
        <f t="shared" si="15"/>
        <v>15700.268131166928</v>
      </c>
      <c r="P166" s="315"/>
      <c r="Q166" s="316"/>
      <c r="R166" s="312"/>
      <c r="S166" s="312"/>
      <c r="T166" s="317"/>
    </row>
    <row r="167" spans="1:20" s="311" customFormat="1" x14ac:dyDescent="0.25">
      <c r="A167" s="324">
        <f>'A) Base RI'!A168</f>
        <v>5666</v>
      </c>
      <c r="B167" s="324" t="str">
        <f>'A) Base RI'!B168</f>
        <v>Chesalles-sur-Moudon</v>
      </c>
      <c r="C167" s="383">
        <v>0</v>
      </c>
      <c r="D167" s="313">
        <f>'B) D RI'!AR168</f>
        <v>196</v>
      </c>
      <c r="E167" s="314">
        <f>'B) D RI'!S168</f>
        <v>75</v>
      </c>
      <c r="F167" s="10">
        <f>'B) D RI'!R168</f>
        <v>284778.99</v>
      </c>
      <c r="G167" s="10">
        <f>'B) D RI'!U168</f>
        <v>3797.0531999999998</v>
      </c>
      <c r="H167" s="44">
        <f>'B) D RI'!T168</f>
        <v>256277.31</v>
      </c>
      <c r="I167" s="10">
        <f t="shared" si="16"/>
        <v>6834.0616</v>
      </c>
      <c r="J167" s="34">
        <f t="shared" si="17"/>
        <v>17055.296439248843</v>
      </c>
      <c r="K167" s="10">
        <f t="shared" si="13"/>
        <v>6834.0616</v>
      </c>
      <c r="L167" s="10">
        <f t="shared" si="18"/>
        <v>10221.234839248842</v>
      </c>
      <c r="M167" s="10">
        <f>'D) Ecrêtage'!M166</f>
        <v>3797.0531999999998</v>
      </c>
      <c r="N167" s="10">
        <f t="shared" si="14"/>
        <v>4861.6437408986703</v>
      </c>
      <c r="O167" s="67">
        <f t="shared" si="15"/>
        <v>11695.70534089867</v>
      </c>
      <c r="P167" s="315"/>
      <c r="Q167" s="316"/>
      <c r="R167" s="312"/>
      <c r="S167" s="312"/>
      <c r="T167" s="317"/>
    </row>
    <row r="168" spans="1:20" s="311" customFormat="1" x14ac:dyDescent="0.25">
      <c r="A168" s="324">
        <f>'A) Base RI'!A169</f>
        <v>5668</v>
      </c>
      <c r="B168" s="324" t="str">
        <f>'A) Base RI'!B169</f>
        <v>Cremin</v>
      </c>
      <c r="C168" s="383">
        <v>0</v>
      </c>
      <c r="D168" s="313">
        <f>'B) D RI'!AR169</f>
        <v>59</v>
      </c>
      <c r="E168" s="314">
        <f>'B) D RI'!S169</f>
        <v>77</v>
      </c>
      <c r="F168" s="10">
        <f>'B) D RI'!R169</f>
        <v>78257.330000000016</v>
      </c>
      <c r="G168" s="10">
        <f>'B) D RI'!U169</f>
        <v>1016.3289610389612</v>
      </c>
      <c r="H168" s="44">
        <f>'B) D RI'!T169</f>
        <v>72315.780000000013</v>
      </c>
      <c r="I168" s="10">
        <f t="shared" si="16"/>
        <v>1878.3319480519483</v>
      </c>
      <c r="J168" s="34">
        <f t="shared" si="17"/>
        <v>5133.9922954881731</v>
      </c>
      <c r="K168" s="10">
        <f t="shared" si="13"/>
        <v>1878.3319480519483</v>
      </c>
      <c r="L168" s="10">
        <f t="shared" si="18"/>
        <v>3255.6603474362246</v>
      </c>
      <c r="M168" s="10">
        <f>'D) Ecrêtage'!M167</f>
        <v>1016.3289610389612</v>
      </c>
      <c r="N168" s="10">
        <f t="shared" si="14"/>
        <v>1301.2799852604421</v>
      </c>
      <c r="O168" s="67">
        <f t="shared" si="15"/>
        <v>3179.6119333123906</v>
      </c>
      <c r="P168" s="315"/>
      <c r="Q168" s="316"/>
      <c r="R168" s="312"/>
      <c r="S168" s="312"/>
      <c r="T168" s="317"/>
    </row>
    <row r="169" spans="1:20" s="311" customFormat="1" x14ac:dyDescent="0.25">
      <c r="A169" s="324">
        <f>'A) Base RI'!A170</f>
        <v>5669</v>
      </c>
      <c r="B169" s="324" t="str">
        <f>'A) Base RI'!B170</f>
        <v>Curtilles</v>
      </c>
      <c r="C169" s="383">
        <v>0</v>
      </c>
      <c r="D169" s="313">
        <f>'B) D RI'!AR170</f>
        <v>309</v>
      </c>
      <c r="E169" s="314">
        <f>'B) D RI'!S170</f>
        <v>72</v>
      </c>
      <c r="F169" s="10">
        <f>'B) D RI'!R170</f>
        <v>596100.53</v>
      </c>
      <c r="G169" s="10">
        <f>'B) D RI'!U170</f>
        <v>8279.174027777779</v>
      </c>
      <c r="H169" s="44">
        <f>'B) D RI'!T170</f>
        <v>552523.53</v>
      </c>
      <c r="I169" s="10">
        <f t="shared" si="16"/>
        <v>15347.875833333334</v>
      </c>
      <c r="J169" s="34">
        <f t="shared" si="17"/>
        <v>26888.196937387209</v>
      </c>
      <c r="K169" s="10">
        <f t="shared" si="13"/>
        <v>15347.875833333334</v>
      </c>
      <c r="L169" s="10">
        <f t="shared" si="18"/>
        <v>11540.321104053875</v>
      </c>
      <c r="M169" s="10">
        <f>'D) Ecrêtage'!M168</f>
        <v>8279.174027777779</v>
      </c>
      <c r="N169" s="10">
        <f t="shared" si="14"/>
        <v>10600.429457231907</v>
      </c>
      <c r="O169" s="67">
        <f t="shared" si="15"/>
        <v>25948.30529056524</v>
      </c>
      <c r="P169" s="315"/>
      <c r="Q169" s="316"/>
      <c r="R169" s="312"/>
      <c r="S169" s="312"/>
      <c r="T169" s="317"/>
    </row>
    <row r="170" spans="1:20" s="311" customFormat="1" x14ac:dyDescent="0.25">
      <c r="A170" s="324">
        <f>'A) Base RI'!A171</f>
        <v>5671</v>
      </c>
      <c r="B170" s="324" t="str">
        <f>'A) Base RI'!B171</f>
        <v>Dompierre</v>
      </c>
      <c r="C170" s="383">
        <v>0</v>
      </c>
      <c r="D170" s="313">
        <f>'B) D RI'!AR171</f>
        <v>242</v>
      </c>
      <c r="E170" s="314">
        <f>'B) D RI'!S171</f>
        <v>80</v>
      </c>
      <c r="F170" s="10">
        <f>'B) D RI'!R171</f>
        <v>533823.77</v>
      </c>
      <c r="G170" s="10">
        <f>'B) D RI'!U171</f>
        <v>6672.7971250000001</v>
      </c>
      <c r="H170" s="44">
        <f>'B) D RI'!T171</f>
        <v>498254.87000000005</v>
      </c>
      <c r="I170" s="10">
        <f t="shared" si="16"/>
        <v>12456.371750000002</v>
      </c>
      <c r="J170" s="34">
        <f t="shared" si="17"/>
        <v>21058.070093358267</v>
      </c>
      <c r="K170" s="10">
        <f t="shared" si="13"/>
        <v>12456.371750000002</v>
      </c>
      <c r="L170" s="10">
        <f t="shared" si="18"/>
        <v>8601.6983433582645</v>
      </c>
      <c r="M170" s="10">
        <f>'D) Ecrêtage'!M169</f>
        <v>6672.7971250000001</v>
      </c>
      <c r="N170" s="10">
        <f t="shared" si="14"/>
        <v>8543.6681205949117</v>
      </c>
      <c r="O170" s="67">
        <f t="shared" si="15"/>
        <v>21000.039870594912</v>
      </c>
      <c r="P170" s="315"/>
      <c r="Q170" s="316"/>
      <c r="R170" s="312"/>
      <c r="S170" s="312"/>
      <c r="T170" s="317"/>
    </row>
    <row r="171" spans="1:20" s="311" customFormat="1" x14ac:dyDescent="0.25">
      <c r="A171" s="324">
        <f>'A) Base RI'!A172</f>
        <v>5672</v>
      </c>
      <c r="B171" s="324" t="str">
        <f>'A) Base RI'!B172</f>
        <v>Forel-sur-Lucens</v>
      </c>
      <c r="C171" s="383">
        <v>0</v>
      </c>
      <c r="D171" s="313">
        <f>'B) D RI'!AR172</f>
        <v>154</v>
      </c>
      <c r="E171" s="314">
        <f>'B) D RI'!S172</f>
        <v>75</v>
      </c>
      <c r="F171" s="10">
        <f>'B) D RI'!R172</f>
        <v>307227.71250000002</v>
      </c>
      <c r="G171" s="10">
        <f>'B) D RI'!U172</f>
        <v>4096.3695000000007</v>
      </c>
      <c r="H171" s="44">
        <f>'B) D RI'!T172</f>
        <v>290882.90000000002</v>
      </c>
      <c r="I171" s="10">
        <f t="shared" si="16"/>
        <v>7756.8773333333338</v>
      </c>
      <c r="J171" s="34">
        <f t="shared" si="17"/>
        <v>13400.590059409806</v>
      </c>
      <c r="K171" s="10">
        <f t="shared" si="13"/>
        <v>7756.8773333333338</v>
      </c>
      <c r="L171" s="10">
        <f t="shared" si="18"/>
        <v>5643.7127260764719</v>
      </c>
      <c r="M171" s="10">
        <f>'D) Ecrêtage'!M170</f>
        <v>4096.3695000000007</v>
      </c>
      <c r="N171" s="10">
        <f t="shared" si="14"/>
        <v>5244.8801981713659</v>
      </c>
      <c r="O171" s="67">
        <f t="shared" si="15"/>
        <v>13001.7575315047</v>
      </c>
      <c r="P171" s="315"/>
      <c r="Q171" s="316"/>
      <c r="R171" s="312"/>
      <c r="S171" s="312"/>
      <c r="T171" s="317"/>
    </row>
    <row r="172" spans="1:20" s="311" customFormat="1" x14ac:dyDescent="0.25">
      <c r="A172" s="324">
        <f>'A) Base RI'!A173</f>
        <v>5673</v>
      </c>
      <c r="B172" s="324" t="str">
        <f>'A) Base RI'!B173</f>
        <v>Hermenches</v>
      </c>
      <c r="C172" s="383">
        <v>0</v>
      </c>
      <c r="D172" s="313">
        <f>'B) D RI'!AR173</f>
        <v>379</v>
      </c>
      <c r="E172" s="314">
        <f>'B) D RI'!S173</f>
        <v>75</v>
      </c>
      <c r="F172" s="10">
        <f>'B) D RI'!R173</f>
        <v>590499.92666666675</v>
      </c>
      <c r="G172" s="10">
        <f>'B) D RI'!U173</f>
        <v>7873.3323555555571</v>
      </c>
      <c r="H172" s="44">
        <f>'B) D RI'!T173</f>
        <v>544626.76000000013</v>
      </c>
      <c r="I172" s="10">
        <f t="shared" si="16"/>
        <v>14523.380266666671</v>
      </c>
      <c r="J172" s="34">
        <f t="shared" si="17"/>
        <v>32979.374237118936</v>
      </c>
      <c r="K172" s="10">
        <f t="shared" si="13"/>
        <v>14523.380266666671</v>
      </c>
      <c r="L172" s="10">
        <f t="shared" si="18"/>
        <v>18455.993970452266</v>
      </c>
      <c r="M172" s="10">
        <f>'D) Ecrêtage'!M171</f>
        <v>7873.3323555555571</v>
      </c>
      <c r="N172" s="10">
        <f t="shared" si="14"/>
        <v>10080.800807953299</v>
      </c>
      <c r="O172" s="67">
        <f t="shared" si="15"/>
        <v>24604.18107461997</v>
      </c>
      <c r="P172" s="315"/>
      <c r="Q172" s="316"/>
      <c r="R172" s="312"/>
      <c r="S172" s="312"/>
      <c r="T172" s="317"/>
    </row>
    <row r="173" spans="1:20" s="311" customFormat="1" x14ac:dyDescent="0.25">
      <c r="A173" s="324">
        <f>'A) Base RI'!A174</f>
        <v>5674</v>
      </c>
      <c r="B173" s="324" t="str">
        <f>'A) Base RI'!B174</f>
        <v>Lovatens</v>
      </c>
      <c r="C173" s="383">
        <v>0</v>
      </c>
      <c r="D173" s="313">
        <f>'B) D RI'!AR174</f>
        <v>143</v>
      </c>
      <c r="E173" s="314">
        <f>'B) D RI'!S174</f>
        <v>75</v>
      </c>
      <c r="F173" s="10">
        <f>'B) D RI'!R174</f>
        <v>283262.93857142859</v>
      </c>
      <c r="G173" s="10">
        <f>'B) D RI'!U174</f>
        <v>3776.8391809523814</v>
      </c>
      <c r="H173" s="44">
        <f>'B) D RI'!T174</f>
        <v>266975.51</v>
      </c>
      <c r="I173" s="10">
        <f t="shared" si="16"/>
        <v>7119.3469333333333</v>
      </c>
      <c r="J173" s="34">
        <f t="shared" si="17"/>
        <v>12443.405055166249</v>
      </c>
      <c r="K173" s="10">
        <f t="shared" si="13"/>
        <v>7119.3469333333333</v>
      </c>
      <c r="L173" s="10">
        <f t="shared" si="18"/>
        <v>5324.0581218329162</v>
      </c>
      <c r="M173" s="10">
        <f>'D) Ecrêtage'!M172</f>
        <v>3776.8391809523814</v>
      </c>
      <c r="N173" s="10">
        <f t="shared" si="14"/>
        <v>4835.762260180607</v>
      </c>
      <c r="O173" s="67">
        <f t="shared" si="15"/>
        <v>11955.109193513941</v>
      </c>
      <c r="P173" s="315"/>
      <c r="Q173" s="316"/>
      <c r="R173" s="312"/>
      <c r="S173" s="312"/>
      <c r="T173" s="317"/>
    </row>
    <row r="174" spans="1:20" s="311" customFormat="1" x14ac:dyDescent="0.25">
      <c r="A174" s="324">
        <f>'A) Base RI'!A175</f>
        <v>5675</v>
      </c>
      <c r="B174" s="324" t="str">
        <f>'A) Base RI'!B175</f>
        <v>Lucens</v>
      </c>
      <c r="C174" s="383">
        <v>0</v>
      </c>
      <c r="D174" s="313">
        <f>'B) D RI'!AR175</f>
        <v>3380</v>
      </c>
      <c r="E174" s="314">
        <f>'B) D RI'!S175</f>
        <v>66</v>
      </c>
      <c r="F174" s="10">
        <f>'B) D RI'!R175</f>
        <v>5113659.996363637</v>
      </c>
      <c r="G174" s="10">
        <f>'B) D RI'!U175</f>
        <v>77479.696914600558</v>
      </c>
      <c r="H174" s="44">
        <f>'B) D RI'!T175</f>
        <v>4617779.8600000003</v>
      </c>
      <c r="I174" s="10">
        <f t="shared" si="16"/>
        <v>139932.72303030305</v>
      </c>
      <c r="J174" s="34">
        <f t="shared" si="17"/>
        <v>294116.846758475</v>
      </c>
      <c r="K174" s="10">
        <f t="shared" si="13"/>
        <v>139932.72303030305</v>
      </c>
      <c r="L174" s="10">
        <f t="shared" si="18"/>
        <v>154184.12372817195</v>
      </c>
      <c r="M174" s="10">
        <f>'D) Ecrêtage'!M173</f>
        <v>77479.696914600558</v>
      </c>
      <c r="N174" s="10">
        <f t="shared" si="14"/>
        <v>99202.898592938815</v>
      </c>
      <c r="O174" s="67">
        <f t="shared" si="15"/>
        <v>239135.62162324187</v>
      </c>
      <c r="P174" s="315"/>
      <c r="Q174" s="316"/>
      <c r="R174" s="312"/>
      <c r="S174" s="312"/>
      <c r="T174" s="317"/>
    </row>
    <row r="175" spans="1:20" s="311" customFormat="1" x14ac:dyDescent="0.25">
      <c r="A175" s="324">
        <f>'A) Base RI'!A176</f>
        <v>5678</v>
      </c>
      <c r="B175" s="324" t="str">
        <f>'A) Base RI'!B176</f>
        <v>Moudon</v>
      </c>
      <c r="C175" s="383">
        <v>0</v>
      </c>
      <c r="D175" s="313">
        <f>'B) D RI'!AR176</f>
        <v>6003</v>
      </c>
      <c r="E175" s="314">
        <f>'B) D RI'!S176</f>
        <v>75</v>
      </c>
      <c r="F175" s="10">
        <f>'B) D RI'!R176</f>
        <v>9233735.790000001</v>
      </c>
      <c r="G175" s="10">
        <f>'B) D RI'!U176</f>
        <v>123116.47720000001</v>
      </c>
      <c r="H175" s="44">
        <f>'B) D RI'!T176</f>
        <v>8435457.290000001</v>
      </c>
      <c r="I175" s="10">
        <f t="shared" si="16"/>
        <v>224945.52773333335</v>
      </c>
      <c r="J175" s="34">
        <f t="shared" si="17"/>
        <v>522361.96186127968</v>
      </c>
      <c r="K175" s="10">
        <f t="shared" si="13"/>
        <v>224945.52773333335</v>
      </c>
      <c r="L175" s="10">
        <f t="shared" si="18"/>
        <v>297416.43412794633</v>
      </c>
      <c r="M175" s="10">
        <f>'D) Ecrêtage'!M174</f>
        <v>123116.47720000001</v>
      </c>
      <c r="N175" s="10">
        <f t="shared" si="14"/>
        <v>157634.99199349483</v>
      </c>
      <c r="O175" s="67">
        <f t="shared" si="15"/>
        <v>382580.51972682821</v>
      </c>
      <c r="P175" s="315"/>
      <c r="Q175" s="316"/>
      <c r="R175" s="312"/>
      <c r="S175" s="312"/>
      <c r="T175" s="317"/>
    </row>
    <row r="176" spans="1:20" s="311" customFormat="1" x14ac:dyDescent="0.25">
      <c r="A176" s="324">
        <f>'A) Base RI'!A177</f>
        <v>5680</v>
      </c>
      <c r="B176" s="324" t="str">
        <f>'A) Base RI'!B177</f>
        <v>Ogens</v>
      </c>
      <c r="C176" s="383">
        <v>0</v>
      </c>
      <c r="D176" s="313">
        <f>'B) D RI'!AR177</f>
        <v>296</v>
      </c>
      <c r="E176" s="314">
        <f>'B) D RI'!S177</f>
        <v>78</v>
      </c>
      <c r="F176" s="10">
        <f>'B) D RI'!R177</f>
        <v>663339.20666666667</v>
      </c>
      <c r="G176" s="10">
        <f>'B) D RI'!U177</f>
        <v>8504.3488034188031</v>
      </c>
      <c r="H176" s="44">
        <f>'B) D RI'!T177</f>
        <v>626359.43999999994</v>
      </c>
      <c r="I176" s="10">
        <f t="shared" si="16"/>
        <v>16060.49846153846</v>
      </c>
      <c r="J176" s="34">
        <f t="shared" si="17"/>
        <v>25756.978296008459</v>
      </c>
      <c r="K176" s="10">
        <f t="shared" si="13"/>
        <v>16060.49846153846</v>
      </c>
      <c r="L176" s="10">
        <f t="shared" si="18"/>
        <v>9696.4798344699993</v>
      </c>
      <c r="M176" s="10">
        <f>'D) Ecrêtage'!M175</f>
        <v>8504.3488034188031</v>
      </c>
      <c r="N176" s="10">
        <f t="shared" si="14"/>
        <v>10888.737121344553</v>
      </c>
      <c r="O176" s="67">
        <f t="shared" si="15"/>
        <v>26949.235582883011</v>
      </c>
      <c r="P176" s="315"/>
      <c r="Q176" s="316"/>
      <c r="R176" s="312"/>
      <c r="S176" s="312"/>
      <c r="T176" s="317"/>
    </row>
    <row r="177" spans="1:20" s="311" customFormat="1" x14ac:dyDescent="0.25">
      <c r="A177" s="324">
        <f>'A) Base RI'!A178</f>
        <v>5683</v>
      </c>
      <c r="B177" s="324" t="str">
        <f>'A) Base RI'!B178</f>
        <v>Prévonloup</v>
      </c>
      <c r="C177" s="383">
        <v>0</v>
      </c>
      <c r="D177" s="313">
        <f>'B) D RI'!AR178</f>
        <v>166</v>
      </c>
      <c r="E177" s="314">
        <f>'B) D RI'!S178</f>
        <v>74</v>
      </c>
      <c r="F177" s="10">
        <f>'B) D RI'!R178</f>
        <v>305514.06999999995</v>
      </c>
      <c r="G177" s="10">
        <f>'B) D RI'!U178</f>
        <v>4128.5685135135127</v>
      </c>
      <c r="H177" s="44">
        <f>'B) D RI'!T178</f>
        <v>283226.01999999996</v>
      </c>
      <c r="I177" s="10">
        <f t="shared" si="16"/>
        <v>7654.7572972972966</v>
      </c>
      <c r="J177" s="34">
        <f t="shared" si="17"/>
        <v>14444.791882220961</v>
      </c>
      <c r="K177" s="10">
        <f t="shared" si="13"/>
        <v>7654.7572972972966</v>
      </c>
      <c r="L177" s="10">
        <f t="shared" si="18"/>
        <v>6790.0345849236646</v>
      </c>
      <c r="M177" s="10">
        <f>'D) Ecrêtage'!M176</f>
        <v>4128.5685135135127</v>
      </c>
      <c r="N177" s="10">
        <f t="shared" si="14"/>
        <v>5286.1069401382883</v>
      </c>
      <c r="O177" s="67">
        <f t="shared" si="15"/>
        <v>12940.864237435584</v>
      </c>
      <c r="P177" s="315"/>
      <c r="Q177" s="316"/>
      <c r="R177" s="312"/>
      <c r="S177" s="312"/>
      <c r="T177" s="317"/>
    </row>
    <row r="178" spans="1:20" s="311" customFormat="1" x14ac:dyDescent="0.25">
      <c r="A178" s="324">
        <f>'A) Base RI'!A179</f>
        <v>5684</v>
      </c>
      <c r="B178" s="324" t="str">
        <f>'A) Base RI'!B179</f>
        <v>Rossenges</v>
      </c>
      <c r="C178" s="383">
        <v>0</v>
      </c>
      <c r="D178" s="313">
        <f>'B) D RI'!AR179</f>
        <v>60</v>
      </c>
      <c r="E178" s="314">
        <f>'B) D RI'!S179</f>
        <v>60</v>
      </c>
      <c r="F178" s="10">
        <f>'B) D RI'!R179</f>
        <v>127197.12</v>
      </c>
      <c r="G178" s="10">
        <f>'B) D RI'!U179</f>
        <v>2119.9519999999998</v>
      </c>
      <c r="H178" s="44">
        <f>'B) D RI'!T179</f>
        <v>118464.62</v>
      </c>
      <c r="I178" s="10">
        <f t="shared" si="16"/>
        <v>3948.8206666666665</v>
      </c>
      <c r="J178" s="34">
        <f t="shared" si="17"/>
        <v>5221.0091140557688</v>
      </c>
      <c r="K178" s="10">
        <f t="shared" si="13"/>
        <v>3948.8206666666665</v>
      </c>
      <c r="L178" s="10">
        <f t="shared" si="18"/>
        <v>1272.1884473891023</v>
      </c>
      <c r="M178" s="10">
        <f>'D) Ecrêtage'!M177</f>
        <v>2119.9519999999998</v>
      </c>
      <c r="N178" s="10">
        <f t="shared" si="14"/>
        <v>2714.3289358720644</v>
      </c>
      <c r="O178" s="67">
        <f t="shared" si="15"/>
        <v>6663.1496025387314</v>
      </c>
      <c r="P178" s="315"/>
      <c r="Q178" s="316"/>
      <c r="R178" s="312"/>
      <c r="S178" s="312"/>
      <c r="T178" s="317"/>
    </row>
    <row r="179" spans="1:20" s="311" customFormat="1" x14ac:dyDescent="0.25">
      <c r="A179" s="324">
        <f>'A) Base RI'!A180</f>
        <v>5686</v>
      </c>
      <c r="B179" s="324" t="str">
        <f>'A) Base RI'!B180</f>
        <v>Sarzens</v>
      </c>
      <c r="C179" s="383">
        <v>0</v>
      </c>
      <c r="D179" s="313">
        <f>'B) D RI'!AR180</f>
        <v>82</v>
      </c>
      <c r="E179" s="314">
        <f>'B) D RI'!S180</f>
        <v>74</v>
      </c>
      <c r="F179" s="10">
        <f>'B) D RI'!R180</f>
        <v>124194.91</v>
      </c>
      <c r="G179" s="10">
        <f>'B) D RI'!U180</f>
        <v>1678.3095945945947</v>
      </c>
      <c r="H179" s="44">
        <f>'B) D RI'!T180</f>
        <v>113469.16</v>
      </c>
      <c r="I179" s="10">
        <f t="shared" si="16"/>
        <v>3066.734054054054</v>
      </c>
      <c r="J179" s="34">
        <f t="shared" si="17"/>
        <v>7135.379122542884</v>
      </c>
      <c r="K179" s="10">
        <f t="shared" si="13"/>
        <v>3066.734054054054</v>
      </c>
      <c r="L179" s="10">
        <f t="shared" si="18"/>
        <v>4068.64506848883</v>
      </c>
      <c r="M179" s="10">
        <f>'D) Ecrêtage'!M178</f>
        <v>1678.3095945945947</v>
      </c>
      <c r="N179" s="10">
        <f t="shared" si="14"/>
        <v>2148.8620006301194</v>
      </c>
      <c r="O179" s="67">
        <f t="shared" si="15"/>
        <v>5215.5960546841734</v>
      </c>
      <c r="P179" s="315"/>
      <c r="Q179" s="316"/>
      <c r="R179" s="312"/>
      <c r="S179" s="312"/>
      <c r="T179" s="317"/>
    </row>
    <row r="180" spans="1:20" s="311" customFormat="1" x14ac:dyDescent="0.25">
      <c r="A180" s="324">
        <f>'A) Base RI'!A181</f>
        <v>5688</v>
      </c>
      <c r="B180" s="324" t="str">
        <f>'A) Base RI'!B181</f>
        <v>Syens</v>
      </c>
      <c r="C180" s="383">
        <v>0</v>
      </c>
      <c r="D180" s="313">
        <f>'B) D RI'!AR181</f>
        <v>145</v>
      </c>
      <c r="E180" s="314">
        <f>'B) D RI'!S181</f>
        <v>75.599999999999994</v>
      </c>
      <c r="F180" s="10">
        <f>'B) D RI'!R181</f>
        <v>366312.30000000005</v>
      </c>
      <c r="G180" s="10">
        <f>'B) D RI'!U181</f>
        <v>4845.4007936507942</v>
      </c>
      <c r="H180" s="44">
        <f>'B) D RI'!T181</f>
        <v>345294.9</v>
      </c>
      <c r="I180" s="10">
        <f t="shared" si="16"/>
        <v>9134.7857142857156</v>
      </c>
      <c r="J180" s="34">
        <f t="shared" si="17"/>
        <v>12617.438692301441</v>
      </c>
      <c r="K180" s="10">
        <f t="shared" si="13"/>
        <v>9134.7857142857156</v>
      </c>
      <c r="L180" s="10">
        <f t="shared" si="18"/>
        <v>3482.6529780157252</v>
      </c>
      <c r="M180" s="10">
        <f>'D) Ecrêtage'!M179</f>
        <v>4845.4007936507942</v>
      </c>
      <c r="N180" s="10">
        <f t="shared" si="14"/>
        <v>6203.9195133209705</v>
      </c>
      <c r="O180" s="67">
        <f t="shared" si="15"/>
        <v>15338.705227606686</v>
      </c>
      <c r="P180" s="315"/>
      <c r="Q180" s="316"/>
      <c r="R180" s="312"/>
      <c r="S180" s="312"/>
      <c r="T180" s="317"/>
    </row>
    <row r="181" spans="1:20" s="311" customFormat="1" x14ac:dyDescent="0.25">
      <c r="A181" s="324">
        <f>'A) Base RI'!A182</f>
        <v>5690</v>
      </c>
      <c r="B181" s="324" t="str">
        <f>'A) Base RI'!B182</f>
        <v>Villars-le-Comte</v>
      </c>
      <c r="C181" s="383">
        <v>0</v>
      </c>
      <c r="D181" s="313">
        <f>'B) D RI'!AR182</f>
        <v>143</v>
      </c>
      <c r="E181" s="314">
        <f>'B) D RI'!S182</f>
        <v>76</v>
      </c>
      <c r="F181" s="10">
        <f>'B) D RI'!R182</f>
        <v>247173.66999999995</v>
      </c>
      <c r="G181" s="10">
        <f>'B) D RI'!U182</f>
        <v>3252.2851315789467</v>
      </c>
      <c r="H181" s="44">
        <f>'B) D RI'!T182</f>
        <v>227230.86999999997</v>
      </c>
      <c r="I181" s="10">
        <f t="shared" si="16"/>
        <v>5979.7597368421048</v>
      </c>
      <c r="J181" s="34">
        <f t="shared" si="17"/>
        <v>12443.405055166249</v>
      </c>
      <c r="K181" s="10">
        <f t="shared" si="13"/>
        <v>5979.7597368421048</v>
      </c>
      <c r="L181" s="10">
        <f t="shared" si="18"/>
        <v>6463.6453183241447</v>
      </c>
      <c r="M181" s="10">
        <f>'D) Ecrêtage'!M180</f>
        <v>3252.2851315789467</v>
      </c>
      <c r="N181" s="10">
        <f t="shared" si="14"/>
        <v>4164.1375089394578</v>
      </c>
      <c r="O181" s="67">
        <f t="shared" si="15"/>
        <v>10143.897245781562</v>
      </c>
      <c r="P181" s="315"/>
      <c r="Q181" s="316"/>
      <c r="R181" s="312"/>
      <c r="S181" s="312"/>
      <c r="T181" s="317"/>
    </row>
    <row r="182" spans="1:20" s="311" customFormat="1" x14ac:dyDescent="0.25">
      <c r="A182" s="324">
        <f>'A) Base RI'!A183</f>
        <v>5692</v>
      </c>
      <c r="B182" s="324" t="str">
        <f>'A) Base RI'!B183</f>
        <v>Vucherens</v>
      </c>
      <c r="C182" s="383">
        <v>0</v>
      </c>
      <c r="D182" s="313">
        <f>'B) D RI'!AR183</f>
        <v>557</v>
      </c>
      <c r="E182" s="314">
        <f>'B) D RI'!S183</f>
        <v>79</v>
      </c>
      <c r="F182" s="10">
        <f>'B) D RI'!R183</f>
        <v>1342465.36</v>
      </c>
      <c r="G182" s="10">
        <f>'B) D RI'!U183</f>
        <v>16993.232405063292</v>
      </c>
      <c r="H182" s="44">
        <f>'B) D RI'!T183</f>
        <v>1256599.8600000001</v>
      </c>
      <c r="I182" s="10">
        <f t="shared" si="16"/>
        <v>31812.654683544308</v>
      </c>
      <c r="J182" s="34">
        <f t="shared" si="17"/>
        <v>48468.367942151053</v>
      </c>
      <c r="K182" s="10">
        <f t="shared" si="13"/>
        <v>31812.654683544308</v>
      </c>
      <c r="L182" s="10">
        <f t="shared" si="18"/>
        <v>16655.713258606746</v>
      </c>
      <c r="M182" s="10">
        <f>'D) Ecrêtage'!M181</f>
        <v>16993.232405063292</v>
      </c>
      <c r="N182" s="10">
        <f t="shared" si="14"/>
        <v>21757.673018569352</v>
      </c>
      <c r="O182" s="67">
        <f t="shared" si="15"/>
        <v>53570.32770211366</v>
      </c>
      <c r="P182" s="315"/>
      <c r="Q182" s="316"/>
      <c r="R182" s="312"/>
      <c r="S182" s="312"/>
      <c r="T182" s="317"/>
    </row>
    <row r="183" spans="1:20" s="311" customFormat="1" x14ac:dyDescent="0.25">
      <c r="A183" s="324">
        <f>'A) Base RI'!A184</f>
        <v>5693</v>
      </c>
      <c r="B183" s="324" t="str">
        <f>'A) Base RI'!B184</f>
        <v>Montanaire</v>
      </c>
      <c r="C183" s="383">
        <v>0</v>
      </c>
      <c r="D183" s="313">
        <f>'B) D RI'!AR184</f>
        <v>2500</v>
      </c>
      <c r="E183" s="314">
        <f>'B) D RI'!S184</f>
        <v>72</v>
      </c>
      <c r="F183" s="10">
        <f>'B) D RI'!R184</f>
        <v>4578125.87</v>
      </c>
      <c r="G183" s="10">
        <f>'B) D RI'!U184</f>
        <v>63585.08152777778</v>
      </c>
      <c r="H183" s="44">
        <f>'B) D RI'!T184</f>
        <v>4256296.07</v>
      </c>
      <c r="I183" s="10">
        <f t="shared" si="16"/>
        <v>118230.4463888889</v>
      </c>
      <c r="J183" s="34">
        <f t="shared" si="17"/>
        <v>217542.04641899036</v>
      </c>
      <c r="K183" s="10">
        <f t="shared" si="13"/>
        <v>118230.4463888889</v>
      </c>
      <c r="L183" s="10">
        <f t="shared" si="18"/>
        <v>99311.600030101457</v>
      </c>
      <c r="M183" s="10">
        <f>'D) Ecrêtage'!M182</f>
        <v>63585.08152777778</v>
      </c>
      <c r="N183" s="10">
        <f t="shared" si="14"/>
        <v>81412.610606575778</v>
      </c>
      <c r="O183" s="67">
        <f t="shared" si="15"/>
        <v>199643.05699546466</v>
      </c>
      <c r="P183" s="315"/>
      <c r="Q183" s="316"/>
      <c r="R183" s="312"/>
      <c r="S183" s="312"/>
      <c r="T183" s="317"/>
    </row>
    <row r="184" spans="1:20" s="311" customFormat="1" x14ac:dyDescent="0.25">
      <c r="A184" s="324">
        <f>'A) Base RI'!A185</f>
        <v>5701</v>
      </c>
      <c r="B184" s="324" t="str">
        <f>'A) Base RI'!B185</f>
        <v>Arnex-sur-Nyon</v>
      </c>
      <c r="C184" s="383">
        <v>0</v>
      </c>
      <c r="D184" s="313">
        <f>'B) D RI'!AR185</f>
        <v>214</v>
      </c>
      <c r="E184" s="314">
        <f>'B) D RI'!S185</f>
        <v>70</v>
      </c>
      <c r="F184" s="10">
        <f>'B) D RI'!R185</f>
        <v>1068942.75</v>
      </c>
      <c r="G184" s="10">
        <f>'B) D RI'!U185</f>
        <v>15270.610714285714</v>
      </c>
      <c r="H184" s="44">
        <f>'B) D RI'!T185</f>
        <v>1003480.35</v>
      </c>
      <c r="I184" s="10">
        <f t="shared" si="16"/>
        <v>28670.867142857143</v>
      </c>
      <c r="J184" s="34">
        <f t="shared" si="17"/>
        <v>18621.599173465576</v>
      </c>
      <c r="K184" s="10">
        <f t="shared" si="13"/>
        <v>18621.599173465576</v>
      </c>
      <c r="L184" s="10">
        <f t="shared" si="18"/>
        <v>0</v>
      </c>
      <c r="M184" s="10">
        <f>'D) Ecrêtage'!M183</f>
        <v>14067.553176355004</v>
      </c>
      <c r="N184" s="10">
        <f t="shared" si="14"/>
        <v>18011.712832884594</v>
      </c>
      <c r="O184" s="67">
        <f t="shared" si="15"/>
        <v>36633.31200635017</v>
      </c>
      <c r="P184" s="315"/>
      <c r="Q184" s="316"/>
      <c r="R184" s="312"/>
      <c r="S184" s="312"/>
      <c r="T184" s="317"/>
    </row>
    <row r="185" spans="1:20" s="311" customFormat="1" x14ac:dyDescent="0.25">
      <c r="A185" s="324">
        <f>'A) Base RI'!A186</f>
        <v>5702</v>
      </c>
      <c r="B185" s="324" t="str">
        <f>'A) Base RI'!B186</f>
        <v>Arzier-Le Muids</v>
      </c>
      <c r="C185" s="383">
        <v>0</v>
      </c>
      <c r="D185" s="313">
        <f>'B) D RI'!AR186</f>
        <v>2565</v>
      </c>
      <c r="E185" s="314">
        <f>'B) D RI'!S186</f>
        <v>64</v>
      </c>
      <c r="F185" s="10">
        <f>'B) D RI'!R186</f>
        <v>9847863.9499999993</v>
      </c>
      <c r="G185" s="10">
        <f>'B) D RI'!U186</f>
        <v>153872.87421874999</v>
      </c>
      <c r="H185" s="44">
        <f>'B) D RI'!T186</f>
        <v>9153540.5499999989</v>
      </c>
      <c r="I185" s="10">
        <f t="shared" si="16"/>
        <v>286048.14218749997</v>
      </c>
      <c r="J185" s="34">
        <f t="shared" si="17"/>
        <v>223198.13962588413</v>
      </c>
      <c r="K185" s="10">
        <f t="shared" si="13"/>
        <v>223198.13962588413</v>
      </c>
      <c r="L185" s="10">
        <f t="shared" si="18"/>
        <v>0</v>
      </c>
      <c r="M185" s="10">
        <f>'D) Ecrêtage'!M184</f>
        <v>150270.74238965832</v>
      </c>
      <c r="N185" s="10">
        <f t="shared" si="14"/>
        <v>192402.57528624538</v>
      </c>
      <c r="O185" s="67">
        <f t="shared" si="15"/>
        <v>415600.71491212951</v>
      </c>
      <c r="P185" s="315"/>
      <c r="Q185" s="316"/>
      <c r="R185" s="312"/>
      <c r="S185" s="312"/>
      <c r="T185" s="317"/>
    </row>
    <row r="186" spans="1:20" s="311" customFormat="1" x14ac:dyDescent="0.25">
      <c r="A186" s="324">
        <f>'A) Base RI'!A187</f>
        <v>5703</v>
      </c>
      <c r="B186" s="324" t="str">
        <f>'A) Base RI'!B187</f>
        <v>Bassins</v>
      </c>
      <c r="C186" s="383">
        <v>0</v>
      </c>
      <c r="D186" s="313">
        <f>'B) D RI'!AR187</f>
        <v>1311</v>
      </c>
      <c r="E186" s="314">
        <f>'B) D RI'!S187</f>
        <v>71</v>
      </c>
      <c r="F186" s="10">
        <f>'B) D RI'!R187</f>
        <v>3718426.6199999992</v>
      </c>
      <c r="G186" s="10">
        <f>'B) D RI'!U187</f>
        <v>52372.205915492945</v>
      </c>
      <c r="H186" s="44">
        <f>'B) D RI'!T187</f>
        <v>3431852.8699999992</v>
      </c>
      <c r="I186" s="10">
        <f t="shared" si="16"/>
        <v>96671.91183098589</v>
      </c>
      <c r="J186" s="34">
        <f t="shared" si="17"/>
        <v>114079.04914211854</v>
      </c>
      <c r="K186" s="10">
        <f t="shared" si="13"/>
        <v>96671.91183098589</v>
      </c>
      <c r="L186" s="10">
        <f t="shared" si="18"/>
        <v>17407.137311132654</v>
      </c>
      <c r="M186" s="10">
        <f>'D) Ecrêtage'!M185</f>
        <v>52372.205915492945</v>
      </c>
      <c r="N186" s="10">
        <f t="shared" si="14"/>
        <v>67055.949357283855</v>
      </c>
      <c r="O186" s="67">
        <f t="shared" si="15"/>
        <v>163727.86118826974</v>
      </c>
      <c r="P186" s="315"/>
      <c r="Q186" s="316"/>
      <c r="R186" s="312"/>
      <c r="S186" s="312"/>
      <c r="T186" s="317"/>
    </row>
    <row r="187" spans="1:20" s="311" customFormat="1" x14ac:dyDescent="0.25">
      <c r="A187" s="324">
        <f>'A) Base RI'!A188</f>
        <v>5704</v>
      </c>
      <c r="B187" s="324" t="str">
        <f>'A) Base RI'!B188</f>
        <v>Begnins</v>
      </c>
      <c r="C187" s="383">
        <v>0</v>
      </c>
      <c r="D187" s="313">
        <f>'B) D RI'!AR188</f>
        <v>1856</v>
      </c>
      <c r="E187" s="314">
        <f>'B) D RI'!S188</f>
        <v>67</v>
      </c>
      <c r="F187" s="10">
        <f>'B) D RI'!R188</f>
        <v>7926556.9666666668</v>
      </c>
      <c r="G187" s="10">
        <f>'B) D RI'!U188</f>
        <v>118306.82039800995</v>
      </c>
      <c r="H187" s="44">
        <f>'B) D RI'!T188</f>
        <v>7476137.7999999998</v>
      </c>
      <c r="I187" s="10">
        <f t="shared" si="16"/>
        <v>223168.29253731342</v>
      </c>
      <c r="J187" s="34">
        <f t="shared" si="17"/>
        <v>161503.21526145845</v>
      </c>
      <c r="K187" s="10">
        <f t="shared" si="13"/>
        <v>161503.21526145845</v>
      </c>
      <c r="L187" s="10">
        <f t="shared" si="18"/>
        <v>0</v>
      </c>
      <c r="M187" s="10">
        <f>'D) Ecrêtage'!M186</f>
        <v>113192.44418268188</v>
      </c>
      <c r="N187" s="10">
        <f t="shared" si="14"/>
        <v>144928.52978139929</v>
      </c>
      <c r="O187" s="67">
        <f t="shared" si="15"/>
        <v>306431.74504285771</v>
      </c>
      <c r="P187" s="315"/>
      <c r="Q187" s="316"/>
      <c r="R187" s="312"/>
      <c r="S187" s="312"/>
      <c r="T187" s="317"/>
    </row>
    <row r="188" spans="1:20" s="311" customFormat="1" x14ac:dyDescent="0.25">
      <c r="A188" s="324">
        <f>'A) Base RI'!A189</f>
        <v>5705</v>
      </c>
      <c r="B188" s="324" t="str">
        <f>'A) Base RI'!B189</f>
        <v>Bogis-Bossey</v>
      </c>
      <c r="C188" s="383">
        <v>0</v>
      </c>
      <c r="D188" s="313">
        <f>'B) D RI'!AR189</f>
        <v>827</v>
      </c>
      <c r="E188" s="314">
        <f>'B) D RI'!S189</f>
        <v>70</v>
      </c>
      <c r="F188" s="10">
        <f>'B) D RI'!R189</f>
        <v>3472747.3399999994</v>
      </c>
      <c r="G188" s="10">
        <f>'B) D RI'!U189</f>
        <v>49610.676285714275</v>
      </c>
      <c r="H188" s="44">
        <f>'B) D RI'!T189</f>
        <v>3253884.0399999996</v>
      </c>
      <c r="I188" s="10">
        <f t="shared" si="16"/>
        <v>92968.115428571415</v>
      </c>
      <c r="J188" s="34">
        <f t="shared" si="17"/>
        <v>71962.908955402017</v>
      </c>
      <c r="K188" s="10">
        <f t="shared" si="13"/>
        <v>71962.908955402017</v>
      </c>
      <c r="L188" s="10">
        <f t="shared" si="18"/>
        <v>0</v>
      </c>
      <c r="M188" s="10">
        <f>'D) Ecrêtage'!M187</f>
        <v>48449.495236014038</v>
      </c>
      <c r="N188" s="10">
        <f t="shared" si="14"/>
        <v>62033.4171941198</v>
      </c>
      <c r="O188" s="67">
        <f t="shared" si="15"/>
        <v>133996.3261495218</v>
      </c>
      <c r="P188" s="315"/>
      <c r="Q188" s="316"/>
      <c r="R188" s="312"/>
      <c r="S188" s="312"/>
      <c r="T188" s="317"/>
    </row>
    <row r="189" spans="1:20" s="311" customFormat="1" x14ac:dyDescent="0.25">
      <c r="A189" s="324">
        <f>'A) Base RI'!A190</f>
        <v>5706</v>
      </c>
      <c r="B189" s="324" t="str">
        <f>'A) Base RI'!B190</f>
        <v>Borex</v>
      </c>
      <c r="C189" s="383">
        <v>0</v>
      </c>
      <c r="D189" s="313">
        <f>'B) D RI'!AR190</f>
        <v>1099</v>
      </c>
      <c r="E189" s="314">
        <f>'B) D RI'!S190</f>
        <v>55</v>
      </c>
      <c r="F189" s="10">
        <f>'B) D RI'!R190</f>
        <v>3751613.4233333329</v>
      </c>
      <c r="G189" s="10">
        <f>'B) D RI'!U190</f>
        <v>68211.153151515144</v>
      </c>
      <c r="H189" s="44">
        <f>'B) D RI'!T190</f>
        <v>3510458.4899999998</v>
      </c>
      <c r="I189" s="10">
        <f t="shared" si="16"/>
        <v>127653.03599999999</v>
      </c>
      <c r="J189" s="34">
        <f t="shared" si="17"/>
        <v>95631.483605788162</v>
      </c>
      <c r="K189" s="10">
        <f t="shared" si="13"/>
        <v>95631.483605788162</v>
      </c>
      <c r="L189" s="10">
        <f t="shared" si="18"/>
        <v>0</v>
      </c>
      <c r="M189" s="10">
        <f>'D) Ecrêtage'!M188</f>
        <v>65845.984440258006</v>
      </c>
      <c r="N189" s="10">
        <f t="shared" si="14"/>
        <v>84307.409260763481</v>
      </c>
      <c r="O189" s="67">
        <f t="shared" si="15"/>
        <v>179938.89286655164</v>
      </c>
      <c r="P189" s="315"/>
      <c r="Q189" s="316"/>
      <c r="R189" s="312"/>
      <c r="S189" s="312"/>
      <c r="T189" s="317"/>
    </row>
    <row r="190" spans="1:20" s="311" customFormat="1" x14ac:dyDescent="0.25">
      <c r="A190" s="324">
        <f>'A) Base RI'!A191</f>
        <v>5707</v>
      </c>
      <c r="B190" s="324" t="str">
        <f>'A) Base RI'!B191</f>
        <v>Chavannes-de-Bogis</v>
      </c>
      <c r="C190" s="383">
        <v>0</v>
      </c>
      <c r="D190" s="313">
        <f>'B) D RI'!AR191</f>
        <v>1153</v>
      </c>
      <c r="E190" s="314">
        <f>'B) D RI'!S191</f>
        <v>59</v>
      </c>
      <c r="F190" s="10">
        <f>'B) D RI'!R191</f>
        <v>5974458.5666666673</v>
      </c>
      <c r="G190" s="10">
        <f>'B) D RI'!U191</f>
        <v>101262.00960451979</v>
      </c>
      <c r="H190" s="44">
        <f>'B) D RI'!T191</f>
        <v>5465610.3000000007</v>
      </c>
      <c r="I190" s="10">
        <f t="shared" si="16"/>
        <v>185274.92542372883</v>
      </c>
      <c r="J190" s="34">
        <f t="shared" si="17"/>
        <v>100330.39180843836</v>
      </c>
      <c r="K190" s="10">
        <f t="shared" si="13"/>
        <v>100330.39180843836</v>
      </c>
      <c r="L190" s="10">
        <f t="shared" si="18"/>
        <v>0</v>
      </c>
      <c r="M190" s="10">
        <f>'D) Ecrêtage'!M189</f>
        <v>86046.443921995582</v>
      </c>
      <c r="N190" s="10">
        <f t="shared" si="14"/>
        <v>110171.52867912366</v>
      </c>
      <c r="O190" s="67">
        <f t="shared" si="15"/>
        <v>210501.92048756202</v>
      </c>
      <c r="P190" s="315"/>
      <c r="Q190" s="316"/>
      <c r="R190" s="312"/>
      <c r="S190" s="312"/>
      <c r="T190" s="317"/>
    </row>
    <row r="191" spans="1:20" s="311" customFormat="1" x14ac:dyDescent="0.25">
      <c r="A191" s="324">
        <f>'A) Base RI'!A192</f>
        <v>5708</v>
      </c>
      <c r="B191" s="324" t="str">
        <f>'A) Base RI'!B192</f>
        <v>Chavannes-des-Bois</v>
      </c>
      <c r="C191" s="383">
        <v>0</v>
      </c>
      <c r="D191" s="313">
        <f>'B) D RI'!AR192</f>
        <v>850</v>
      </c>
      <c r="E191" s="314">
        <f>'B) D RI'!S192</f>
        <v>61</v>
      </c>
      <c r="F191" s="10">
        <f>'B) D RI'!R192</f>
        <v>4030754.206666667</v>
      </c>
      <c r="G191" s="10">
        <f>'B) D RI'!U192</f>
        <v>66077.93781420766</v>
      </c>
      <c r="H191" s="44">
        <f>'B) D RI'!T192</f>
        <v>3768057.8400000003</v>
      </c>
      <c r="I191" s="10">
        <f t="shared" si="16"/>
        <v>123542.88</v>
      </c>
      <c r="J191" s="34">
        <f t="shared" si="17"/>
        <v>73964.295782456727</v>
      </c>
      <c r="K191" s="10">
        <f t="shared" si="13"/>
        <v>73964.295782456727</v>
      </c>
      <c r="L191" s="10">
        <f t="shared" si="18"/>
        <v>0</v>
      </c>
      <c r="M191" s="10">
        <f>'D) Ecrêtage'!M190</f>
        <v>58804.562503992747</v>
      </c>
      <c r="N191" s="10">
        <f t="shared" si="14"/>
        <v>75291.763948374748</v>
      </c>
      <c r="O191" s="67">
        <f t="shared" si="15"/>
        <v>149256.05973083148</v>
      </c>
      <c r="P191" s="315"/>
      <c r="Q191" s="316"/>
      <c r="R191" s="312"/>
      <c r="S191" s="312"/>
      <c r="T191" s="317"/>
    </row>
    <row r="192" spans="1:20" s="311" customFormat="1" x14ac:dyDescent="0.25">
      <c r="A192" s="324">
        <f>'A) Base RI'!A193</f>
        <v>5709</v>
      </c>
      <c r="B192" s="324" t="str">
        <f>'A) Base RI'!B193</f>
        <v>Chéserex</v>
      </c>
      <c r="C192" s="383">
        <v>0</v>
      </c>
      <c r="D192" s="313">
        <f>'B) D RI'!AR193</f>
        <v>1222</v>
      </c>
      <c r="E192" s="314">
        <f>'B) D RI'!S193</f>
        <v>52</v>
      </c>
      <c r="F192" s="10">
        <f>'B) D RI'!R193</f>
        <v>7367414.3200000003</v>
      </c>
      <c r="G192" s="10">
        <f>'B) D RI'!U193</f>
        <v>141681.04461538463</v>
      </c>
      <c r="H192" s="44">
        <f>'B) D RI'!T193</f>
        <v>7016052.1200000001</v>
      </c>
      <c r="I192" s="10">
        <f t="shared" si="16"/>
        <v>269848.15846153849</v>
      </c>
      <c r="J192" s="34">
        <f t="shared" si="17"/>
        <v>106334.55228960249</v>
      </c>
      <c r="K192" s="10">
        <f t="shared" si="13"/>
        <v>106334.55228960249</v>
      </c>
      <c r="L192" s="10">
        <f t="shared" si="18"/>
        <v>0</v>
      </c>
      <c r="M192" s="10">
        <f>'D) Ecrêtage'!M191</f>
        <v>107004.97322705205</v>
      </c>
      <c r="N192" s="10">
        <f t="shared" si="14"/>
        <v>137006.26010041876</v>
      </c>
      <c r="O192" s="67">
        <f t="shared" si="15"/>
        <v>243340.81239002125</v>
      </c>
      <c r="P192" s="315"/>
      <c r="Q192" s="316"/>
      <c r="R192" s="312"/>
      <c r="S192" s="312"/>
      <c r="T192" s="317"/>
    </row>
    <row r="193" spans="1:20" s="311" customFormat="1" x14ac:dyDescent="0.25">
      <c r="A193" s="324">
        <f>'A) Base RI'!A194</f>
        <v>5710</v>
      </c>
      <c r="B193" s="324" t="str">
        <f>'A) Base RI'!B194</f>
        <v>Coinsins</v>
      </c>
      <c r="C193" s="383">
        <v>0</v>
      </c>
      <c r="D193" s="313">
        <f>'B) D RI'!AR194</f>
        <v>490</v>
      </c>
      <c r="E193" s="314">
        <f>'B) D RI'!S194</f>
        <v>41</v>
      </c>
      <c r="F193" s="10">
        <f>'B) D RI'!R194</f>
        <v>3178422.1400000011</v>
      </c>
      <c r="G193" s="10">
        <f>'B) D RI'!U194</f>
        <v>77522.491219512216</v>
      </c>
      <c r="H193" s="44">
        <f>'B) D RI'!T194</f>
        <v>3059214.7400000007</v>
      </c>
      <c r="I193" s="10">
        <f t="shared" si="16"/>
        <v>149229.98731707322</v>
      </c>
      <c r="J193" s="34">
        <f t="shared" si="17"/>
        <v>42638.241098122111</v>
      </c>
      <c r="K193" s="10">
        <f t="shared" si="13"/>
        <v>42638.241098122111</v>
      </c>
      <c r="L193" s="10">
        <f t="shared" si="18"/>
        <v>0</v>
      </c>
      <c r="M193" s="10">
        <f>'D) Ecrêtage'!M192</f>
        <v>51138.47250560869</v>
      </c>
      <c r="N193" s="10">
        <f t="shared" si="14"/>
        <v>65476.310623198864</v>
      </c>
      <c r="O193" s="67">
        <f t="shared" si="15"/>
        <v>108114.55172132098</v>
      </c>
      <c r="P193" s="315"/>
      <c r="Q193" s="316"/>
      <c r="R193" s="312"/>
      <c r="S193" s="312"/>
      <c r="T193" s="317"/>
    </row>
    <row r="194" spans="1:20" s="311" customFormat="1" x14ac:dyDescent="0.25">
      <c r="A194" s="324">
        <f>'A) Base RI'!A195</f>
        <v>5711</v>
      </c>
      <c r="B194" s="324" t="str">
        <f>'A) Base RI'!B195</f>
        <v>Commugny</v>
      </c>
      <c r="C194" s="383">
        <v>0</v>
      </c>
      <c r="D194" s="313">
        <f>'B) D RI'!AR195</f>
        <v>2561</v>
      </c>
      <c r="E194" s="314">
        <f>'B) D RI'!S195</f>
        <v>57</v>
      </c>
      <c r="F194" s="10">
        <f>'B) D RI'!R195</f>
        <v>14228442.748461537</v>
      </c>
      <c r="G194" s="10">
        <f>'B) D RI'!U195</f>
        <v>249621.80260458836</v>
      </c>
      <c r="H194" s="44">
        <f>'B) D RI'!T195</f>
        <v>13409757.209999999</v>
      </c>
      <c r="I194" s="10">
        <f t="shared" si="16"/>
        <v>470517.79684210522</v>
      </c>
      <c r="J194" s="34">
        <f t="shared" si="17"/>
        <v>222850.07235161372</v>
      </c>
      <c r="K194" s="10">
        <f t="shared" si="13"/>
        <v>222850.07235161372</v>
      </c>
      <c r="L194" s="10">
        <f t="shared" si="18"/>
        <v>0</v>
      </c>
      <c r="M194" s="10">
        <f>'D) Ecrêtage'!M193</f>
        <v>203440.68653397332</v>
      </c>
      <c r="N194" s="10">
        <f t="shared" si="14"/>
        <v>260479.92699497068</v>
      </c>
      <c r="O194" s="67">
        <f t="shared" si="15"/>
        <v>483329.99934658443</v>
      </c>
      <c r="P194" s="315"/>
      <c r="Q194" s="316"/>
      <c r="R194" s="312"/>
      <c r="S194" s="312"/>
      <c r="T194" s="317"/>
    </row>
    <row r="195" spans="1:20" s="311" customFormat="1" x14ac:dyDescent="0.25">
      <c r="A195" s="324">
        <f>'A) Base RI'!A196</f>
        <v>5712</v>
      </c>
      <c r="B195" s="324" t="str">
        <f>'A) Base RI'!B196</f>
        <v>Coppet</v>
      </c>
      <c r="C195" s="383">
        <v>0</v>
      </c>
      <c r="D195" s="313">
        <f>'B) D RI'!AR196</f>
        <v>2942</v>
      </c>
      <c r="E195" s="314">
        <f>'B) D RI'!S196</f>
        <v>53</v>
      </c>
      <c r="F195" s="10">
        <f>'B) D RI'!R196</f>
        <v>16793944.086666666</v>
      </c>
      <c r="G195" s="10">
        <f>'B) D RI'!U196</f>
        <v>316866.86955974839</v>
      </c>
      <c r="H195" s="44">
        <f>'B) D RI'!T196</f>
        <v>15736615.620000001</v>
      </c>
      <c r="I195" s="10">
        <f t="shared" si="16"/>
        <v>593834.55169811321</v>
      </c>
      <c r="J195" s="34">
        <f t="shared" si="17"/>
        <v>256003.48022586785</v>
      </c>
      <c r="K195" s="10">
        <f t="shared" si="13"/>
        <v>256003.48022586785</v>
      </c>
      <c r="L195" s="10">
        <f t="shared" si="18"/>
        <v>0</v>
      </c>
      <c r="M195" s="10">
        <f>'D) Ecrêtage'!M194</f>
        <v>246954.44437409952</v>
      </c>
      <c r="N195" s="10">
        <f t="shared" si="14"/>
        <v>316193.7601449592</v>
      </c>
      <c r="O195" s="67">
        <f t="shared" si="15"/>
        <v>572197.24037082703</v>
      </c>
      <c r="P195" s="315"/>
      <c r="Q195" s="316"/>
      <c r="R195" s="312"/>
      <c r="S195" s="312"/>
      <c r="T195" s="317"/>
    </row>
    <row r="196" spans="1:20" s="311" customFormat="1" x14ac:dyDescent="0.25">
      <c r="A196" s="324">
        <f>'A) Base RI'!A197</f>
        <v>5713</v>
      </c>
      <c r="B196" s="324" t="str">
        <f>'A) Base RI'!B197</f>
        <v>Crans-près-Céligny</v>
      </c>
      <c r="C196" s="383">
        <v>1</v>
      </c>
      <c r="D196" s="313">
        <f>'B) D RI'!AR197</f>
        <v>2059</v>
      </c>
      <c r="E196" s="314">
        <f>'B) D RI'!S197</f>
        <v>53</v>
      </c>
      <c r="F196" s="10">
        <f>'B) D RI'!R197</f>
        <v>12152143.560000001</v>
      </c>
      <c r="G196" s="10">
        <f>'B) D RI'!U197</f>
        <v>229285.72754716981</v>
      </c>
      <c r="H196" s="44">
        <f>'B) D RI'!T197</f>
        <v>11384055.01</v>
      </c>
      <c r="I196" s="10">
        <f t="shared" si="16"/>
        <v>429586.98150943394</v>
      </c>
      <c r="J196" s="34">
        <f t="shared" si="17"/>
        <v>179167.62943068048</v>
      </c>
      <c r="K196" s="10">
        <f t="shared" si="13"/>
        <v>0</v>
      </c>
      <c r="L196" s="10">
        <f t="shared" si="18"/>
        <v>179167.62943068048</v>
      </c>
      <c r="M196" s="10">
        <f>'D) Ecrêtage'!M195</f>
        <v>176144.21496097266</v>
      </c>
      <c r="N196" s="10">
        <f t="shared" si="14"/>
        <v>225530.26651312725</v>
      </c>
      <c r="O196" s="67">
        <f t="shared" si="15"/>
        <v>225530.26651312725</v>
      </c>
      <c r="P196" s="315"/>
      <c r="Q196" s="316"/>
      <c r="R196" s="312"/>
      <c r="S196" s="312"/>
      <c r="T196" s="317"/>
    </row>
    <row r="197" spans="1:20" s="311" customFormat="1" x14ac:dyDescent="0.25">
      <c r="A197" s="324">
        <f>'A) Base RI'!A198</f>
        <v>5714</v>
      </c>
      <c r="B197" s="324" t="str">
        <f>'A) Base RI'!B198</f>
        <v>Crassier</v>
      </c>
      <c r="C197" s="383">
        <v>0</v>
      </c>
      <c r="D197" s="313">
        <f>'B) D RI'!AR198</f>
        <v>1172</v>
      </c>
      <c r="E197" s="314">
        <f>'B) D RI'!S198</f>
        <v>64</v>
      </c>
      <c r="F197" s="10">
        <f>'B) D RI'!R198</f>
        <v>5275375.5</v>
      </c>
      <c r="G197" s="10">
        <f>'B) D RI'!U198</f>
        <v>82427.7421875</v>
      </c>
      <c r="H197" s="44">
        <f>'B) D RI'!T198</f>
        <v>5000341.3499999996</v>
      </c>
      <c r="I197" s="10">
        <f t="shared" si="16"/>
        <v>156260.66718749999</v>
      </c>
      <c r="J197" s="34">
        <f t="shared" si="17"/>
        <v>101983.71136122268</v>
      </c>
      <c r="K197" s="10">
        <f t="shared" si="13"/>
        <v>101983.71136122268</v>
      </c>
      <c r="L197" s="10">
        <f t="shared" si="18"/>
        <v>0</v>
      </c>
      <c r="M197" s="10">
        <f>'D) Ecrêtage'!M196</f>
        <v>76392.794864572061</v>
      </c>
      <c r="N197" s="10">
        <f t="shared" si="14"/>
        <v>97811.258742201157</v>
      </c>
      <c r="O197" s="67">
        <f t="shared" si="15"/>
        <v>199794.97010342384</v>
      </c>
      <c r="P197" s="315"/>
      <c r="Q197" s="316"/>
      <c r="R197" s="312"/>
      <c r="S197" s="312"/>
      <c r="T197" s="317"/>
    </row>
    <row r="198" spans="1:20" s="311" customFormat="1" x14ac:dyDescent="0.25">
      <c r="A198" s="324">
        <f>'A) Base RI'!A199</f>
        <v>5715</v>
      </c>
      <c r="B198" s="324" t="str">
        <f>'A) Base RI'!B199</f>
        <v>Duillier</v>
      </c>
      <c r="C198" s="383">
        <v>0</v>
      </c>
      <c r="D198" s="313">
        <f>'B) D RI'!AR199</f>
        <v>1039</v>
      </c>
      <c r="E198" s="314">
        <f>'B) D RI'!S199</f>
        <v>66</v>
      </c>
      <c r="F198" s="10">
        <f>'B) D RI'!R199</f>
        <v>4231415.3</v>
      </c>
      <c r="G198" s="10">
        <f>'B) D RI'!U199</f>
        <v>64112.353030303027</v>
      </c>
      <c r="H198" s="44">
        <f>'B) D RI'!T199</f>
        <v>3983549.1999999997</v>
      </c>
      <c r="I198" s="10">
        <f t="shared" si="16"/>
        <v>120713.61212121211</v>
      </c>
      <c r="J198" s="34">
        <f t="shared" si="17"/>
        <v>90410.474491732399</v>
      </c>
      <c r="K198" s="10">
        <f t="shared" ref="K198:K261" si="19">IF(C198=1,0,IF(J198&gt;I198,I198,J198))</f>
        <v>90410.474491732399</v>
      </c>
      <c r="L198" s="10">
        <f t="shared" si="18"/>
        <v>0</v>
      </c>
      <c r="M198" s="10">
        <f>'D) Ecrêtage'!M197</f>
        <v>62011.241183976788</v>
      </c>
      <c r="N198" s="10">
        <f t="shared" ref="N198:N261" si="20">+$N$5*M198</f>
        <v>79397.508195944843</v>
      </c>
      <c r="O198" s="67">
        <f t="shared" ref="O198:O261" si="21">+N198+K198</f>
        <v>169807.98268767726</v>
      </c>
      <c r="P198" s="315"/>
      <c r="Q198" s="316"/>
      <c r="R198" s="312"/>
      <c r="S198" s="312"/>
      <c r="T198" s="317"/>
    </row>
    <row r="199" spans="1:20" s="311" customFormat="1" x14ac:dyDescent="0.25">
      <c r="A199" s="324">
        <f>'A) Base RI'!A200</f>
        <v>5716</v>
      </c>
      <c r="B199" s="324" t="str">
        <f>'A) Base RI'!B200</f>
        <v>Eysins</v>
      </c>
      <c r="C199" s="383">
        <v>0</v>
      </c>
      <c r="D199" s="313">
        <f>'B) D RI'!AR200</f>
        <v>1482</v>
      </c>
      <c r="E199" s="314">
        <f>'B) D RI'!S200</f>
        <v>61</v>
      </c>
      <c r="F199" s="10">
        <f>'B) D RI'!R200</f>
        <v>5688801.8199999994</v>
      </c>
      <c r="G199" s="10">
        <f>'B) D RI'!U200</f>
        <v>93259.046229508182</v>
      </c>
      <c r="H199" s="44">
        <f>'B) D RI'!T200</f>
        <v>4993401.0199999996</v>
      </c>
      <c r="I199" s="10">
        <f t="shared" ref="I199:I262" si="22">+H199/E199*$I$5</f>
        <v>163718.06622950817</v>
      </c>
      <c r="J199" s="34">
        <f t="shared" ref="J199:J262" si="23">+$I$324/$D$324*D199</f>
        <v>128958.9251171775</v>
      </c>
      <c r="K199" s="10">
        <f t="shared" si="19"/>
        <v>128958.9251171775</v>
      </c>
      <c r="L199" s="10">
        <f t="shared" ref="L199:L262" si="24">+J199-K199</f>
        <v>0</v>
      </c>
      <c r="M199" s="10">
        <f>'D) Ecrêtage'!M198</f>
        <v>89610.115700910072</v>
      </c>
      <c r="N199" s="10">
        <f t="shared" si="20"/>
        <v>114734.3571900797</v>
      </c>
      <c r="O199" s="67">
        <f t="shared" si="21"/>
        <v>243693.28230725718</v>
      </c>
      <c r="P199" s="315"/>
      <c r="Q199" s="316"/>
      <c r="R199" s="312"/>
      <c r="S199" s="312"/>
      <c r="T199" s="317"/>
    </row>
    <row r="200" spans="1:20" s="311" customFormat="1" x14ac:dyDescent="0.25">
      <c r="A200" s="324">
        <f>'A) Base RI'!A201</f>
        <v>5717</v>
      </c>
      <c r="B200" s="324" t="str">
        <f>'A) Base RI'!B201</f>
        <v>Founex</v>
      </c>
      <c r="C200" s="383">
        <v>0</v>
      </c>
      <c r="D200" s="313">
        <f>'B) D RI'!AR201</f>
        <v>3410</v>
      </c>
      <c r="E200" s="314">
        <f>'B) D RI'!S201</f>
        <v>57</v>
      </c>
      <c r="F200" s="10">
        <f>'B) D RI'!R201</f>
        <v>20502130.550000001</v>
      </c>
      <c r="G200" s="10">
        <f>'B) D RI'!U201</f>
        <v>359686.500877193</v>
      </c>
      <c r="H200" s="44">
        <f>'B) D RI'!T201</f>
        <v>19267392.75</v>
      </c>
      <c r="I200" s="10">
        <f t="shared" si="22"/>
        <v>676048.86842105258</v>
      </c>
      <c r="J200" s="34">
        <f t="shared" si="23"/>
        <v>296727.35131550283</v>
      </c>
      <c r="K200" s="10">
        <f t="shared" si="19"/>
        <v>296727.35131550283</v>
      </c>
      <c r="L200" s="10">
        <f t="shared" si="24"/>
        <v>0</v>
      </c>
      <c r="M200" s="10">
        <f>'D) Ecrêtage'!M199</f>
        <v>282900.94693533023</v>
      </c>
      <c r="N200" s="10">
        <f t="shared" si="20"/>
        <v>362218.68525899376</v>
      </c>
      <c r="O200" s="67">
        <f t="shared" si="21"/>
        <v>658946.03657449665</v>
      </c>
      <c r="P200" s="315"/>
      <c r="Q200" s="316"/>
      <c r="R200" s="312"/>
      <c r="S200" s="312"/>
      <c r="T200" s="317"/>
    </row>
    <row r="201" spans="1:20" s="311" customFormat="1" x14ac:dyDescent="0.25">
      <c r="A201" s="324">
        <f>'A) Base RI'!A202</f>
        <v>5718</v>
      </c>
      <c r="B201" s="324" t="str">
        <f>'A) Base RI'!B202</f>
        <v>Genolier</v>
      </c>
      <c r="C201" s="383">
        <v>0</v>
      </c>
      <c r="D201" s="313">
        <f>'B) D RI'!AR202</f>
        <v>1895</v>
      </c>
      <c r="E201" s="314">
        <f>'B) D RI'!S202</f>
        <v>55</v>
      </c>
      <c r="F201" s="10">
        <f>'B) D RI'!R202</f>
        <v>10700338.58</v>
      </c>
      <c r="G201" s="10">
        <f>'B) D RI'!U202</f>
        <v>194551.61054545455</v>
      </c>
      <c r="H201" s="44">
        <f>'B) D RI'!T202</f>
        <v>10078972.779999999</v>
      </c>
      <c r="I201" s="10">
        <f t="shared" si="22"/>
        <v>366508.10109090904</v>
      </c>
      <c r="J201" s="34">
        <f t="shared" si="23"/>
        <v>164896.8711855947</v>
      </c>
      <c r="K201" s="10">
        <f t="shared" si="19"/>
        <v>164896.8711855947</v>
      </c>
      <c r="L201" s="10">
        <f t="shared" si="24"/>
        <v>0</v>
      </c>
      <c r="M201" s="10">
        <f>'D) Ecrêtage'!M200</f>
        <v>154866.84060804904</v>
      </c>
      <c r="N201" s="10">
        <f t="shared" si="20"/>
        <v>198287.29455644015</v>
      </c>
      <c r="O201" s="67">
        <f t="shared" si="21"/>
        <v>363184.16574203485</v>
      </c>
      <c r="P201" s="315"/>
      <c r="Q201" s="316"/>
      <c r="R201" s="312"/>
      <c r="S201" s="312"/>
      <c r="T201" s="317"/>
    </row>
    <row r="202" spans="1:20" s="311" customFormat="1" x14ac:dyDescent="0.25">
      <c r="A202" s="324">
        <f>'A) Base RI'!A203</f>
        <v>5719</v>
      </c>
      <c r="B202" s="324" t="str">
        <f>'A) Base RI'!B203</f>
        <v>Gingins</v>
      </c>
      <c r="C202" s="383">
        <v>0</v>
      </c>
      <c r="D202" s="313">
        <f>'B) D RI'!AR203</f>
        <v>1195</v>
      </c>
      <c r="E202" s="314">
        <f>'B) D RI'!S203</f>
        <v>57</v>
      </c>
      <c r="F202" s="10">
        <f>'B) D RI'!R203</f>
        <v>5130667.5599999996</v>
      </c>
      <c r="G202" s="10">
        <f>'B) D RI'!U203</f>
        <v>90011.711578947361</v>
      </c>
      <c r="H202" s="44">
        <f>'B) D RI'!T203</f>
        <v>4759476.0599999996</v>
      </c>
      <c r="I202" s="10">
        <f t="shared" si="22"/>
        <v>166999.15999999997</v>
      </c>
      <c r="J202" s="34">
        <f t="shared" si="23"/>
        <v>103985.09818827739</v>
      </c>
      <c r="K202" s="10">
        <f t="shared" si="19"/>
        <v>103985.09818827739</v>
      </c>
      <c r="L202" s="10">
        <f t="shared" si="24"/>
        <v>0</v>
      </c>
      <c r="M202" s="10">
        <f>'D) Ecrêtage'!M201</f>
        <v>81113.805335882309</v>
      </c>
      <c r="N202" s="10">
        <f t="shared" si="20"/>
        <v>103855.91226682455</v>
      </c>
      <c r="O202" s="67">
        <f t="shared" si="21"/>
        <v>207841.01045510196</v>
      </c>
      <c r="P202" s="315"/>
      <c r="Q202" s="316"/>
      <c r="R202" s="312"/>
      <c r="S202" s="312"/>
      <c r="T202" s="317"/>
    </row>
    <row r="203" spans="1:20" s="311" customFormat="1" x14ac:dyDescent="0.25">
      <c r="A203" s="324">
        <f>'A) Base RI'!A204</f>
        <v>5720</v>
      </c>
      <c r="B203" s="324" t="str">
        <f>'A) Base RI'!B204</f>
        <v>Givrins</v>
      </c>
      <c r="C203" s="383">
        <v>0</v>
      </c>
      <c r="D203" s="313">
        <f>'B) D RI'!AR204</f>
        <v>1000</v>
      </c>
      <c r="E203" s="314">
        <f>'B) D RI'!S204</f>
        <v>61</v>
      </c>
      <c r="F203" s="10">
        <f>'B) D RI'!R204</f>
        <v>4491508.194444444</v>
      </c>
      <c r="G203" s="10">
        <f>'B) D RI'!U204</f>
        <v>73631.281876138426</v>
      </c>
      <c r="H203" s="44">
        <f>'B) D RI'!T204</f>
        <v>4213793.75</v>
      </c>
      <c r="I203" s="10">
        <f t="shared" si="22"/>
        <v>138157.17213114753</v>
      </c>
      <c r="J203" s="34">
        <f t="shared" si="23"/>
        <v>87016.818567596143</v>
      </c>
      <c r="K203" s="10">
        <f t="shared" si="19"/>
        <v>87016.818567596143</v>
      </c>
      <c r="L203" s="10">
        <f t="shared" si="24"/>
        <v>0</v>
      </c>
      <c r="M203" s="10">
        <f>'D) Ecrêtage'!M202</f>
        <v>66963.805253491941</v>
      </c>
      <c r="N203" s="10">
        <f t="shared" si="20"/>
        <v>85738.636655761526</v>
      </c>
      <c r="O203" s="67">
        <f t="shared" si="21"/>
        <v>172755.45522335765</v>
      </c>
      <c r="P203" s="315"/>
      <c r="Q203" s="316"/>
      <c r="R203" s="312"/>
      <c r="S203" s="312"/>
      <c r="T203" s="317"/>
    </row>
    <row r="204" spans="1:20" s="311" customFormat="1" x14ac:dyDescent="0.25">
      <c r="A204" s="324">
        <f>'A) Base RI'!A205</f>
        <v>5721</v>
      </c>
      <c r="B204" s="324" t="str">
        <f>'A) Base RI'!B205</f>
        <v>Gland</v>
      </c>
      <c r="C204" s="383">
        <v>0</v>
      </c>
      <c r="D204" s="313">
        <f>'B) D RI'!AR205</f>
        <v>12829</v>
      </c>
      <c r="E204" s="314">
        <f>'B) D RI'!S205</f>
        <v>62.5</v>
      </c>
      <c r="F204" s="10">
        <f>'B) D RI'!R205</f>
        <v>33821817.620000005</v>
      </c>
      <c r="G204" s="10">
        <f>'B) D RI'!U205</f>
        <v>541149.08192000003</v>
      </c>
      <c r="H204" s="44">
        <f>'B) D RI'!T205</f>
        <v>30974944.220000003</v>
      </c>
      <c r="I204" s="10">
        <f t="shared" si="22"/>
        <v>991198.21504000004</v>
      </c>
      <c r="J204" s="34">
        <f t="shared" si="23"/>
        <v>1116338.765403691</v>
      </c>
      <c r="K204" s="10">
        <f t="shared" si="19"/>
        <v>991198.21504000004</v>
      </c>
      <c r="L204" s="10">
        <f t="shared" si="24"/>
        <v>125140.55036369094</v>
      </c>
      <c r="M204" s="10">
        <f>'D) Ecrêtage'!M203</f>
        <v>541149.08192000003</v>
      </c>
      <c r="N204" s="10">
        <f t="shared" si="20"/>
        <v>692872.57998108375</v>
      </c>
      <c r="O204" s="67">
        <f t="shared" si="21"/>
        <v>1684070.7950210837</v>
      </c>
      <c r="P204" s="315"/>
      <c r="Q204" s="316"/>
      <c r="R204" s="312"/>
      <c r="S204" s="312"/>
      <c r="T204" s="317"/>
    </row>
    <row r="205" spans="1:20" s="311" customFormat="1" x14ac:dyDescent="0.25">
      <c r="A205" s="324">
        <f>'A) Base RI'!A206</f>
        <v>5722</v>
      </c>
      <c r="B205" s="324" t="str">
        <f>'A) Base RI'!B206</f>
        <v>Grens</v>
      </c>
      <c r="C205" s="383">
        <v>0</v>
      </c>
      <c r="D205" s="313">
        <f>'B) D RI'!AR206</f>
        <v>377</v>
      </c>
      <c r="E205" s="314">
        <f>'B) D RI'!S206</f>
        <v>62</v>
      </c>
      <c r="F205" s="10">
        <f>'B) D RI'!R206</f>
        <v>1270959.2199999997</v>
      </c>
      <c r="G205" s="10">
        <f>'B) D RI'!U206</f>
        <v>20499.342258064513</v>
      </c>
      <c r="H205" s="44">
        <f>'B) D RI'!T206</f>
        <v>1198035.8199999998</v>
      </c>
      <c r="I205" s="10">
        <f t="shared" si="22"/>
        <v>38646.316774193539</v>
      </c>
      <c r="J205" s="34">
        <f t="shared" si="23"/>
        <v>32805.340599983749</v>
      </c>
      <c r="K205" s="10">
        <f t="shared" si="19"/>
        <v>32805.340599983749</v>
      </c>
      <c r="L205" s="10">
        <f t="shared" si="24"/>
        <v>0</v>
      </c>
      <c r="M205" s="10">
        <f>'D) Ecrêtage'!M204</f>
        <v>20499.342258064513</v>
      </c>
      <c r="N205" s="10">
        <f t="shared" si="20"/>
        <v>26246.800803701924</v>
      </c>
      <c r="O205" s="67">
        <f t="shared" si="21"/>
        <v>59052.141403685673</v>
      </c>
      <c r="P205" s="315"/>
      <c r="Q205" s="316"/>
      <c r="R205" s="312"/>
      <c r="S205" s="312"/>
      <c r="T205" s="317"/>
    </row>
    <row r="206" spans="1:20" s="311" customFormat="1" x14ac:dyDescent="0.25">
      <c r="A206" s="324">
        <f>'A) Base RI'!A207</f>
        <v>5723</v>
      </c>
      <c r="B206" s="324" t="str">
        <f>'A) Base RI'!B207</f>
        <v>Mies</v>
      </c>
      <c r="C206" s="383">
        <v>0</v>
      </c>
      <c r="D206" s="313">
        <f>'B) D RI'!AR207</f>
        <v>1791</v>
      </c>
      <c r="E206" s="314">
        <f>'B) D RI'!S207</f>
        <v>49</v>
      </c>
      <c r="F206" s="10">
        <f>'B) D RI'!R207</f>
        <v>30456382.549999993</v>
      </c>
      <c r="G206" s="10">
        <f>'B) D RI'!U207</f>
        <v>621558.82755102031</v>
      </c>
      <c r="H206" s="44">
        <f>'B) D RI'!T207</f>
        <v>29703160.649999995</v>
      </c>
      <c r="I206" s="10">
        <f t="shared" si="22"/>
        <v>1212373.9040816324</v>
      </c>
      <c r="J206" s="34">
        <f t="shared" si="23"/>
        <v>155847.12205456471</v>
      </c>
      <c r="K206" s="10">
        <f t="shared" si="19"/>
        <v>155847.12205456471</v>
      </c>
      <c r="L206" s="10">
        <f t="shared" si="24"/>
        <v>0</v>
      </c>
      <c r="M206" s="10">
        <f>'D) Ecrêtage'!M205</f>
        <v>301906.44719252124</v>
      </c>
      <c r="N206" s="10">
        <f t="shared" si="20"/>
        <v>386552.81135657406</v>
      </c>
      <c r="O206" s="67">
        <f t="shared" si="21"/>
        <v>542399.93341113883</v>
      </c>
      <c r="P206" s="315"/>
      <c r="Q206" s="316"/>
      <c r="R206" s="312"/>
      <c r="S206" s="312"/>
      <c r="T206" s="317"/>
    </row>
    <row r="207" spans="1:20" s="311" customFormat="1" x14ac:dyDescent="0.25">
      <c r="A207" s="324">
        <f>'A) Base RI'!A208</f>
        <v>5724</v>
      </c>
      <c r="B207" s="324" t="str">
        <f>'A) Base RI'!B208</f>
        <v>Nyon</v>
      </c>
      <c r="C207" s="383">
        <v>1</v>
      </c>
      <c r="D207" s="313">
        <f>'B) D RI'!AR208</f>
        <v>20047</v>
      </c>
      <c r="E207" s="314">
        <f>'B) D RI'!S208</f>
        <v>61</v>
      </c>
      <c r="F207" s="10">
        <f>'B) D RI'!R208</f>
        <v>86539198.220769227</v>
      </c>
      <c r="G207" s="10">
        <f>'B) D RI'!U208</f>
        <v>1418675.3806683479</v>
      </c>
      <c r="H207" s="44">
        <f>'B) D RI'!T208</f>
        <v>81230118.489999995</v>
      </c>
      <c r="I207" s="10">
        <f t="shared" si="22"/>
        <v>2663282.5734426226</v>
      </c>
      <c r="J207" s="34">
        <f t="shared" si="23"/>
        <v>1744426.1618245998</v>
      </c>
      <c r="K207" s="10">
        <f t="shared" si="19"/>
        <v>0</v>
      </c>
      <c r="L207" s="10">
        <f t="shared" si="24"/>
        <v>1744426.1618245998</v>
      </c>
      <c r="M207" s="10">
        <f>'D) Ecrêtage'!M206</f>
        <v>1311421.5032813493</v>
      </c>
      <c r="N207" s="10">
        <f t="shared" si="20"/>
        <v>1679108.4578714087</v>
      </c>
      <c r="O207" s="67">
        <f t="shared" si="21"/>
        <v>1679108.4578714087</v>
      </c>
      <c r="P207" s="315"/>
      <c r="Q207" s="316"/>
      <c r="R207" s="312"/>
      <c r="S207" s="312"/>
      <c r="T207" s="317"/>
    </row>
    <row r="208" spans="1:20" s="311" customFormat="1" x14ac:dyDescent="0.25">
      <c r="A208" s="324">
        <f>'A) Base RI'!A209</f>
        <v>5725</v>
      </c>
      <c r="B208" s="324" t="str">
        <f>'A) Base RI'!B209</f>
        <v>Prangins</v>
      </c>
      <c r="C208" s="383">
        <v>1</v>
      </c>
      <c r="D208" s="313">
        <f>'B) D RI'!AR209</f>
        <v>4011</v>
      </c>
      <c r="E208" s="314">
        <f>'B) D RI'!S209</f>
        <v>56</v>
      </c>
      <c r="F208" s="10">
        <f>'B) D RI'!R209</f>
        <v>17911071.228571426</v>
      </c>
      <c r="G208" s="10">
        <f>'B) D RI'!U209</f>
        <v>319840.55765306117</v>
      </c>
      <c r="H208" s="44">
        <f>'B) D RI'!T209</f>
        <v>16779772.799999997</v>
      </c>
      <c r="I208" s="10">
        <f t="shared" si="22"/>
        <v>599277.59999999986</v>
      </c>
      <c r="J208" s="34">
        <f t="shared" si="23"/>
        <v>349024.45927462814</v>
      </c>
      <c r="K208" s="10">
        <f t="shared" si="19"/>
        <v>0</v>
      </c>
      <c r="L208" s="10">
        <f t="shared" si="24"/>
        <v>349024.45927462814</v>
      </c>
      <c r="M208" s="10">
        <f>'D) Ecrêtage'!M207</f>
        <v>281824.78533760592</v>
      </c>
      <c r="N208" s="10">
        <f t="shared" si="20"/>
        <v>360840.79719153873</v>
      </c>
      <c r="O208" s="67">
        <f t="shared" si="21"/>
        <v>360840.79719153873</v>
      </c>
      <c r="P208" s="315"/>
      <c r="Q208" s="316"/>
      <c r="R208" s="312"/>
      <c r="S208" s="312"/>
      <c r="T208" s="317"/>
    </row>
    <row r="209" spans="1:20" s="311" customFormat="1" x14ac:dyDescent="0.25">
      <c r="A209" s="324">
        <f>'A) Base RI'!A210</f>
        <v>5726</v>
      </c>
      <c r="B209" s="324" t="str">
        <f>'A) Base RI'!B210</f>
        <v>La Rippe</v>
      </c>
      <c r="C209" s="383">
        <v>0</v>
      </c>
      <c r="D209" s="313">
        <f>'B) D RI'!AR210</f>
        <v>1120</v>
      </c>
      <c r="E209" s="314">
        <f>'B) D RI'!S210</f>
        <v>65</v>
      </c>
      <c r="F209" s="10">
        <f>'B) D RI'!R210</f>
        <v>4057354.97</v>
      </c>
      <c r="G209" s="10">
        <f>'B) D RI'!U210</f>
        <v>62420.845692307696</v>
      </c>
      <c r="H209" s="44">
        <f>'B) D RI'!T210</f>
        <v>3814255.1700000004</v>
      </c>
      <c r="I209" s="10">
        <f t="shared" si="22"/>
        <v>117361.69753846155</v>
      </c>
      <c r="J209" s="34">
        <f t="shared" si="23"/>
        <v>97458.836795707684</v>
      </c>
      <c r="K209" s="10">
        <f t="shared" si="19"/>
        <v>97458.836795707684</v>
      </c>
      <c r="L209" s="10">
        <f t="shared" si="24"/>
        <v>0</v>
      </c>
      <c r="M209" s="10">
        <f>'D) Ecrêtage'!M208</f>
        <v>62420.845692307696</v>
      </c>
      <c r="N209" s="10">
        <f t="shared" si="20"/>
        <v>79921.95467833041</v>
      </c>
      <c r="O209" s="67">
        <f t="shared" si="21"/>
        <v>177380.79147403809</v>
      </c>
      <c r="P209" s="315"/>
      <c r="Q209" s="316"/>
      <c r="R209" s="312"/>
      <c r="S209" s="312"/>
      <c r="T209" s="317"/>
    </row>
    <row r="210" spans="1:20" s="311" customFormat="1" x14ac:dyDescent="0.25">
      <c r="A210" s="324">
        <f>'A) Base RI'!A211</f>
        <v>5727</v>
      </c>
      <c r="B210" s="324" t="str">
        <f>'A) Base RI'!B211</f>
        <v>Saint-Cergue</v>
      </c>
      <c r="C210" s="383">
        <v>0</v>
      </c>
      <c r="D210" s="313">
        <f>'B) D RI'!AR211</f>
        <v>2481</v>
      </c>
      <c r="E210" s="314">
        <f>'B) D RI'!S211</f>
        <v>66</v>
      </c>
      <c r="F210" s="10">
        <f>'B) D RI'!R211</f>
        <v>6212317.3066666676</v>
      </c>
      <c r="G210" s="10">
        <f>'B) D RI'!U211</f>
        <v>94126.01979797981</v>
      </c>
      <c r="H210" s="44">
        <f>'B) D RI'!T211</f>
        <v>5739488.040000001</v>
      </c>
      <c r="I210" s="10">
        <f t="shared" si="22"/>
        <v>173923.88000000003</v>
      </c>
      <c r="J210" s="34">
        <f t="shared" si="23"/>
        <v>215888.72686620604</v>
      </c>
      <c r="K210" s="10">
        <f t="shared" si="19"/>
        <v>173923.88000000003</v>
      </c>
      <c r="L210" s="10">
        <f t="shared" si="24"/>
        <v>41964.846866206004</v>
      </c>
      <c r="M210" s="10">
        <f>'D) Ecrêtage'!M209</f>
        <v>94126.01979797981</v>
      </c>
      <c r="N210" s="10">
        <f t="shared" si="20"/>
        <v>120516.39808643</v>
      </c>
      <c r="O210" s="67">
        <f t="shared" si="21"/>
        <v>294440.27808643004</v>
      </c>
      <c r="P210" s="315"/>
      <c r="Q210" s="316"/>
      <c r="R210" s="312"/>
      <c r="S210" s="312"/>
      <c r="T210" s="317"/>
    </row>
    <row r="211" spans="1:20" s="311" customFormat="1" x14ac:dyDescent="0.25">
      <c r="A211" s="324">
        <f>'A) Base RI'!A212</f>
        <v>5728</v>
      </c>
      <c r="B211" s="324" t="str">
        <f>'A) Base RI'!B212</f>
        <v>Signy-Avenex</v>
      </c>
      <c r="C211" s="383">
        <v>0</v>
      </c>
      <c r="D211" s="313">
        <f>'B) D RI'!AR212</f>
        <v>516</v>
      </c>
      <c r="E211" s="314">
        <f>'B) D RI'!S212</f>
        <v>56</v>
      </c>
      <c r="F211" s="10">
        <f>'B) D RI'!R212</f>
        <v>1878666.3699999996</v>
      </c>
      <c r="G211" s="10">
        <f>'B) D RI'!U212</f>
        <v>33547.613749999997</v>
      </c>
      <c r="H211" s="44">
        <f>'B) D RI'!T212</f>
        <v>1627164.0699999996</v>
      </c>
      <c r="I211" s="10">
        <f t="shared" si="22"/>
        <v>58113.002499999988</v>
      </c>
      <c r="J211" s="34">
        <f t="shared" si="23"/>
        <v>44900.67838087961</v>
      </c>
      <c r="K211" s="10">
        <f t="shared" si="19"/>
        <v>44900.67838087961</v>
      </c>
      <c r="L211" s="10">
        <f t="shared" si="24"/>
        <v>0</v>
      </c>
      <c r="M211" s="10">
        <f>'D) Ecrêtage'!M210</f>
        <v>31889.468936866939</v>
      </c>
      <c r="N211" s="10">
        <f t="shared" si="20"/>
        <v>40830.409502163871</v>
      </c>
      <c r="O211" s="67">
        <f t="shared" si="21"/>
        <v>85731.087883043481</v>
      </c>
      <c r="P211" s="315"/>
      <c r="Q211" s="316"/>
      <c r="R211" s="312"/>
      <c r="S211" s="312"/>
      <c r="T211" s="317"/>
    </row>
    <row r="212" spans="1:20" s="311" customFormat="1" x14ac:dyDescent="0.25">
      <c r="A212" s="324">
        <f>'A) Base RI'!A213</f>
        <v>5729</v>
      </c>
      <c r="B212" s="324" t="str">
        <f>'A) Base RI'!B213</f>
        <v>Tannay</v>
      </c>
      <c r="C212" s="383">
        <v>0</v>
      </c>
      <c r="D212" s="313">
        <f>'B) D RI'!AR213</f>
        <v>1430</v>
      </c>
      <c r="E212" s="314">
        <f>'B) D RI'!S213</f>
        <v>61</v>
      </c>
      <c r="F212" s="10">
        <f>'B) D RI'!R213</f>
        <v>8639776.2666666657</v>
      </c>
      <c r="G212" s="10">
        <f>'B) D RI'!U213</f>
        <v>141635.67650273221</v>
      </c>
      <c r="H212" s="44">
        <f>'B) D RI'!T213</f>
        <v>8116503.9999999991</v>
      </c>
      <c r="I212" s="10">
        <f t="shared" si="22"/>
        <v>266114.88524590159</v>
      </c>
      <c r="J212" s="34">
        <f t="shared" si="23"/>
        <v>124434.05055166248</v>
      </c>
      <c r="K212" s="10">
        <f t="shared" si="19"/>
        <v>124434.05055166248</v>
      </c>
      <c r="L212" s="10">
        <f t="shared" si="24"/>
        <v>0</v>
      </c>
      <c r="M212" s="10">
        <f>'D) Ecrêtage'!M211</f>
        <v>114587.61782706507</v>
      </c>
      <c r="N212" s="10">
        <f t="shared" si="20"/>
        <v>146714.87220496143</v>
      </c>
      <c r="O212" s="67">
        <f t="shared" si="21"/>
        <v>271148.92275662394</v>
      </c>
      <c r="P212" s="315"/>
      <c r="Q212" s="316"/>
      <c r="R212" s="312"/>
      <c r="S212" s="312"/>
      <c r="T212" s="317"/>
    </row>
    <row r="213" spans="1:20" s="311" customFormat="1" x14ac:dyDescent="0.25">
      <c r="A213" s="324">
        <f>'A) Base RI'!A214</f>
        <v>5730</v>
      </c>
      <c r="B213" s="324" t="str">
        <f>'A) Base RI'!B214</f>
        <v>Trélex</v>
      </c>
      <c r="C213" s="383">
        <v>0</v>
      </c>
      <c r="D213" s="313">
        <f>'B) D RI'!AR214</f>
        <v>1414</v>
      </c>
      <c r="E213" s="314">
        <f>'B) D RI'!S214</f>
        <v>57</v>
      </c>
      <c r="F213" s="10">
        <f>'B) D RI'!R214</f>
        <v>7134540.9588888893</v>
      </c>
      <c r="G213" s="10">
        <f>'B) D RI'!U214</f>
        <v>125167.38524366473</v>
      </c>
      <c r="H213" s="44">
        <f>'B) D RI'!T214</f>
        <v>6676851.0700000003</v>
      </c>
      <c r="I213" s="10">
        <f t="shared" si="22"/>
        <v>234275.47614035089</v>
      </c>
      <c r="J213" s="34">
        <f t="shared" si="23"/>
        <v>123041.78145458095</v>
      </c>
      <c r="K213" s="10">
        <f t="shared" si="19"/>
        <v>123041.78145458095</v>
      </c>
      <c r="L213" s="10">
        <f t="shared" si="24"/>
        <v>0</v>
      </c>
      <c r="M213" s="10">
        <f>'D) Ecrêtage'!M212</f>
        <v>106055.30707067228</v>
      </c>
      <c r="N213" s="10">
        <f t="shared" si="20"/>
        <v>135790.33335883217</v>
      </c>
      <c r="O213" s="67">
        <f t="shared" si="21"/>
        <v>258832.11481341312</v>
      </c>
      <c r="P213" s="315"/>
      <c r="Q213" s="316"/>
      <c r="R213" s="312"/>
      <c r="S213" s="312"/>
      <c r="T213" s="317"/>
    </row>
    <row r="214" spans="1:20" s="311" customFormat="1" x14ac:dyDescent="0.25">
      <c r="A214" s="324">
        <f>'A) Base RI'!A215</f>
        <v>5731</v>
      </c>
      <c r="B214" s="324" t="str">
        <f>'A) Base RI'!B215</f>
        <v>Le Vaud</v>
      </c>
      <c r="C214" s="383">
        <v>0</v>
      </c>
      <c r="D214" s="313">
        <f>'B) D RI'!AR215</f>
        <v>1260</v>
      </c>
      <c r="E214" s="314">
        <f>'B) D RI'!S215</f>
        <v>75</v>
      </c>
      <c r="F214" s="10">
        <f>'B) D RI'!R215</f>
        <v>3545023.0599999991</v>
      </c>
      <c r="G214" s="10">
        <f>'B) D RI'!U215</f>
        <v>47266.974133333322</v>
      </c>
      <c r="H214" s="44">
        <f>'B) D RI'!T215</f>
        <v>3304539.1599999992</v>
      </c>
      <c r="I214" s="10">
        <f t="shared" si="22"/>
        <v>88121.044266666649</v>
      </c>
      <c r="J214" s="34">
        <f t="shared" si="23"/>
        <v>109641.19139517115</v>
      </c>
      <c r="K214" s="10">
        <f t="shared" si="19"/>
        <v>88121.044266666649</v>
      </c>
      <c r="L214" s="10">
        <f t="shared" si="24"/>
        <v>21520.147128504497</v>
      </c>
      <c r="M214" s="10">
        <f>'D) Ecrêtage'!M213</f>
        <v>47266.974133333322</v>
      </c>
      <c r="N214" s="10">
        <f t="shared" si="20"/>
        <v>60519.349306598946</v>
      </c>
      <c r="O214" s="67">
        <f t="shared" si="21"/>
        <v>148640.39357326558</v>
      </c>
      <c r="P214" s="315"/>
      <c r="Q214" s="316"/>
      <c r="R214" s="312"/>
      <c r="S214" s="312"/>
      <c r="T214" s="317"/>
    </row>
    <row r="215" spans="1:20" s="311" customFormat="1" x14ac:dyDescent="0.25">
      <c r="A215" s="324">
        <f>'A) Base RI'!A216</f>
        <v>5732</v>
      </c>
      <c r="B215" s="324" t="str">
        <f>'A) Base RI'!B216</f>
        <v>Vich</v>
      </c>
      <c r="C215" s="383">
        <v>0</v>
      </c>
      <c r="D215" s="313">
        <f>'B) D RI'!AR216</f>
        <v>958</v>
      </c>
      <c r="E215" s="314">
        <f>'B) D RI'!S216</f>
        <v>68</v>
      </c>
      <c r="F215" s="10">
        <f>'B) D RI'!R216</f>
        <v>5191379.6400000006</v>
      </c>
      <c r="G215" s="10">
        <f>'B) D RI'!U216</f>
        <v>76343.818235294122</v>
      </c>
      <c r="H215" s="44">
        <f>'B) D RI'!T216</f>
        <v>4994892.4400000004</v>
      </c>
      <c r="I215" s="10">
        <f t="shared" si="22"/>
        <v>146908.60117647061</v>
      </c>
      <c r="J215" s="34">
        <f t="shared" si="23"/>
        <v>83362.112187757113</v>
      </c>
      <c r="K215" s="10">
        <f t="shared" si="19"/>
        <v>83362.112187757113</v>
      </c>
      <c r="L215" s="10">
        <f t="shared" si="24"/>
        <v>0</v>
      </c>
      <c r="M215" s="10">
        <f>'D) Ecrêtage'!M214</f>
        <v>67286.05253974018</v>
      </c>
      <c r="N215" s="10">
        <f t="shared" si="20"/>
        <v>86151.233324728484</v>
      </c>
      <c r="O215" s="67">
        <f t="shared" si="21"/>
        <v>169513.3455124856</v>
      </c>
      <c r="P215" s="315"/>
      <c r="Q215" s="316"/>
      <c r="R215" s="312"/>
      <c r="S215" s="312"/>
      <c r="T215" s="317"/>
    </row>
    <row r="216" spans="1:20" s="311" customFormat="1" x14ac:dyDescent="0.25">
      <c r="A216" s="324">
        <f>'A) Base RI'!A217</f>
        <v>5741</v>
      </c>
      <c r="B216" s="324" t="str">
        <f>'A) Base RI'!B217</f>
        <v>L'Abergement</v>
      </c>
      <c r="C216" s="383">
        <v>0</v>
      </c>
      <c r="D216" s="313">
        <f>'B) D RI'!AR217</f>
        <v>240</v>
      </c>
      <c r="E216" s="314">
        <f>'B) D RI'!S217</f>
        <v>81</v>
      </c>
      <c r="F216" s="10">
        <f>'B) D RI'!R217</f>
        <v>524425.23166666669</v>
      </c>
      <c r="G216" s="10">
        <f>'B) D RI'!U217</f>
        <v>6474.3855761316872</v>
      </c>
      <c r="H216" s="44">
        <f>'B) D RI'!T217</f>
        <v>488353.69</v>
      </c>
      <c r="I216" s="10">
        <f t="shared" si="22"/>
        <v>12058.115802469136</v>
      </c>
      <c r="J216" s="34">
        <f t="shared" si="23"/>
        <v>20884.036456223075</v>
      </c>
      <c r="K216" s="10">
        <f t="shared" si="19"/>
        <v>12058.115802469136</v>
      </c>
      <c r="L216" s="10">
        <f t="shared" si="24"/>
        <v>8825.9206537539394</v>
      </c>
      <c r="M216" s="10">
        <f>'D) Ecrêtage'!M215</f>
        <v>6474.3855761316872</v>
      </c>
      <c r="N216" s="10">
        <f t="shared" si="20"/>
        <v>8289.6273648115457</v>
      </c>
      <c r="O216" s="67">
        <f t="shared" si="21"/>
        <v>20347.743167280682</v>
      </c>
      <c r="P216" s="315"/>
      <c r="Q216" s="316"/>
      <c r="R216" s="312"/>
      <c r="S216" s="312"/>
      <c r="T216" s="317"/>
    </row>
    <row r="217" spans="1:20" s="311" customFormat="1" x14ac:dyDescent="0.25">
      <c r="A217" s="324">
        <f>'A) Base RI'!A218</f>
        <v>5742</v>
      </c>
      <c r="B217" s="324" t="str">
        <f>'A) Base RI'!B218</f>
        <v>Agiez</v>
      </c>
      <c r="C217" s="383">
        <v>0</v>
      </c>
      <c r="D217" s="313">
        <f>'B) D RI'!AR218</f>
        <v>293</v>
      </c>
      <c r="E217" s="314">
        <f>'B) D RI'!S218</f>
        <v>76</v>
      </c>
      <c r="F217" s="10">
        <f>'B) D RI'!R218</f>
        <v>638857.67999999993</v>
      </c>
      <c r="G217" s="10">
        <f>'B) D RI'!U218</f>
        <v>8406.0221052631568</v>
      </c>
      <c r="H217" s="44">
        <f>'B) D RI'!T218</f>
        <v>591253.07999999996</v>
      </c>
      <c r="I217" s="10">
        <f t="shared" si="22"/>
        <v>15559.291578947368</v>
      </c>
      <c r="J217" s="34">
        <f t="shared" si="23"/>
        <v>25495.927840305671</v>
      </c>
      <c r="K217" s="10">
        <f t="shared" si="19"/>
        <v>15559.291578947368</v>
      </c>
      <c r="L217" s="10">
        <f t="shared" si="24"/>
        <v>9936.6362613583024</v>
      </c>
      <c r="M217" s="10">
        <f>'D) Ecrêtage'!M216</f>
        <v>8406.0221052631568</v>
      </c>
      <c r="N217" s="10">
        <f t="shared" si="20"/>
        <v>10762.842288832953</v>
      </c>
      <c r="O217" s="67">
        <f t="shared" si="21"/>
        <v>26322.133867780321</v>
      </c>
      <c r="P217" s="315"/>
      <c r="Q217" s="316"/>
      <c r="R217" s="312"/>
      <c r="S217" s="312"/>
      <c r="T217" s="317"/>
    </row>
    <row r="218" spans="1:20" s="311" customFormat="1" x14ac:dyDescent="0.25">
      <c r="A218" s="324">
        <f>'A) Base RI'!A219</f>
        <v>5743</v>
      </c>
      <c r="B218" s="324" t="str">
        <f>'A) Base RI'!B219</f>
        <v>Arnex-sur-Orbe</v>
      </c>
      <c r="C218" s="383">
        <v>0</v>
      </c>
      <c r="D218" s="313">
        <f>'B) D RI'!AR219</f>
        <v>632</v>
      </c>
      <c r="E218" s="314">
        <f>'B) D RI'!S219</f>
        <v>73</v>
      </c>
      <c r="F218" s="10">
        <f>'B) D RI'!R219</f>
        <v>1179483.6950000003</v>
      </c>
      <c r="G218" s="10">
        <f>'B) D RI'!U219</f>
        <v>16157.310890410963</v>
      </c>
      <c r="H218" s="44">
        <f>'B) D RI'!T219</f>
        <v>1102396.5700000003</v>
      </c>
      <c r="I218" s="10">
        <f t="shared" si="22"/>
        <v>30202.645753424666</v>
      </c>
      <c r="J218" s="34">
        <f t="shared" si="23"/>
        <v>54994.629334720768</v>
      </c>
      <c r="K218" s="10">
        <f t="shared" si="19"/>
        <v>30202.645753424666</v>
      </c>
      <c r="L218" s="10">
        <f t="shared" si="24"/>
        <v>24791.983581296103</v>
      </c>
      <c r="M218" s="10">
        <f>'D) Ecrêtage'!M217</f>
        <v>16157.310890410963</v>
      </c>
      <c r="N218" s="10">
        <f t="shared" si="20"/>
        <v>20687.381825495726</v>
      </c>
      <c r="O218" s="67">
        <f t="shared" si="21"/>
        <v>50890.027578920388</v>
      </c>
      <c r="P218" s="315"/>
      <c r="Q218" s="316"/>
      <c r="R218" s="312"/>
      <c r="S218" s="312"/>
      <c r="T218" s="317"/>
    </row>
    <row r="219" spans="1:20" s="311" customFormat="1" x14ac:dyDescent="0.25">
      <c r="A219" s="324">
        <f>'A) Base RI'!A220</f>
        <v>5744</v>
      </c>
      <c r="B219" s="324" t="str">
        <f>'A) Base RI'!B220</f>
        <v>Ballaigues</v>
      </c>
      <c r="C219" s="383">
        <v>0</v>
      </c>
      <c r="D219" s="313">
        <f>'B) D RI'!AR220</f>
        <v>1101</v>
      </c>
      <c r="E219" s="314">
        <f>'B) D RI'!S220</f>
        <v>66</v>
      </c>
      <c r="F219" s="10">
        <f>'B) D RI'!R220</f>
        <v>4479868.8100000005</v>
      </c>
      <c r="G219" s="10">
        <f>'B) D RI'!U220</f>
        <v>67876.800151515155</v>
      </c>
      <c r="H219" s="44">
        <f>'B) D RI'!T220</f>
        <v>4322284.7600000007</v>
      </c>
      <c r="I219" s="10">
        <f t="shared" si="22"/>
        <v>130978.32606060608</v>
      </c>
      <c r="J219" s="34">
        <f t="shared" si="23"/>
        <v>95805.517242923364</v>
      </c>
      <c r="K219" s="10">
        <f t="shared" si="19"/>
        <v>95805.517242923364</v>
      </c>
      <c r="L219" s="10">
        <f t="shared" si="24"/>
        <v>0</v>
      </c>
      <c r="M219" s="10">
        <f>'D) Ecrêtage'!M218</f>
        <v>65672.382226214861</v>
      </c>
      <c r="N219" s="10">
        <f t="shared" si="20"/>
        <v>84085.133703152373</v>
      </c>
      <c r="O219" s="67">
        <f t="shared" si="21"/>
        <v>179890.65094607574</v>
      </c>
      <c r="P219" s="315"/>
      <c r="Q219" s="316"/>
      <c r="R219" s="312"/>
      <c r="S219" s="312"/>
      <c r="T219" s="317"/>
    </row>
    <row r="220" spans="1:20" s="311" customFormat="1" x14ac:dyDescent="0.25">
      <c r="A220" s="324">
        <f>'A) Base RI'!A221</f>
        <v>5745</v>
      </c>
      <c r="B220" s="324" t="str">
        <f>'A) Base RI'!B221</f>
        <v>Baulmes</v>
      </c>
      <c r="C220" s="383">
        <v>0</v>
      </c>
      <c r="D220" s="313">
        <f>'B) D RI'!AR221</f>
        <v>1055</v>
      </c>
      <c r="E220" s="314">
        <f>'B) D RI'!S221</f>
        <v>78</v>
      </c>
      <c r="F220" s="10">
        <f>'B) D RI'!R221</f>
        <v>2083243.05</v>
      </c>
      <c r="G220" s="10">
        <f>'B) D RI'!U221</f>
        <v>26708.244230769233</v>
      </c>
      <c r="H220" s="44">
        <f>'B) D RI'!T221</f>
        <v>1961413.75</v>
      </c>
      <c r="I220" s="10">
        <f t="shared" si="22"/>
        <v>50292.660256410258</v>
      </c>
      <c r="J220" s="34">
        <f t="shared" si="23"/>
        <v>91802.74358881393</v>
      </c>
      <c r="K220" s="10">
        <f t="shared" si="19"/>
        <v>50292.660256410258</v>
      </c>
      <c r="L220" s="10">
        <f t="shared" si="24"/>
        <v>41510.083332403672</v>
      </c>
      <c r="M220" s="10">
        <f>'D) Ecrêtage'!M219</f>
        <v>26708.244230769233</v>
      </c>
      <c r="N220" s="10">
        <f t="shared" si="20"/>
        <v>34196.510176605443</v>
      </c>
      <c r="O220" s="67">
        <f t="shared" si="21"/>
        <v>84489.170433015708</v>
      </c>
      <c r="P220" s="315"/>
      <c r="Q220" s="316"/>
      <c r="R220" s="312"/>
      <c r="S220" s="312"/>
      <c r="T220" s="317"/>
    </row>
    <row r="221" spans="1:20" s="311" customFormat="1" x14ac:dyDescent="0.25">
      <c r="A221" s="324">
        <f>'A) Base RI'!A222</f>
        <v>5746</v>
      </c>
      <c r="B221" s="324" t="str">
        <f>'A) Base RI'!B222</f>
        <v>Bavois</v>
      </c>
      <c r="C221" s="383">
        <v>0</v>
      </c>
      <c r="D221" s="313">
        <f>'B) D RI'!AR222</f>
        <v>939</v>
      </c>
      <c r="E221" s="314">
        <f>'B) D RI'!S222</f>
        <v>73</v>
      </c>
      <c r="F221" s="10">
        <f>'B) D RI'!R222</f>
        <v>1940028.6566666667</v>
      </c>
      <c r="G221" s="10">
        <f>'B) D RI'!U222</f>
        <v>26575.73502283105</v>
      </c>
      <c r="H221" s="44">
        <f>'B) D RI'!T222</f>
        <v>1781813.49</v>
      </c>
      <c r="I221" s="10">
        <f t="shared" si="22"/>
        <v>48816.807945205481</v>
      </c>
      <c r="J221" s="34">
        <f t="shared" si="23"/>
        <v>81708.792634972779</v>
      </c>
      <c r="K221" s="10">
        <f t="shared" si="19"/>
        <v>48816.807945205481</v>
      </c>
      <c r="L221" s="10">
        <f t="shared" si="24"/>
        <v>32891.984689767298</v>
      </c>
      <c r="M221" s="10">
        <f>'D) Ecrêtage'!M220</f>
        <v>26575.73502283105</v>
      </c>
      <c r="N221" s="10">
        <f t="shared" si="20"/>
        <v>34026.848987401114</v>
      </c>
      <c r="O221" s="67">
        <f t="shared" si="21"/>
        <v>82843.656932606595</v>
      </c>
      <c r="P221" s="315"/>
      <c r="Q221" s="316"/>
      <c r="R221" s="312"/>
      <c r="S221" s="312"/>
      <c r="T221" s="317"/>
    </row>
    <row r="222" spans="1:20" s="311" customFormat="1" x14ac:dyDescent="0.25">
      <c r="A222" s="324">
        <f>'A) Base RI'!A223</f>
        <v>5747</v>
      </c>
      <c r="B222" s="324" t="str">
        <f>'A) Base RI'!B223</f>
        <v>Bofflens</v>
      </c>
      <c r="C222" s="383">
        <v>0</v>
      </c>
      <c r="D222" s="313">
        <f>'B) D RI'!AR223</f>
        <v>188</v>
      </c>
      <c r="E222" s="314">
        <f>'B) D RI'!S223</f>
        <v>69</v>
      </c>
      <c r="F222" s="10">
        <f>'B) D RI'!R223</f>
        <v>366239.93</v>
      </c>
      <c r="G222" s="10">
        <f>'B) D RI'!U223</f>
        <v>5307.8250724637683</v>
      </c>
      <c r="H222" s="44">
        <f>'B) D RI'!T223</f>
        <v>340172.23</v>
      </c>
      <c r="I222" s="10">
        <f t="shared" si="22"/>
        <v>9860.0646376811583</v>
      </c>
      <c r="J222" s="34">
        <f t="shared" si="23"/>
        <v>16359.161890708076</v>
      </c>
      <c r="K222" s="10">
        <f t="shared" si="19"/>
        <v>9860.0646376811583</v>
      </c>
      <c r="L222" s="10">
        <f t="shared" si="24"/>
        <v>6499.0972530269173</v>
      </c>
      <c r="M222" s="10">
        <f>'D) Ecrêtage'!M221</f>
        <v>5307.8250724637683</v>
      </c>
      <c r="N222" s="10">
        <f t="shared" si="20"/>
        <v>6795.9949945732951</v>
      </c>
      <c r="O222" s="67">
        <f t="shared" si="21"/>
        <v>16656.059632254452</v>
      </c>
      <c r="P222" s="315"/>
      <c r="Q222" s="316"/>
      <c r="R222" s="312"/>
      <c r="S222" s="312"/>
      <c r="T222" s="317"/>
    </row>
    <row r="223" spans="1:20" s="311" customFormat="1" x14ac:dyDescent="0.25">
      <c r="A223" s="324">
        <f>'A) Base RI'!A224</f>
        <v>5748</v>
      </c>
      <c r="B223" s="324" t="str">
        <f>'A) Base RI'!B224</f>
        <v>Bretonnières</v>
      </c>
      <c r="C223" s="383">
        <v>0</v>
      </c>
      <c r="D223" s="313">
        <f>'B) D RI'!AR224</f>
        <v>258</v>
      </c>
      <c r="E223" s="314">
        <f>'B) D RI'!S224</f>
        <v>72</v>
      </c>
      <c r="F223" s="10">
        <f>'B) D RI'!R224</f>
        <v>522791.37999999995</v>
      </c>
      <c r="G223" s="10">
        <f>'B) D RI'!U224</f>
        <v>7260.9913888888877</v>
      </c>
      <c r="H223" s="44">
        <f>'B) D RI'!T224</f>
        <v>488031.37999999995</v>
      </c>
      <c r="I223" s="10">
        <f t="shared" si="22"/>
        <v>13556.427222222221</v>
      </c>
      <c r="J223" s="34">
        <f t="shared" si="23"/>
        <v>22450.339190439805</v>
      </c>
      <c r="K223" s="10">
        <f t="shared" si="19"/>
        <v>13556.427222222221</v>
      </c>
      <c r="L223" s="10">
        <f t="shared" si="24"/>
        <v>8893.9119682175842</v>
      </c>
      <c r="M223" s="10">
        <f>'D) Ecrêtage'!M222</f>
        <v>7260.9913888888877</v>
      </c>
      <c r="N223" s="10">
        <f t="shared" si="20"/>
        <v>9296.7760732219413</v>
      </c>
      <c r="O223" s="67">
        <f t="shared" si="21"/>
        <v>22853.20329544416</v>
      </c>
      <c r="P223" s="315"/>
      <c r="Q223" s="316"/>
      <c r="R223" s="312"/>
      <c r="S223" s="312"/>
      <c r="T223" s="317"/>
    </row>
    <row r="224" spans="1:20" s="311" customFormat="1" x14ac:dyDescent="0.25">
      <c r="A224" s="324">
        <f>'A) Base RI'!A225</f>
        <v>5749</v>
      </c>
      <c r="B224" s="324" t="str">
        <f>'A) Base RI'!B225</f>
        <v>Chavornay</v>
      </c>
      <c r="C224" s="383">
        <v>0</v>
      </c>
      <c r="D224" s="313">
        <f>'B) D RI'!AR225</f>
        <v>4293</v>
      </c>
      <c r="E224" s="314">
        <f>'B) D RI'!S225</f>
        <v>72</v>
      </c>
      <c r="F224" s="10">
        <f>'B) D RI'!R225</f>
        <v>8632079.1100000013</v>
      </c>
      <c r="G224" s="10">
        <f>'B) D RI'!U225</f>
        <v>119889.98763888891</v>
      </c>
      <c r="H224" s="44">
        <f>'B) D RI'!T225</f>
        <v>7953547.0100000007</v>
      </c>
      <c r="I224" s="10">
        <f t="shared" si="22"/>
        <v>220931.86138888891</v>
      </c>
      <c r="J224" s="34">
        <f t="shared" si="23"/>
        <v>373563.20211069024</v>
      </c>
      <c r="K224" s="10">
        <f t="shared" si="19"/>
        <v>220931.86138888891</v>
      </c>
      <c r="L224" s="10">
        <f t="shared" si="24"/>
        <v>152631.34072180133</v>
      </c>
      <c r="M224" s="10">
        <f>'D) Ecrêtage'!M223</f>
        <v>119889.98763888891</v>
      </c>
      <c r="N224" s="10">
        <f t="shared" si="20"/>
        <v>153503.88243204579</v>
      </c>
      <c r="O224" s="67">
        <f t="shared" si="21"/>
        <v>374435.74382093467</v>
      </c>
      <c r="P224" s="315"/>
      <c r="Q224" s="316"/>
      <c r="R224" s="312"/>
      <c r="S224" s="312"/>
      <c r="T224" s="317"/>
    </row>
    <row r="225" spans="1:20" s="311" customFormat="1" x14ac:dyDescent="0.25">
      <c r="A225" s="324">
        <f>'A) Base RI'!A226</f>
        <v>5750</v>
      </c>
      <c r="B225" s="324" t="str">
        <f>'A) Base RI'!B226</f>
        <v>Les Clées</v>
      </c>
      <c r="C225" s="383">
        <v>0</v>
      </c>
      <c r="D225" s="313">
        <f>'B) D RI'!AR226</f>
        <v>176</v>
      </c>
      <c r="E225" s="314">
        <f>'B) D RI'!S226</f>
        <v>80</v>
      </c>
      <c r="F225" s="10">
        <f>'B) D RI'!R226</f>
        <v>383205.8233333333</v>
      </c>
      <c r="G225" s="10">
        <f>'B) D RI'!U226</f>
        <v>4790.0727916666665</v>
      </c>
      <c r="H225" s="44">
        <f>'B) D RI'!T226</f>
        <v>361348.24</v>
      </c>
      <c r="I225" s="10">
        <f t="shared" si="22"/>
        <v>9033.7060000000001</v>
      </c>
      <c r="J225" s="34">
        <f t="shared" si="23"/>
        <v>15314.960067896922</v>
      </c>
      <c r="K225" s="10">
        <f t="shared" si="19"/>
        <v>9033.7060000000001</v>
      </c>
      <c r="L225" s="10">
        <f t="shared" si="24"/>
        <v>6281.2540678969217</v>
      </c>
      <c r="M225" s="10">
        <f>'D) Ecrêtage'!M224</f>
        <v>4790.0727916666665</v>
      </c>
      <c r="N225" s="10">
        <f t="shared" si="20"/>
        <v>6133.0790429945173</v>
      </c>
      <c r="O225" s="67">
        <f t="shared" si="21"/>
        <v>15166.785042994517</v>
      </c>
      <c r="P225" s="315"/>
      <c r="Q225" s="316"/>
      <c r="R225" s="312"/>
      <c r="S225" s="312"/>
      <c r="T225" s="317"/>
    </row>
    <row r="226" spans="1:20" s="311" customFormat="1" x14ac:dyDescent="0.25">
      <c r="A226" s="324">
        <f>'A) Base RI'!A227</f>
        <v>5751</v>
      </c>
      <c r="B226" s="324" t="str">
        <f>'A) Base RI'!B227</f>
        <v>Corcelles-sur-Chavornay</v>
      </c>
      <c r="C226" s="383">
        <v>1</v>
      </c>
      <c r="D226" s="313">
        <f>'B) D RI'!AR227</f>
        <v>354</v>
      </c>
      <c r="E226" s="314">
        <f>'B) D RI'!S227</f>
        <v>76</v>
      </c>
      <c r="F226" s="10">
        <f>'B) D RI'!R227</f>
        <v>666721.30999999994</v>
      </c>
      <c r="G226" s="10">
        <f>'B) D RI'!U227</f>
        <v>8772.6488157894728</v>
      </c>
      <c r="H226" s="44">
        <f>'B) D RI'!T227</f>
        <v>620071.56999999995</v>
      </c>
      <c r="I226" s="10">
        <f t="shared" si="22"/>
        <v>16317.672894736841</v>
      </c>
      <c r="J226" s="34">
        <f t="shared" si="23"/>
        <v>30803.953772929035</v>
      </c>
      <c r="K226" s="10">
        <f t="shared" si="19"/>
        <v>0</v>
      </c>
      <c r="L226" s="10">
        <f t="shared" si="24"/>
        <v>30803.953772929035</v>
      </c>
      <c r="M226" s="10">
        <f>'D) Ecrêtage'!M225</f>
        <v>8772.6488157894728</v>
      </c>
      <c r="N226" s="10">
        <f t="shared" si="20"/>
        <v>11232.261166734515</v>
      </c>
      <c r="O226" s="67">
        <f t="shared" si="21"/>
        <v>11232.261166734515</v>
      </c>
      <c r="P226" s="315"/>
      <c r="Q226" s="316"/>
      <c r="R226" s="312"/>
      <c r="S226" s="312"/>
      <c r="T226" s="317"/>
    </row>
    <row r="227" spans="1:20" s="311" customFormat="1" x14ac:dyDescent="0.25">
      <c r="A227" s="324">
        <f>'A) Base RI'!A228</f>
        <v>5752</v>
      </c>
      <c r="B227" s="324" t="str">
        <f>'A) Base RI'!B228</f>
        <v>Croy</v>
      </c>
      <c r="C227" s="383">
        <v>0</v>
      </c>
      <c r="D227" s="313">
        <f>'B) D RI'!AR228</f>
        <v>344</v>
      </c>
      <c r="E227" s="314">
        <f>'B) D RI'!S228</f>
        <v>74</v>
      </c>
      <c r="F227" s="10">
        <f>'B) D RI'!R228</f>
        <v>681799.45285714266</v>
      </c>
      <c r="G227" s="10">
        <f>'B) D RI'!U228</f>
        <v>9213.5061196911174</v>
      </c>
      <c r="H227" s="44">
        <f>'B) D RI'!T228</f>
        <v>637507.10999999987</v>
      </c>
      <c r="I227" s="10">
        <f t="shared" si="22"/>
        <v>17229.921891891889</v>
      </c>
      <c r="J227" s="34">
        <f t="shared" si="23"/>
        <v>29933.785587253074</v>
      </c>
      <c r="K227" s="10">
        <f t="shared" si="19"/>
        <v>17229.921891891889</v>
      </c>
      <c r="L227" s="10">
        <f t="shared" si="24"/>
        <v>12703.863695361186</v>
      </c>
      <c r="M227" s="10">
        <f>'D) Ecrêtage'!M226</f>
        <v>9213.5061196911174</v>
      </c>
      <c r="N227" s="10">
        <f t="shared" si="20"/>
        <v>11796.722879344414</v>
      </c>
      <c r="O227" s="67">
        <f t="shared" si="21"/>
        <v>29026.644771236301</v>
      </c>
      <c r="P227" s="315"/>
      <c r="Q227" s="316"/>
      <c r="R227" s="312"/>
      <c r="S227" s="312"/>
      <c r="T227" s="317"/>
    </row>
    <row r="228" spans="1:20" s="311" customFormat="1" x14ac:dyDescent="0.25">
      <c r="A228" s="324">
        <f>'A) Base RI'!A229</f>
        <v>5754</v>
      </c>
      <c r="B228" s="324" t="str">
        <f>'A) Base RI'!B229</f>
        <v>Juriens</v>
      </c>
      <c r="C228" s="383">
        <v>0</v>
      </c>
      <c r="D228" s="313">
        <f>'B) D RI'!AR229</f>
        <v>302</v>
      </c>
      <c r="E228" s="314">
        <f>'B) D RI'!S229</f>
        <v>79</v>
      </c>
      <c r="F228" s="10">
        <f>'B) D RI'!R229</f>
        <v>569002.66</v>
      </c>
      <c r="G228" s="10">
        <f>'B) D RI'!U229</f>
        <v>7202.565316455697</v>
      </c>
      <c r="H228" s="44">
        <f>'B) D RI'!T229</f>
        <v>531444.56000000006</v>
      </c>
      <c r="I228" s="10">
        <f t="shared" si="22"/>
        <v>13454.292658227849</v>
      </c>
      <c r="J228" s="34">
        <f t="shared" si="23"/>
        <v>26279.079207414037</v>
      </c>
      <c r="K228" s="10">
        <f t="shared" si="19"/>
        <v>13454.292658227849</v>
      </c>
      <c r="L228" s="10">
        <f t="shared" si="24"/>
        <v>12824.786549186188</v>
      </c>
      <c r="M228" s="10">
        <f>'D) Ecrêtage'!M227</f>
        <v>7202.565316455697</v>
      </c>
      <c r="N228" s="10">
        <f t="shared" si="20"/>
        <v>9221.9689176756056</v>
      </c>
      <c r="O228" s="67">
        <f t="shared" si="21"/>
        <v>22676.261575903452</v>
      </c>
      <c r="P228" s="315"/>
      <c r="Q228" s="316"/>
      <c r="R228" s="312"/>
      <c r="S228" s="312"/>
      <c r="T228" s="317"/>
    </row>
    <row r="229" spans="1:20" s="311" customFormat="1" x14ac:dyDescent="0.25">
      <c r="A229" s="324">
        <f>'A) Base RI'!A230</f>
        <v>5755</v>
      </c>
      <c r="B229" s="324" t="str">
        <f>'A) Base RI'!B230</f>
        <v>Lignerolle</v>
      </c>
      <c r="C229" s="383">
        <v>0</v>
      </c>
      <c r="D229" s="313">
        <f>'B) D RI'!AR230</f>
        <v>405</v>
      </c>
      <c r="E229" s="314">
        <f>'B) D RI'!S230</f>
        <v>80</v>
      </c>
      <c r="F229" s="10">
        <f>'B) D RI'!R230</f>
        <v>729295.83285714278</v>
      </c>
      <c r="G229" s="10">
        <f>'B) D RI'!U230</f>
        <v>9116.1979107142852</v>
      </c>
      <c r="H229" s="44">
        <f>'B) D RI'!T230</f>
        <v>678105.69</v>
      </c>
      <c r="I229" s="10">
        <f t="shared" si="22"/>
        <v>16952.642249999997</v>
      </c>
      <c r="J229" s="34">
        <f t="shared" si="23"/>
        <v>35241.811519876443</v>
      </c>
      <c r="K229" s="10">
        <f t="shared" si="19"/>
        <v>16952.642249999997</v>
      </c>
      <c r="L229" s="10">
        <f t="shared" si="24"/>
        <v>18289.169269876445</v>
      </c>
      <c r="M229" s="10">
        <f>'D) Ecrêtage'!M228</f>
        <v>9116.1979107142852</v>
      </c>
      <c r="N229" s="10">
        <f t="shared" si="20"/>
        <v>11672.132092702215</v>
      </c>
      <c r="O229" s="67">
        <f t="shared" si="21"/>
        <v>28624.774342702214</v>
      </c>
      <c r="P229" s="315"/>
      <c r="Q229" s="316"/>
      <c r="R229" s="312"/>
      <c r="S229" s="312"/>
      <c r="T229" s="317"/>
    </row>
    <row r="230" spans="1:20" s="311" customFormat="1" x14ac:dyDescent="0.25">
      <c r="A230" s="324">
        <f>'A) Base RI'!A231</f>
        <v>5756</v>
      </c>
      <c r="B230" s="324" t="str">
        <f>'A) Base RI'!B231</f>
        <v>Montcherand</v>
      </c>
      <c r="C230" s="383">
        <v>1</v>
      </c>
      <c r="D230" s="313">
        <f>'B) D RI'!AR231</f>
        <v>469</v>
      </c>
      <c r="E230" s="314">
        <f>'B) D RI'!S231</f>
        <v>72</v>
      </c>
      <c r="F230" s="10">
        <f>'B) D RI'!R231</f>
        <v>1054363.68</v>
      </c>
      <c r="G230" s="10">
        <f>'B) D RI'!U231</f>
        <v>14643.939999999999</v>
      </c>
      <c r="H230" s="44">
        <f>'B) D RI'!T231</f>
        <v>973307.28</v>
      </c>
      <c r="I230" s="10">
        <f t="shared" si="22"/>
        <v>27036.313333333335</v>
      </c>
      <c r="J230" s="34">
        <f t="shared" si="23"/>
        <v>40810.887908202596</v>
      </c>
      <c r="K230" s="10">
        <f t="shared" si="19"/>
        <v>0</v>
      </c>
      <c r="L230" s="10">
        <f t="shared" si="24"/>
        <v>40810.887908202596</v>
      </c>
      <c r="M230" s="10">
        <f>'D) Ecrêtage'!M229</f>
        <v>14643.939999999999</v>
      </c>
      <c r="N230" s="10">
        <f t="shared" si="20"/>
        <v>18749.702859863977</v>
      </c>
      <c r="O230" s="67">
        <f t="shared" si="21"/>
        <v>18749.702859863977</v>
      </c>
      <c r="P230" s="315"/>
      <c r="Q230" s="316"/>
      <c r="R230" s="312"/>
      <c r="S230" s="312"/>
      <c r="T230" s="317"/>
    </row>
    <row r="231" spans="1:20" s="311" customFormat="1" x14ac:dyDescent="0.25">
      <c r="A231" s="324">
        <f>'A) Base RI'!A232</f>
        <v>5757</v>
      </c>
      <c r="B231" s="324" t="str">
        <f>'A) Base RI'!B232</f>
        <v>Orbe</v>
      </c>
      <c r="C231" s="383">
        <v>1</v>
      </c>
      <c r="D231" s="313">
        <f>'B) D RI'!AR232</f>
        <v>6805</v>
      </c>
      <c r="E231" s="314">
        <f>'B) D RI'!S232</f>
        <v>74</v>
      </c>
      <c r="F231" s="10">
        <f>'B) D RI'!R232</f>
        <v>16239974.390000002</v>
      </c>
      <c r="G231" s="10">
        <f>'B) D RI'!U232</f>
        <v>219459.11337837842</v>
      </c>
      <c r="H231" s="44">
        <f>'B) D RI'!T232</f>
        <v>15056700.490000002</v>
      </c>
      <c r="I231" s="10">
        <f t="shared" si="22"/>
        <v>406937.85108108114</v>
      </c>
      <c r="J231" s="34">
        <f t="shared" si="23"/>
        <v>592149.45035249181</v>
      </c>
      <c r="K231" s="10">
        <f t="shared" si="19"/>
        <v>0</v>
      </c>
      <c r="L231" s="10">
        <f t="shared" si="24"/>
        <v>592149.45035249181</v>
      </c>
      <c r="M231" s="10">
        <f>'D) Ecrêtage'!M230</f>
        <v>219459.11337837842</v>
      </c>
      <c r="N231" s="10">
        <f t="shared" si="20"/>
        <v>280989.48546182213</v>
      </c>
      <c r="O231" s="67">
        <f t="shared" si="21"/>
        <v>280989.48546182213</v>
      </c>
      <c r="P231" s="315"/>
      <c r="Q231" s="316"/>
      <c r="R231" s="312"/>
      <c r="S231" s="312"/>
      <c r="T231" s="317"/>
    </row>
    <row r="232" spans="1:20" s="311" customFormat="1" x14ac:dyDescent="0.25">
      <c r="A232" s="324">
        <f>'A) Base RI'!A233</f>
        <v>5758</v>
      </c>
      <c r="B232" s="324" t="str">
        <f>'A) Base RI'!B233</f>
        <v>La Praz</v>
      </c>
      <c r="C232" s="383">
        <v>0</v>
      </c>
      <c r="D232" s="313">
        <f>'B) D RI'!AR233</f>
        <v>159</v>
      </c>
      <c r="E232" s="314">
        <f>'B) D RI'!S233</f>
        <v>83</v>
      </c>
      <c r="F232" s="10">
        <f>'B) D RI'!R233</f>
        <v>314792.58555555553</v>
      </c>
      <c r="G232" s="10">
        <f>'B) D RI'!U233</f>
        <v>3792.6817536813919</v>
      </c>
      <c r="H232" s="44">
        <f>'B) D RI'!T233</f>
        <v>290858.02999999997</v>
      </c>
      <c r="I232" s="10">
        <f t="shared" si="22"/>
        <v>7008.6272289156623</v>
      </c>
      <c r="J232" s="34">
        <f t="shared" si="23"/>
        <v>13835.674152247788</v>
      </c>
      <c r="K232" s="10">
        <f t="shared" si="19"/>
        <v>7008.6272289156623</v>
      </c>
      <c r="L232" s="10">
        <f t="shared" si="24"/>
        <v>6827.0469233321255</v>
      </c>
      <c r="M232" s="10">
        <f>'D) Ecrêtage'!M231</f>
        <v>3792.6817536813919</v>
      </c>
      <c r="N232" s="10">
        <f t="shared" si="20"/>
        <v>4856.0466598165476</v>
      </c>
      <c r="O232" s="67">
        <f t="shared" si="21"/>
        <v>11864.67388873221</v>
      </c>
      <c r="P232" s="315"/>
      <c r="Q232" s="316"/>
      <c r="R232" s="312"/>
      <c r="S232" s="312"/>
      <c r="T232" s="317"/>
    </row>
    <row r="233" spans="1:20" s="311" customFormat="1" x14ac:dyDescent="0.25">
      <c r="A233" s="324">
        <f>'A) Base RI'!A234</f>
        <v>5759</v>
      </c>
      <c r="B233" s="324" t="str">
        <f>'A) Base RI'!B234</f>
        <v>Premier</v>
      </c>
      <c r="C233" s="383">
        <v>0</v>
      </c>
      <c r="D233" s="313">
        <f>'B) D RI'!AR234</f>
        <v>196</v>
      </c>
      <c r="E233" s="314">
        <f>'B) D RI'!S234</f>
        <v>81</v>
      </c>
      <c r="F233" s="10">
        <f>'B) D RI'!R234</f>
        <v>379851.49</v>
      </c>
      <c r="G233" s="10">
        <f>'B) D RI'!U234</f>
        <v>4689.5245679012341</v>
      </c>
      <c r="H233" s="44">
        <f>'B) D RI'!T234</f>
        <v>353725.99</v>
      </c>
      <c r="I233" s="10">
        <f t="shared" si="22"/>
        <v>8733.9750617283953</v>
      </c>
      <c r="J233" s="34">
        <f t="shared" si="23"/>
        <v>17055.296439248843</v>
      </c>
      <c r="K233" s="10">
        <f t="shared" si="19"/>
        <v>8733.9750617283953</v>
      </c>
      <c r="L233" s="10">
        <f t="shared" si="24"/>
        <v>8321.3213775204476</v>
      </c>
      <c r="M233" s="10">
        <f>'D) Ecrêtage'!M232</f>
        <v>4689.5245679012341</v>
      </c>
      <c r="N233" s="10">
        <f t="shared" si="20"/>
        <v>6004.3398294571107</v>
      </c>
      <c r="O233" s="67">
        <f t="shared" si="21"/>
        <v>14738.314891185506</v>
      </c>
      <c r="P233" s="315"/>
      <c r="Q233" s="316"/>
      <c r="R233" s="312"/>
      <c r="S233" s="312"/>
      <c r="T233" s="317"/>
    </row>
    <row r="234" spans="1:20" s="311" customFormat="1" x14ac:dyDescent="0.25">
      <c r="A234" s="324">
        <f>'A) Base RI'!A235</f>
        <v>5760</v>
      </c>
      <c r="B234" s="324" t="str">
        <f>'A) Base RI'!B235</f>
        <v>Rances</v>
      </c>
      <c r="C234" s="383">
        <v>0</v>
      </c>
      <c r="D234" s="313">
        <f>'B) D RI'!AR235</f>
        <v>473</v>
      </c>
      <c r="E234" s="314">
        <f>'B) D RI'!S235</f>
        <v>78</v>
      </c>
      <c r="F234" s="10">
        <f>'B) D RI'!R235</f>
        <v>1031753.5466666666</v>
      </c>
      <c r="G234" s="10">
        <f>'B) D RI'!U235</f>
        <v>13227.609572649571</v>
      </c>
      <c r="H234" s="44">
        <f>'B) D RI'!T235</f>
        <v>967848.28</v>
      </c>
      <c r="I234" s="10">
        <f t="shared" si="22"/>
        <v>24816.622564102563</v>
      </c>
      <c r="J234" s="34">
        <f t="shared" si="23"/>
        <v>41158.955182472979</v>
      </c>
      <c r="K234" s="10">
        <f t="shared" si="19"/>
        <v>24816.622564102563</v>
      </c>
      <c r="L234" s="10">
        <f t="shared" si="24"/>
        <v>16342.332618370416</v>
      </c>
      <c r="M234" s="10">
        <f>'D) Ecrêtage'!M233</f>
        <v>13227.609572649571</v>
      </c>
      <c r="N234" s="10">
        <f t="shared" si="20"/>
        <v>16936.271866278599</v>
      </c>
      <c r="O234" s="67">
        <f t="shared" si="21"/>
        <v>41752.894430381159</v>
      </c>
      <c r="P234" s="315"/>
      <c r="Q234" s="316"/>
      <c r="R234" s="312"/>
      <c r="S234" s="312"/>
      <c r="T234" s="317"/>
    </row>
    <row r="235" spans="1:20" s="311" customFormat="1" x14ac:dyDescent="0.25">
      <c r="A235" s="324">
        <f>'A) Base RI'!A236</f>
        <v>5761</v>
      </c>
      <c r="B235" s="324" t="str">
        <f>'A) Base RI'!B236</f>
        <v>Romainmôtier-Envy</v>
      </c>
      <c r="C235" s="383">
        <v>0</v>
      </c>
      <c r="D235" s="313">
        <f>'B) D RI'!AR236</f>
        <v>546</v>
      </c>
      <c r="E235" s="314">
        <f>'B) D RI'!S236</f>
        <v>76</v>
      </c>
      <c r="F235" s="10">
        <f>'B) D RI'!R236</f>
        <v>924609.58499999985</v>
      </c>
      <c r="G235" s="10">
        <f>'B) D RI'!U236</f>
        <v>12165.915592105261</v>
      </c>
      <c r="H235" s="44">
        <f>'B) D RI'!T236</f>
        <v>846922.95999999985</v>
      </c>
      <c r="I235" s="10">
        <f t="shared" si="22"/>
        <v>22287.446315789468</v>
      </c>
      <c r="J235" s="34">
        <f t="shared" si="23"/>
        <v>47511.182937907499</v>
      </c>
      <c r="K235" s="10">
        <f t="shared" si="19"/>
        <v>22287.446315789468</v>
      </c>
      <c r="L235" s="10">
        <f t="shared" si="24"/>
        <v>25223.736622118031</v>
      </c>
      <c r="M235" s="10">
        <f>'D) Ecrêtage'!M234</f>
        <v>12165.915592105261</v>
      </c>
      <c r="N235" s="10">
        <f t="shared" si="20"/>
        <v>15576.90774273589</v>
      </c>
      <c r="O235" s="67">
        <f t="shared" si="21"/>
        <v>37864.354058525358</v>
      </c>
      <c r="P235" s="315"/>
      <c r="Q235" s="316"/>
      <c r="R235" s="312"/>
      <c r="S235" s="312"/>
      <c r="T235" s="317"/>
    </row>
    <row r="236" spans="1:20" s="311" customFormat="1" x14ac:dyDescent="0.25">
      <c r="A236" s="324">
        <f>'A) Base RI'!A237</f>
        <v>5762</v>
      </c>
      <c r="B236" s="324" t="str">
        <f>'A) Base RI'!B237</f>
        <v>Sergey</v>
      </c>
      <c r="C236" s="383">
        <v>0</v>
      </c>
      <c r="D236" s="313">
        <f>'B) D RI'!AR237</f>
        <v>140</v>
      </c>
      <c r="E236" s="314">
        <f>'B) D RI'!S237</f>
        <v>78</v>
      </c>
      <c r="F236" s="10">
        <f>'B) D RI'!R237</f>
        <v>279750.78999999998</v>
      </c>
      <c r="G236" s="10">
        <f>'B) D RI'!U237</f>
        <v>3586.5485897435897</v>
      </c>
      <c r="H236" s="44">
        <f>'B) D RI'!T237</f>
        <v>260657.68999999997</v>
      </c>
      <c r="I236" s="10">
        <f t="shared" si="22"/>
        <v>6683.5305128205118</v>
      </c>
      <c r="J236" s="34">
        <f t="shared" si="23"/>
        <v>12182.354599463461</v>
      </c>
      <c r="K236" s="10">
        <f t="shared" si="19"/>
        <v>6683.5305128205118</v>
      </c>
      <c r="L236" s="10">
        <f t="shared" si="24"/>
        <v>5498.8240866429487</v>
      </c>
      <c r="M236" s="10">
        <f>'D) Ecrêtage'!M235</f>
        <v>3586.5485897435897</v>
      </c>
      <c r="N236" s="10">
        <f t="shared" si="20"/>
        <v>4592.1193579157325</v>
      </c>
      <c r="O236" s="67">
        <f t="shared" si="21"/>
        <v>11275.649870736244</v>
      </c>
      <c r="P236" s="315"/>
      <c r="Q236" s="316"/>
      <c r="R236" s="312"/>
      <c r="S236" s="312"/>
      <c r="T236" s="317"/>
    </row>
    <row r="237" spans="1:20" s="311" customFormat="1" x14ac:dyDescent="0.25">
      <c r="A237" s="324">
        <f>'A) Base RI'!A238</f>
        <v>5763</v>
      </c>
      <c r="B237" s="324" t="str">
        <f>'A) Base RI'!B238</f>
        <v>Valeyres-sous-Rances</v>
      </c>
      <c r="C237" s="383">
        <v>0</v>
      </c>
      <c r="D237" s="313">
        <f>'B) D RI'!AR238</f>
        <v>623</v>
      </c>
      <c r="E237" s="314">
        <f>'B) D RI'!S238</f>
        <v>65</v>
      </c>
      <c r="F237" s="10">
        <f>'B) D RI'!R238</f>
        <v>1045580.2999999999</v>
      </c>
      <c r="G237" s="10">
        <f>'B) D RI'!U238</f>
        <v>16085.850769230768</v>
      </c>
      <c r="H237" s="44">
        <f>'B) D RI'!T238</f>
        <v>961759.1</v>
      </c>
      <c r="I237" s="10">
        <f t="shared" si="22"/>
        <v>29592.58769230769</v>
      </c>
      <c r="J237" s="34">
        <f t="shared" si="23"/>
        <v>54211.477967612402</v>
      </c>
      <c r="K237" s="10">
        <f t="shared" si="19"/>
        <v>29592.58769230769</v>
      </c>
      <c r="L237" s="10">
        <f t="shared" si="24"/>
        <v>24618.890275304711</v>
      </c>
      <c r="M237" s="10">
        <f>'D) Ecrêtage'!M236</f>
        <v>16085.850769230768</v>
      </c>
      <c r="N237" s="10">
        <f t="shared" si="20"/>
        <v>20595.886228104686</v>
      </c>
      <c r="O237" s="67">
        <f t="shared" si="21"/>
        <v>50188.473920412376</v>
      </c>
      <c r="P237" s="315"/>
      <c r="Q237" s="316"/>
      <c r="R237" s="312"/>
      <c r="S237" s="312"/>
      <c r="T237" s="317"/>
    </row>
    <row r="238" spans="1:20" s="311" customFormat="1" x14ac:dyDescent="0.25">
      <c r="A238" s="324">
        <f>'A) Base RI'!A239</f>
        <v>5764</v>
      </c>
      <c r="B238" s="324" t="str">
        <f>'A) Base RI'!B239</f>
        <v>Vallorbe</v>
      </c>
      <c r="C238" s="383">
        <v>0</v>
      </c>
      <c r="D238" s="313">
        <f>'B) D RI'!AR239</f>
        <v>3747</v>
      </c>
      <c r="E238" s="314">
        <f>'B) D RI'!S239</f>
        <v>74</v>
      </c>
      <c r="F238" s="10">
        <f>'B) D RI'!R239</f>
        <v>6254007.0199999996</v>
      </c>
      <c r="G238" s="10">
        <f>'B) D RI'!U239</f>
        <v>84513.608378378369</v>
      </c>
      <c r="H238" s="44">
        <f>'B) D RI'!T239</f>
        <v>5859970.9699999997</v>
      </c>
      <c r="I238" s="10">
        <f t="shared" si="22"/>
        <v>158377.59378378378</v>
      </c>
      <c r="J238" s="34">
        <f t="shared" si="23"/>
        <v>326052.01917278278</v>
      </c>
      <c r="K238" s="10">
        <f t="shared" si="19"/>
        <v>158377.59378378378</v>
      </c>
      <c r="L238" s="10">
        <f t="shared" si="24"/>
        <v>167674.42538899899</v>
      </c>
      <c r="M238" s="10">
        <f>'D) Ecrêtage'!M237</f>
        <v>84513.608378378369</v>
      </c>
      <c r="N238" s="10">
        <f t="shared" si="20"/>
        <v>108208.92770043481</v>
      </c>
      <c r="O238" s="67">
        <f t="shared" si="21"/>
        <v>266586.5214842186</v>
      </c>
      <c r="P238" s="315"/>
      <c r="Q238" s="316"/>
      <c r="R238" s="312"/>
      <c r="S238" s="312"/>
      <c r="T238" s="317"/>
    </row>
    <row r="239" spans="1:20" s="311" customFormat="1" x14ac:dyDescent="0.25">
      <c r="A239" s="324">
        <f>'A) Base RI'!A240</f>
        <v>5765</v>
      </c>
      <c r="B239" s="324" t="str">
        <f>'A) Base RI'!B240</f>
        <v>Vaulion</v>
      </c>
      <c r="C239" s="383">
        <v>0</v>
      </c>
      <c r="D239" s="313">
        <f>'B) D RI'!AR240</f>
        <v>494</v>
      </c>
      <c r="E239" s="314">
        <f>'B) D RI'!S240</f>
        <v>81</v>
      </c>
      <c r="F239" s="10">
        <f>'B) D RI'!R240</f>
        <v>826121.2</v>
      </c>
      <c r="G239" s="10">
        <f>'B) D RI'!U240</f>
        <v>10199.027160493826</v>
      </c>
      <c r="H239" s="44">
        <f>'B) D RI'!T240</f>
        <v>768616.79999999993</v>
      </c>
      <c r="I239" s="10">
        <f t="shared" si="22"/>
        <v>18978.19259259259</v>
      </c>
      <c r="J239" s="34">
        <f t="shared" si="23"/>
        <v>42986.308372392494</v>
      </c>
      <c r="K239" s="10">
        <f t="shared" si="19"/>
        <v>18978.19259259259</v>
      </c>
      <c r="L239" s="10">
        <f t="shared" si="24"/>
        <v>24008.115779799904</v>
      </c>
      <c r="M239" s="10">
        <f>'D) Ecrêtage'!M238</f>
        <v>10199.027160493826</v>
      </c>
      <c r="N239" s="10">
        <f t="shared" si="20"/>
        <v>13058.557240670305</v>
      </c>
      <c r="O239" s="67">
        <f t="shared" si="21"/>
        <v>32036.749833262897</v>
      </c>
      <c r="P239" s="315"/>
      <c r="Q239" s="316"/>
      <c r="R239" s="312"/>
      <c r="S239" s="312"/>
      <c r="T239" s="317"/>
    </row>
    <row r="240" spans="1:20" s="311" customFormat="1" x14ac:dyDescent="0.25">
      <c r="A240" s="324">
        <f>'A) Base RI'!A241</f>
        <v>5766</v>
      </c>
      <c r="B240" s="324" t="str">
        <f>'A) Base RI'!B241</f>
        <v>Vuiteboeuf</v>
      </c>
      <c r="C240" s="383">
        <v>0</v>
      </c>
      <c r="D240" s="313">
        <f>'B) D RI'!AR241</f>
        <v>556</v>
      </c>
      <c r="E240" s="314">
        <f>'B) D RI'!S241</f>
        <v>77</v>
      </c>
      <c r="F240" s="10">
        <f>'B) D RI'!R241</f>
        <v>1002844.9642857142</v>
      </c>
      <c r="G240" s="10">
        <f>'B) D RI'!U241</f>
        <v>13023.960575139146</v>
      </c>
      <c r="H240" s="44">
        <f>'B) D RI'!T241</f>
        <v>929323.74999999988</v>
      </c>
      <c r="I240" s="10">
        <f t="shared" si="22"/>
        <v>24138.279220779219</v>
      </c>
      <c r="J240" s="34">
        <f t="shared" si="23"/>
        <v>48381.351123583459</v>
      </c>
      <c r="K240" s="10">
        <f t="shared" si="19"/>
        <v>24138.279220779219</v>
      </c>
      <c r="L240" s="10">
        <f t="shared" si="24"/>
        <v>24243.07190280424</v>
      </c>
      <c r="M240" s="10">
        <f>'D) Ecrêtage'!M239</f>
        <v>13023.960575139146</v>
      </c>
      <c r="N240" s="10">
        <f t="shared" si="20"/>
        <v>16675.525223569763</v>
      </c>
      <c r="O240" s="67">
        <f t="shared" si="21"/>
        <v>40813.804444348978</v>
      </c>
      <c r="P240" s="315"/>
      <c r="Q240" s="316"/>
      <c r="R240" s="312"/>
      <c r="S240" s="312"/>
      <c r="T240" s="317"/>
    </row>
    <row r="241" spans="1:20" s="311" customFormat="1" x14ac:dyDescent="0.25">
      <c r="A241" s="324">
        <f>'A) Base RI'!A242</f>
        <v>5782</v>
      </c>
      <c r="B241" s="324" t="str">
        <f>'A) Base RI'!B242</f>
        <v>Carrouge</v>
      </c>
      <c r="C241" s="383">
        <v>0</v>
      </c>
      <c r="D241" s="313">
        <f>'B) D RI'!AR242</f>
        <v>1247</v>
      </c>
      <c r="E241" s="314">
        <f>'B) D RI'!S242</f>
        <v>76</v>
      </c>
      <c r="F241" s="10">
        <f>'B) D RI'!R242</f>
        <v>2476508.5199999996</v>
      </c>
      <c r="G241" s="10">
        <f>'B) D RI'!U242</f>
        <v>32585.638421052627</v>
      </c>
      <c r="H241" s="44">
        <f>'B) D RI'!T242</f>
        <v>2273134.7199999997</v>
      </c>
      <c r="I241" s="10">
        <f t="shared" si="22"/>
        <v>59819.334736842102</v>
      </c>
      <c r="J241" s="34">
        <f t="shared" si="23"/>
        <v>108509.97275379239</v>
      </c>
      <c r="K241" s="10">
        <f t="shared" si="19"/>
        <v>59819.334736842102</v>
      </c>
      <c r="L241" s="10">
        <f t="shared" si="24"/>
        <v>48690.638016950288</v>
      </c>
      <c r="M241" s="10">
        <f>'D) Ecrêtage'!M240</f>
        <v>32585.638421052627</v>
      </c>
      <c r="N241" s="10">
        <f t="shared" si="20"/>
        <v>41721.765992875145</v>
      </c>
      <c r="O241" s="67">
        <f t="shared" si="21"/>
        <v>101541.10072971725</v>
      </c>
      <c r="P241" s="315"/>
      <c r="Q241" s="316"/>
      <c r="R241" s="312"/>
      <c r="S241" s="312"/>
      <c r="T241" s="317"/>
    </row>
    <row r="242" spans="1:20" s="311" customFormat="1" x14ac:dyDescent="0.25">
      <c r="A242" s="324">
        <f>'A) Base RI'!A243</f>
        <v>5785</v>
      </c>
      <c r="B242" s="324" t="str">
        <f>'A) Base RI'!B243</f>
        <v>Corcelles-le-Jorat</v>
      </c>
      <c r="C242" s="383">
        <v>0</v>
      </c>
      <c r="D242" s="313">
        <f>'B) D RI'!AR243</f>
        <v>425</v>
      </c>
      <c r="E242" s="314">
        <f>'B) D RI'!S243</f>
        <v>77</v>
      </c>
      <c r="F242" s="10">
        <f>'B) D RI'!R243</f>
        <v>945192.57999999984</v>
      </c>
      <c r="G242" s="10">
        <f>'B) D RI'!U243</f>
        <v>12275.22831168831</v>
      </c>
      <c r="H242" s="44">
        <f>'B) D RI'!T243</f>
        <v>877752.97999999986</v>
      </c>
      <c r="I242" s="10">
        <f t="shared" si="22"/>
        <v>22798.778701298699</v>
      </c>
      <c r="J242" s="34">
        <f t="shared" si="23"/>
        <v>36982.147891228364</v>
      </c>
      <c r="K242" s="10">
        <f t="shared" si="19"/>
        <v>22798.778701298699</v>
      </c>
      <c r="L242" s="10">
        <f t="shared" si="24"/>
        <v>14183.369189929665</v>
      </c>
      <c r="M242" s="10">
        <f>'D) Ecrêtage'!M241</f>
        <v>12275.22831168831</v>
      </c>
      <c r="N242" s="10">
        <f t="shared" si="20"/>
        <v>15716.86877856271</v>
      </c>
      <c r="O242" s="67">
        <f t="shared" si="21"/>
        <v>38515.647479861407</v>
      </c>
      <c r="P242" s="315"/>
      <c r="Q242" s="316"/>
      <c r="R242" s="312"/>
      <c r="S242" s="312"/>
      <c r="T242" s="317"/>
    </row>
    <row r="243" spans="1:20" s="311" customFormat="1" x14ac:dyDescent="0.25">
      <c r="A243" s="324">
        <f>'A) Base RI'!A244</f>
        <v>5788</v>
      </c>
      <c r="B243" s="324" t="str">
        <f>'A) Base RI'!B244</f>
        <v>Essertes</v>
      </c>
      <c r="C243" s="383">
        <v>0</v>
      </c>
      <c r="D243" s="313">
        <f>'B) D RI'!AR244</f>
        <v>335</v>
      </c>
      <c r="E243" s="314">
        <f>'B) D RI'!S244</f>
        <v>72</v>
      </c>
      <c r="F243" s="10">
        <f>'B) D RI'!R244</f>
        <v>695751.49999999988</v>
      </c>
      <c r="G243" s="10">
        <f>'B) D RI'!U244</f>
        <v>9663.2152777777756</v>
      </c>
      <c r="H243" s="44">
        <f>'B) D RI'!T244</f>
        <v>640819.41999999993</v>
      </c>
      <c r="I243" s="10">
        <f t="shared" si="22"/>
        <v>17800.539444444443</v>
      </c>
      <c r="J243" s="34">
        <f t="shared" si="23"/>
        <v>29150.634220144708</v>
      </c>
      <c r="K243" s="10">
        <f t="shared" si="19"/>
        <v>17800.539444444443</v>
      </c>
      <c r="L243" s="10">
        <f t="shared" si="24"/>
        <v>11350.094775700265</v>
      </c>
      <c r="M243" s="10">
        <f>'D) Ecrêtage'!M242</f>
        <v>9663.2152777777756</v>
      </c>
      <c r="N243" s="10">
        <f t="shared" si="20"/>
        <v>12372.518265523573</v>
      </c>
      <c r="O243" s="67">
        <f t="shared" si="21"/>
        <v>30173.057709968016</v>
      </c>
      <c r="P243" s="315"/>
      <c r="Q243" s="316"/>
      <c r="R243" s="312"/>
      <c r="S243" s="312"/>
      <c r="T243" s="317"/>
    </row>
    <row r="244" spans="1:20" s="311" customFormat="1" x14ac:dyDescent="0.25">
      <c r="A244" s="324">
        <f>'A) Base RI'!A245</f>
        <v>5789</v>
      </c>
      <c r="B244" s="324" t="str">
        <f>'A) Base RI'!B245</f>
        <v>Ferlens</v>
      </c>
      <c r="C244" s="383">
        <v>0</v>
      </c>
      <c r="D244" s="313">
        <f>'B) D RI'!AR245</f>
        <v>350</v>
      </c>
      <c r="E244" s="314">
        <f>'B) D RI'!S245</f>
        <v>76</v>
      </c>
      <c r="F244" s="10">
        <f>'B) D RI'!R245</f>
        <v>702228.29000000015</v>
      </c>
      <c r="G244" s="10">
        <f>'B) D RI'!U245</f>
        <v>9239.8459210526344</v>
      </c>
      <c r="H244" s="44">
        <f>'B) D RI'!T245</f>
        <v>653096.94000000018</v>
      </c>
      <c r="I244" s="10">
        <f t="shared" si="22"/>
        <v>17186.761578947375</v>
      </c>
      <c r="J244" s="34">
        <f t="shared" si="23"/>
        <v>30455.886498658652</v>
      </c>
      <c r="K244" s="10">
        <f t="shared" si="19"/>
        <v>17186.761578947375</v>
      </c>
      <c r="L244" s="10">
        <f t="shared" si="24"/>
        <v>13269.124919711277</v>
      </c>
      <c r="M244" s="10">
        <f>'D) Ecrêtage'!M243</f>
        <v>9239.8459210526344</v>
      </c>
      <c r="N244" s="10">
        <f t="shared" si="20"/>
        <v>11830.447645282835</v>
      </c>
      <c r="O244" s="67">
        <f t="shared" si="21"/>
        <v>29017.20922423021</v>
      </c>
      <c r="P244" s="315"/>
      <c r="Q244" s="316"/>
      <c r="R244" s="312"/>
      <c r="S244" s="312"/>
      <c r="T244" s="317"/>
    </row>
    <row r="245" spans="1:20" s="311" customFormat="1" x14ac:dyDescent="0.25">
      <c r="A245" s="324">
        <f>'A) Base RI'!A246</f>
        <v>5790</v>
      </c>
      <c r="B245" s="324" t="str">
        <f>'A) Base RI'!B246</f>
        <v>Maracon</v>
      </c>
      <c r="C245" s="383">
        <v>0</v>
      </c>
      <c r="D245" s="313">
        <f>'B) D RI'!AR246</f>
        <v>449</v>
      </c>
      <c r="E245" s="314">
        <f>'B) D RI'!S246</f>
        <v>76</v>
      </c>
      <c r="F245" s="10">
        <f>'B) D RI'!R246</f>
        <v>917908.79999999993</v>
      </c>
      <c r="G245" s="10">
        <f>'B) D RI'!U246</f>
        <v>12077.747368421051</v>
      </c>
      <c r="H245" s="44">
        <f>'B) D RI'!T246</f>
        <v>844341.49999999988</v>
      </c>
      <c r="I245" s="10">
        <f t="shared" si="22"/>
        <v>22219.513157894733</v>
      </c>
      <c r="J245" s="34">
        <f t="shared" si="23"/>
        <v>39070.551536850668</v>
      </c>
      <c r="K245" s="10">
        <f t="shared" si="19"/>
        <v>22219.513157894733</v>
      </c>
      <c r="L245" s="10">
        <f t="shared" si="24"/>
        <v>16851.038378955935</v>
      </c>
      <c r="M245" s="10">
        <f>'D) Ecrêtage'!M244</f>
        <v>12077.747368421051</v>
      </c>
      <c r="N245" s="10">
        <f t="shared" si="20"/>
        <v>15464.01954490382</v>
      </c>
      <c r="O245" s="67">
        <f t="shared" si="21"/>
        <v>37683.532702798555</v>
      </c>
      <c r="P245" s="315"/>
      <c r="Q245" s="316"/>
      <c r="R245" s="312"/>
      <c r="S245" s="312"/>
      <c r="T245" s="317"/>
    </row>
    <row r="246" spans="1:20" s="311" customFormat="1" x14ac:dyDescent="0.25">
      <c r="A246" s="324">
        <f>'A) Base RI'!A247</f>
        <v>5791</v>
      </c>
      <c r="B246" s="324" t="str">
        <f>'A) Base RI'!B247</f>
        <v>Mézières</v>
      </c>
      <c r="C246" s="383">
        <v>0</v>
      </c>
      <c r="D246" s="313">
        <f>'B) D RI'!AR247</f>
        <v>1217</v>
      </c>
      <c r="E246" s="314">
        <f>'B) D RI'!S247</f>
        <v>76</v>
      </c>
      <c r="F246" s="10">
        <f>'B) D RI'!R247</f>
        <v>3632889.1599999992</v>
      </c>
      <c r="G246" s="10">
        <f>'B) D RI'!U247</f>
        <v>47801.173157894729</v>
      </c>
      <c r="H246" s="44">
        <f>'B) D RI'!T247</f>
        <v>3419666.7599999993</v>
      </c>
      <c r="I246" s="10">
        <f t="shared" si="22"/>
        <v>89991.230526315776</v>
      </c>
      <c r="J246" s="34">
        <f t="shared" si="23"/>
        <v>105899.46819676452</v>
      </c>
      <c r="K246" s="10">
        <f t="shared" si="19"/>
        <v>89991.230526315776</v>
      </c>
      <c r="L246" s="10">
        <f t="shared" si="24"/>
        <v>15908.23767044874</v>
      </c>
      <c r="M246" s="10">
        <f>'D) Ecrêtage'!M245</f>
        <v>47801.173157894729</v>
      </c>
      <c r="N246" s="10">
        <f t="shared" si="20"/>
        <v>61203.323221990264</v>
      </c>
      <c r="O246" s="67">
        <f t="shared" si="21"/>
        <v>151194.55374830603</v>
      </c>
      <c r="P246" s="315"/>
      <c r="Q246" s="316"/>
      <c r="R246" s="312"/>
      <c r="S246" s="312"/>
      <c r="T246" s="317"/>
    </row>
    <row r="247" spans="1:20" s="311" customFormat="1" x14ac:dyDescent="0.25">
      <c r="A247" s="324">
        <f>'A) Base RI'!A248</f>
        <v>5792</v>
      </c>
      <c r="B247" s="324" t="str">
        <f>'A) Base RI'!B248</f>
        <v>Montpreveyres</v>
      </c>
      <c r="C247" s="383">
        <v>0</v>
      </c>
      <c r="D247" s="313">
        <f>'B) D RI'!AR248</f>
        <v>621</v>
      </c>
      <c r="E247" s="314">
        <f>'B) D RI'!S248</f>
        <v>77</v>
      </c>
      <c r="F247" s="10">
        <f>'B) D RI'!R248</f>
        <v>1206656.99</v>
      </c>
      <c r="G247" s="10">
        <f>'B) D RI'!U248</f>
        <v>15670.869999999999</v>
      </c>
      <c r="H247" s="44">
        <f>'B) D RI'!T248</f>
        <v>1101898.19</v>
      </c>
      <c r="I247" s="10">
        <f t="shared" si="22"/>
        <v>28620.732207792207</v>
      </c>
      <c r="J247" s="34">
        <f t="shared" si="23"/>
        <v>54037.444330477207</v>
      </c>
      <c r="K247" s="10">
        <f t="shared" si="19"/>
        <v>28620.732207792207</v>
      </c>
      <c r="L247" s="10">
        <f t="shared" si="24"/>
        <v>25416.712122684999</v>
      </c>
      <c r="M247" s="10">
        <f>'D) Ecrêtage'!M246</f>
        <v>15670.869999999999</v>
      </c>
      <c r="N247" s="10">
        <f t="shared" si="20"/>
        <v>20064.556127350741</v>
      </c>
      <c r="O247" s="67">
        <f t="shared" si="21"/>
        <v>48685.288335142948</v>
      </c>
      <c r="P247" s="315"/>
      <c r="Q247" s="316"/>
      <c r="R247" s="312"/>
      <c r="S247" s="312"/>
      <c r="T247" s="317"/>
    </row>
    <row r="248" spans="1:20" s="311" customFormat="1" x14ac:dyDescent="0.25">
      <c r="A248" s="324">
        <f>'A) Base RI'!A249</f>
        <v>5798</v>
      </c>
      <c r="B248" s="324" t="str">
        <f>'A) Base RI'!B249</f>
        <v>Ropraz</v>
      </c>
      <c r="C248" s="383">
        <v>0</v>
      </c>
      <c r="D248" s="313">
        <f>'B) D RI'!AR249</f>
        <v>438</v>
      </c>
      <c r="E248" s="314">
        <f>'B) D RI'!S249</f>
        <v>77.5</v>
      </c>
      <c r="F248" s="10">
        <f>'B) D RI'!R249</f>
        <v>850329.22</v>
      </c>
      <c r="G248" s="10">
        <f>'B) D RI'!U249</f>
        <v>10971.989935483871</v>
      </c>
      <c r="H248" s="44">
        <f>'B) D RI'!T249</f>
        <v>812413.57</v>
      </c>
      <c r="I248" s="10">
        <f t="shared" si="22"/>
        <v>20965.511483870967</v>
      </c>
      <c r="J248" s="34">
        <f t="shared" si="23"/>
        <v>38113.366532607113</v>
      </c>
      <c r="K248" s="10">
        <f t="shared" si="19"/>
        <v>20965.511483870967</v>
      </c>
      <c r="L248" s="10">
        <f t="shared" si="24"/>
        <v>17147.855048736146</v>
      </c>
      <c r="M248" s="10">
        <f>'D) Ecrêtage'!M247</f>
        <v>10971.989935483871</v>
      </c>
      <c r="N248" s="10">
        <f t="shared" si="20"/>
        <v>14048.237774242501</v>
      </c>
      <c r="O248" s="67">
        <f t="shared" si="21"/>
        <v>35013.749258113472</v>
      </c>
      <c r="P248" s="315"/>
      <c r="Q248" s="316"/>
      <c r="R248" s="312"/>
      <c r="S248" s="312"/>
      <c r="T248" s="317"/>
    </row>
    <row r="249" spans="1:20" s="311" customFormat="1" x14ac:dyDescent="0.25">
      <c r="A249" s="324">
        <f>'A) Base RI'!A250</f>
        <v>5799</v>
      </c>
      <c r="B249" s="324" t="str">
        <f>'A) Base RI'!B250</f>
        <v>Servion</v>
      </c>
      <c r="C249" s="383">
        <v>0</v>
      </c>
      <c r="D249" s="313">
        <f>'B) D RI'!AR250</f>
        <v>1918</v>
      </c>
      <c r="E249" s="314">
        <f>'B) D RI'!S250</f>
        <v>69</v>
      </c>
      <c r="F249" s="10">
        <f>'B) D RI'!R250</f>
        <v>4181307.4000000004</v>
      </c>
      <c r="G249" s="10">
        <f>'B) D RI'!U250</f>
        <v>60598.657971014502</v>
      </c>
      <c r="H249" s="44">
        <f>'B) D RI'!T250</f>
        <v>3828992.1500000004</v>
      </c>
      <c r="I249" s="10">
        <f t="shared" si="22"/>
        <v>110985.27971014494</v>
      </c>
      <c r="J249" s="34">
        <f t="shared" si="23"/>
        <v>166898.2580126494</v>
      </c>
      <c r="K249" s="10">
        <f t="shared" si="19"/>
        <v>110985.27971014494</v>
      </c>
      <c r="L249" s="10">
        <f t="shared" si="24"/>
        <v>55912.97830250446</v>
      </c>
      <c r="M249" s="10">
        <f>'D) Ecrêtage'!M248</f>
        <v>60598.657971014502</v>
      </c>
      <c r="N249" s="10">
        <f t="shared" si="20"/>
        <v>77588.875033839926</v>
      </c>
      <c r="O249" s="67">
        <f t="shared" si="21"/>
        <v>188574.15474398487</v>
      </c>
      <c r="P249" s="315"/>
      <c r="Q249" s="316"/>
      <c r="R249" s="312"/>
      <c r="S249" s="312"/>
      <c r="T249" s="317"/>
    </row>
    <row r="250" spans="1:20" s="311" customFormat="1" x14ac:dyDescent="0.25">
      <c r="A250" s="324">
        <f>'A) Base RI'!A251</f>
        <v>5803</v>
      </c>
      <c r="B250" s="324" t="str">
        <f>'A) Base RI'!B251</f>
        <v>Vulliens</v>
      </c>
      <c r="C250" s="383">
        <v>0</v>
      </c>
      <c r="D250" s="313">
        <f>'B) D RI'!AR251</f>
        <v>466</v>
      </c>
      <c r="E250" s="314">
        <f>'B) D RI'!S251</f>
        <v>78</v>
      </c>
      <c r="F250" s="10">
        <f>'B) D RI'!R251</f>
        <v>1108776.68</v>
      </c>
      <c r="G250" s="10">
        <f>'B) D RI'!U251</f>
        <v>14215.08564102564</v>
      </c>
      <c r="H250" s="44">
        <f>'B) D RI'!T251</f>
        <v>1033549.73</v>
      </c>
      <c r="I250" s="10">
        <f t="shared" si="22"/>
        <v>26501.275128205129</v>
      </c>
      <c r="J250" s="34">
        <f t="shared" si="23"/>
        <v>40549.837452499807</v>
      </c>
      <c r="K250" s="10">
        <f t="shared" si="19"/>
        <v>26501.275128205129</v>
      </c>
      <c r="L250" s="10">
        <f t="shared" si="24"/>
        <v>14048.562324294679</v>
      </c>
      <c r="M250" s="10">
        <f>'D) Ecrêtage'!M249</f>
        <v>14215.08564102564</v>
      </c>
      <c r="N250" s="10">
        <f t="shared" si="20"/>
        <v>18200.609391785943</v>
      </c>
      <c r="O250" s="67">
        <f t="shared" si="21"/>
        <v>44701.884519991072</v>
      </c>
      <c r="P250" s="315"/>
      <c r="Q250" s="316"/>
      <c r="R250" s="312"/>
      <c r="S250" s="312"/>
      <c r="T250" s="317"/>
    </row>
    <row r="251" spans="1:20" s="311" customFormat="1" x14ac:dyDescent="0.25">
      <c r="A251" s="324">
        <f>'A) Base RI'!A252</f>
        <v>5804</v>
      </c>
      <c r="B251" s="324" t="str">
        <f>'A) Base RI'!B252</f>
        <v>Jorat-Menthue</v>
      </c>
      <c r="C251" s="383">
        <v>0</v>
      </c>
      <c r="D251" s="313">
        <f>'B) D RI'!AR252</f>
        <v>1545</v>
      </c>
      <c r="E251" s="314">
        <f>'B) D RI'!S252</f>
        <v>72</v>
      </c>
      <c r="F251" s="10">
        <f>'B) D RI'!R252</f>
        <v>3495924.8000000003</v>
      </c>
      <c r="G251" s="10">
        <f>'B) D RI'!U252</f>
        <v>48554.511111111118</v>
      </c>
      <c r="H251" s="44">
        <f>'B) D RI'!T252</f>
        <v>3252166.45</v>
      </c>
      <c r="I251" s="10">
        <f t="shared" si="22"/>
        <v>90337.95694444445</v>
      </c>
      <c r="J251" s="34">
        <f t="shared" si="23"/>
        <v>134440.98468693605</v>
      </c>
      <c r="K251" s="10">
        <f t="shared" si="19"/>
        <v>90337.95694444445</v>
      </c>
      <c r="L251" s="10">
        <f t="shared" si="24"/>
        <v>44103.027742491598</v>
      </c>
      <c r="M251" s="10">
        <f>'D) Ecrêtage'!M250</f>
        <v>48554.511111111118</v>
      </c>
      <c r="N251" s="10">
        <f t="shared" si="20"/>
        <v>62167.876667023869</v>
      </c>
      <c r="O251" s="67">
        <f t="shared" si="21"/>
        <v>152505.83361146832</v>
      </c>
      <c r="P251" s="315"/>
      <c r="Q251" s="316"/>
      <c r="R251" s="312"/>
      <c r="S251" s="312"/>
      <c r="T251" s="317"/>
    </row>
    <row r="252" spans="1:20" s="311" customFormat="1" x14ac:dyDescent="0.25">
      <c r="A252" s="324">
        <f>'A) Base RI'!A253</f>
        <v>5805</v>
      </c>
      <c r="B252" s="324" t="str">
        <f>'A) Base RI'!B253</f>
        <v>Oron</v>
      </c>
      <c r="C252" s="383">
        <v>0</v>
      </c>
      <c r="D252" s="313">
        <f>'B) D RI'!AR253</f>
        <v>5397</v>
      </c>
      <c r="E252" s="314">
        <f>'B) D RI'!S253</f>
        <v>69</v>
      </c>
      <c r="F252" s="10">
        <f>'B) D RI'!R253</f>
        <v>10150194.116363635</v>
      </c>
      <c r="G252" s="10">
        <f>'B) D RI'!U253</f>
        <v>147104.2625559947</v>
      </c>
      <c r="H252" s="44">
        <f>'B) D RI'!T253</f>
        <v>9285216.9799999986</v>
      </c>
      <c r="I252" s="10">
        <f t="shared" si="22"/>
        <v>269136.72405797098</v>
      </c>
      <c r="J252" s="34">
        <f t="shared" si="23"/>
        <v>469629.76980931638</v>
      </c>
      <c r="K252" s="10">
        <f t="shared" si="19"/>
        <v>269136.72405797098</v>
      </c>
      <c r="L252" s="10">
        <f t="shared" si="24"/>
        <v>200493.0457513454</v>
      </c>
      <c r="M252" s="10">
        <f>'D) Ecrêtage'!M251</f>
        <v>147104.2625559947</v>
      </c>
      <c r="N252" s="10">
        <f t="shared" si="20"/>
        <v>188348.3005491907</v>
      </c>
      <c r="O252" s="67">
        <f t="shared" si="21"/>
        <v>457485.02460716164</v>
      </c>
      <c r="P252" s="315"/>
      <c r="Q252" s="316"/>
      <c r="R252" s="312"/>
      <c r="S252" s="312"/>
      <c r="T252" s="317"/>
    </row>
    <row r="253" spans="1:20" s="311" customFormat="1" x14ac:dyDescent="0.25">
      <c r="A253" s="324">
        <f>'A) Base RI'!A254</f>
        <v>5812</v>
      </c>
      <c r="B253" s="324" t="str">
        <f>'A) Base RI'!B254</f>
        <v>Champtauroz</v>
      </c>
      <c r="C253" s="383">
        <v>0</v>
      </c>
      <c r="D253" s="313">
        <f>'B) D RI'!AR254</f>
        <v>130</v>
      </c>
      <c r="E253" s="314">
        <f>'B) D RI'!S254</f>
        <v>77</v>
      </c>
      <c r="F253" s="10">
        <f>'B) D RI'!R254</f>
        <v>179146.35500000001</v>
      </c>
      <c r="G253" s="10">
        <f>'B) D RI'!U254</f>
        <v>2326.5760389610391</v>
      </c>
      <c r="H253" s="44">
        <f>'B) D RI'!T254</f>
        <v>163127.23000000001</v>
      </c>
      <c r="I253" s="10">
        <f t="shared" si="22"/>
        <v>4237.0709090909095</v>
      </c>
      <c r="J253" s="34">
        <f t="shared" si="23"/>
        <v>11312.186413787498</v>
      </c>
      <c r="K253" s="10">
        <f t="shared" si="19"/>
        <v>4237.0709090909095</v>
      </c>
      <c r="L253" s="10">
        <f t="shared" si="24"/>
        <v>7075.1155046965887</v>
      </c>
      <c r="M253" s="10">
        <f>'D) Ecrêtage'!M252</f>
        <v>2326.5760389610391</v>
      </c>
      <c r="N253" s="10">
        <f t="shared" si="20"/>
        <v>2978.8847408142074</v>
      </c>
      <c r="O253" s="67">
        <f t="shared" si="21"/>
        <v>7215.9556499051168</v>
      </c>
      <c r="P253" s="315"/>
      <c r="Q253" s="316"/>
      <c r="R253" s="312"/>
      <c r="S253" s="312"/>
      <c r="T253" s="317"/>
    </row>
    <row r="254" spans="1:20" s="311" customFormat="1" x14ac:dyDescent="0.25">
      <c r="A254" s="324">
        <f>'A) Base RI'!A255</f>
        <v>5813</v>
      </c>
      <c r="B254" s="324" t="str">
        <f>'A) Base RI'!B255</f>
        <v>Chevroux</v>
      </c>
      <c r="C254" s="383">
        <v>0</v>
      </c>
      <c r="D254" s="313">
        <f>'B) D RI'!AR255</f>
        <v>446</v>
      </c>
      <c r="E254" s="314">
        <f>'B) D RI'!S255</f>
        <v>70</v>
      </c>
      <c r="F254" s="10">
        <f>'B) D RI'!R255</f>
        <v>805233.0983333335</v>
      </c>
      <c r="G254" s="10">
        <f>'B) D RI'!U255</f>
        <v>11503.329976190478</v>
      </c>
      <c r="H254" s="44">
        <f>'B) D RI'!T255</f>
        <v>731804.14000000013</v>
      </c>
      <c r="I254" s="10">
        <f t="shared" si="22"/>
        <v>20908.68971428572</v>
      </c>
      <c r="J254" s="34">
        <f t="shared" si="23"/>
        <v>38809.501081147879</v>
      </c>
      <c r="K254" s="10">
        <f t="shared" si="19"/>
        <v>20908.68971428572</v>
      </c>
      <c r="L254" s="10">
        <f t="shared" si="24"/>
        <v>17900.811366862159</v>
      </c>
      <c r="M254" s="10">
        <f>'D) Ecrêtage'!M253</f>
        <v>11503.329976190478</v>
      </c>
      <c r="N254" s="10">
        <f t="shared" si="20"/>
        <v>14728.551124392592</v>
      </c>
      <c r="O254" s="67">
        <f t="shared" si="21"/>
        <v>35637.240838678314</v>
      </c>
      <c r="P254" s="315"/>
      <c r="Q254" s="316"/>
      <c r="R254" s="312"/>
      <c r="S254" s="312"/>
      <c r="T254" s="317"/>
    </row>
    <row r="255" spans="1:20" s="311" customFormat="1" x14ac:dyDescent="0.25">
      <c r="A255" s="324">
        <f>'A) Base RI'!A256</f>
        <v>5816</v>
      </c>
      <c r="B255" s="324" t="str">
        <f>'A) Base RI'!B256</f>
        <v>Corcelles-près-Payerne</v>
      </c>
      <c r="C255" s="383">
        <v>0</v>
      </c>
      <c r="D255" s="313">
        <f>'B) D RI'!AR256</f>
        <v>2393</v>
      </c>
      <c r="E255" s="314">
        <f>'B) D RI'!S256</f>
        <v>72</v>
      </c>
      <c r="F255" s="10">
        <f>'B) D RI'!R256</f>
        <v>4078156.8128571426</v>
      </c>
      <c r="G255" s="10">
        <f>'B) D RI'!U256</f>
        <v>56641.066845238092</v>
      </c>
      <c r="H255" s="44">
        <f>'B) D RI'!T256</f>
        <v>3758137.17</v>
      </c>
      <c r="I255" s="10">
        <f t="shared" si="22"/>
        <v>104392.69916666666</v>
      </c>
      <c r="J255" s="34">
        <f t="shared" si="23"/>
        <v>208231.24683225757</v>
      </c>
      <c r="K255" s="10">
        <f t="shared" si="19"/>
        <v>104392.69916666666</v>
      </c>
      <c r="L255" s="10">
        <f t="shared" si="24"/>
        <v>103838.54766559092</v>
      </c>
      <c r="M255" s="10">
        <f>'D) Ecrêtage'!M254</f>
        <v>56641.066845238092</v>
      </c>
      <c r="N255" s="10">
        <f t="shared" si="20"/>
        <v>72521.682895034231</v>
      </c>
      <c r="O255" s="67">
        <f t="shared" si="21"/>
        <v>176914.38206170089</v>
      </c>
      <c r="P255" s="315"/>
      <c r="Q255" s="316"/>
      <c r="R255" s="312"/>
      <c r="S255" s="312"/>
      <c r="T255" s="317"/>
    </row>
    <row r="256" spans="1:20" s="311" customFormat="1" x14ac:dyDescent="0.25">
      <c r="A256" s="324">
        <f>'A) Base RI'!A257</f>
        <v>5817</v>
      </c>
      <c r="B256" s="324" t="str">
        <f>'A) Base RI'!B257</f>
        <v>Grandcour</v>
      </c>
      <c r="C256" s="383">
        <v>0</v>
      </c>
      <c r="D256" s="313">
        <f>'B) D RI'!AR257</f>
        <v>885</v>
      </c>
      <c r="E256" s="314">
        <f>'B) D RI'!S257</f>
        <v>79.5</v>
      </c>
      <c r="F256" s="10">
        <f>'B) D RI'!R257</f>
        <v>1668748.7499999998</v>
      </c>
      <c r="G256" s="10">
        <f>'B) D RI'!U257</f>
        <v>20990.550314465407</v>
      </c>
      <c r="H256" s="44">
        <f>'B) D RI'!T257</f>
        <v>1557452.3499999999</v>
      </c>
      <c r="I256" s="10">
        <f t="shared" si="22"/>
        <v>39181.191194968553</v>
      </c>
      <c r="J256" s="34">
        <f t="shared" si="23"/>
        <v>77009.884432322593</v>
      </c>
      <c r="K256" s="10">
        <f t="shared" si="19"/>
        <v>39181.191194968553</v>
      </c>
      <c r="L256" s="10">
        <f t="shared" si="24"/>
        <v>37828.69323735404</v>
      </c>
      <c r="M256" s="10">
        <f>'D) Ecrêtage'!M255</f>
        <v>20990.550314465407</v>
      </c>
      <c r="N256" s="10">
        <f t="shared" si="20"/>
        <v>26875.730251643396</v>
      </c>
      <c r="O256" s="67">
        <f t="shared" si="21"/>
        <v>66056.921446611945</v>
      </c>
      <c r="P256" s="315"/>
      <c r="Q256" s="316"/>
      <c r="R256" s="312"/>
      <c r="S256" s="312"/>
      <c r="T256" s="317"/>
    </row>
    <row r="257" spans="1:20" s="311" customFormat="1" x14ac:dyDescent="0.25">
      <c r="A257" s="324">
        <f>'A) Base RI'!A258</f>
        <v>5819</v>
      </c>
      <c r="B257" s="324" t="str">
        <f>'A) Base RI'!B258</f>
        <v>Henniez</v>
      </c>
      <c r="C257" s="383">
        <v>0</v>
      </c>
      <c r="D257" s="313">
        <f>'B) D RI'!AR258</f>
        <v>338</v>
      </c>
      <c r="E257" s="314">
        <f>'B) D RI'!S258</f>
        <v>67</v>
      </c>
      <c r="F257" s="10">
        <f>'B) D RI'!R258</f>
        <v>1001632.8400000001</v>
      </c>
      <c r="G257" s="10">
        <f>'B) D RI'!U258</f>
        <v>14949.743880597016</v>
      </c>
      <c r="H257" s="44">
        <f>'B) D RI'!T258</f>
        <v>926267.69000000006</v>
      </c>
      <c r="I257" s="10">
        <f t="shared" si="22"/>
        <v>27649.781791044777</v>
      </c>
      <c r="J257" s="34">
        <f t="shared" si="23"/>
        <v>29411.684675847497</v>
      </c>
      <c r="K257" s="10">
        <f t="shared" si="19"/>
        <v>27649.781791044777</v>
      </c>
      <c r="L257" s="10">
        <f t="shared" si="24"/>
        <v>1761.9028848027192</v>
      </c>
      <c r="M257" s="10">
        <f>'D) Ecrêtage'!M256</f>
        <v>14949.743880597016</v>
      </c>
      <c r="N257" s="10">
        <f t="shared" si="20"/>
        <v>19141.245839047682</v>
      </c>
      <c r="O257" s="67">
        <f t="shared" si="21"/>
        <v>46791.02763009246</v>
      </c>
      <c r="P257" s="315"/>
      <c r="Q257" s="316"/>
      <c r="R257" s="312"/>
      <c r="S257" s="312"/>
      <c r="T257" s="317"/>
    </row>
    <row r="258" spans="1:20" s="311" customFormat="1" x14ac:dyDescent="0.25">
      <c r="A258" s="324">
        <f>'A) Base RI'!A259</f>
        <v>5821</v>
      </c>
      <c r="B258" s="324" t="str">
        <f>'A) Base RI'!B259</f>
        <v>Missy</v>
      </c>
      <c r="C258" s="383">
        <v>0</v>
      </c>
      <c r="D258" s="313">
        <f>'B) D RI'!AR259</f>
        <v>361</v>
      </c>
      <c r="E258" s="314">
        <f>'B) D RI'!S259</f>
        <v>72</v>
      </c>
      <c r="F258" s="10">
        <f>'B) D RI'!R259</f>
        <v>559890.61</v>
      </c>
      <c r="G258" s="10">
        <f>'B) D RI'!U259</f>
        <v>7776.2584722222218</v>
      </c>
      <c r="H258" s="44">
        <f>'B) D RI'!T259</f>
        <v>513005.80999999994</v>
      </c>
      <c r="I258" s="10">
        <f t="shared" si="22"/>
        <v>14250.161388888888</v>
      </c>
      <c r="J258" s="34">
        <f t="shared" si="23"/>
        <v>31413.07150290221</v>
      </c>
      <c r="K258" s="10">
        <f t="shared" si="19"/>
        <v>14250.161388888888</v>
      </c>
      <c r="L258" s="10">
        <f t="shared" si="24"/>
        <v>17162.910114013321</v>
      </c>
      <c r="M258" s="10">
        <f>'D) Ecrêtage'!M257</f>
        <v>7776.2584722222218</v>
      </c>
      <c r="N258" s="10">
        <f t="shared" si="20"/>
        <v>9956.5100454977619</v>
      </c>
      <c r="O258" s="67">
        <f t="shared" si="21"/>
        <v>24206.671434386648</v>
      </c>
      <c r="P258" s="315"/>
      <c r="Q258" s="316"/>
      <c r="R258" s="312"/>
      <c r="S258" s="312"/>
      <c r="T258" s="317"/>
    </row>
    <row r="259" spans="1:20" s="311" customFormat="1" x14ac:dyDescent="0.25">
      <c r="A259" s="324">
        <f>'A) Base RI'!A260</f>
        <v>5822</v>
      </c>
      <c r="B259" s="324" t="str">
        <f>'A) Base RI'!B260</f>
        <v>Payerne</v>
      </c>
      <c r="C259" s="383">
        <v>0</v>
      </c>
      <c r="D259" s="313">
        <f>'B) D RI'!AR260</f>
        <v>9301</v>
      </c>
      <c r="E259" s="314">
        <f>'B) D RI'!S260</f>
        <v>75</v>
      </c>
      <c r="F259" s="10">
        <f>'B) D RI'!R260</f>
        <v>17362025.349999998</v>
      </c>
      <c r="G259" s="10">
        <f>'B) D RI'!U260</f>
        <v>231493.6713333333</v>
      </c>
      <c r="H259" s="44">
        <f>'B) D RI'!T260</f>
        <v>15987852.999999998</v>
      </c>
      <c r="I259" s="10">
        <f t="shared" si="22"/>
        <v>426342.74666666664</v>
      </c>
      <c r="J259" s="34">
        <f t="shared" si="23"/>
        <v>809343.42949721171</v>
      </c>
      <c r="K259" s="10">
        <f t="shared" si="19"/>
        <v>426342.74666666664</v>
      </c>
      <c r="L259" s="10">
        <f t="shared" si="24"/>
        <v>383000.68283054506</v>
      </c>
      <c r="M259" s="10">
        <f>'D) Ecrêtage'!M258</f>
        <v>231493.6713333333</v>
      </c>
      <c r="N259" s="10">
        <f t="shared" si="20"/>
        <v>296398.20645529905</v>
      </c>
      <c r="O259" s="67">
        <f t="shared" si="21"/>
        <v>722740.95312196575</v>
      </c>
      <c r="P259" s="315"/>
      <c r="Q259" s="316"/>
      <c r="R259" s="312"/>
      <c r="S259" s="312"/>
      <c r="T259" s="317"/>
    </row>
    <row r="260" spans="1:20" s="311" customFormat="1" x14ac:dyDescent="0.25">
      <c r="A260" s="324">
        <f>'A) Base RI'!A261</f>
        <v>5827</v>
      </c>
      <c r="B260" s="324" t="str">
        <f>'A) Base RI'!B261</f>
        <v>Trey</v>
      </c>
      <c r="C260" s="383">
        <v>0</v>
      </c>
      <c r="D260" s="313">
        <f>'B) D RI'!AR261</f>
        <v>260</v>
      </c>
      <c r="E260" s="314">
        <f>'B) D RI'!S261</f>
        <v>80</v>
      </c>
      <c r="F260" s="10">
        <f>'B) D RI'!R261</f>
        <v>496393.38999999996</v>
      </c>
      <c r="G260" s="10">
        <f>'B) D RI'!U261</f>
        <v>6204.9173749999991</v>
      </c>
      <c r="H260" s="44">
        <f>'B) D RI'!T261</f>
        <v>461111.33999999997</v>
      </c>
      <c r="I260" s="10">
        <f t="shared" si="22"/>
        <v>11527.7835</v>
      </c>
      <c r="J260" s="34">
        <f t="shared" si="23"/>
        <v>22624.372827574996</v>
      </c>
      <c r="K260" s="10">
        <f t="shared" si="19"/>
        <v>11527.7835</v>
      </c>
      <c r="L260" s="10">
        <f t="shared" si="24"/>
        <v>11096.589327574997</v>
      </c>
      <c r="M260" s="10">
        <f>'D) Ecrêtage'!M259</f>
        <v>6204.9173749999991</v>
      </c>
      <c r="N260" s="10">
        <f t="shared" si="20"/>
        <v>7944.6076022748784</v>
      </c>
      <c r="O260" s="67">
        <f t="shared" si="21"/>
        <v>19472.39110227488</v>
      </c>
      <c r="P260" s="315"/>
      <c r="Q260" s="316"/>
      <c r="R260" s="312"/>
      <c r="S260" s="312"/>
      <c r="T260" s="317"/>
    </row>
    <row r="261" spans="1:20" s="311" customFormat="1" x14ac:dyDescent="0.25">
      <c r="A261" s="324">
        <f>'A) Base RI'!A262</f>
        <v>5828</v>
      </c>
      <c r="B261" s="324" t="str">
        <f>'A) Base RI'!B262</f>
        <v>Treytorrens (Payerne)</v>
      </c>
      <c r="C261" s="383">
        <v>0</v>
      </c>
      <c r="D261" s="313">
        <f>'B) D RI'!AR262</f>
        <v>131</v>
      </c>
      <c r="E261" s="314">
        <f>'B) D RI'!S262</f>
        <v>84</v>
      </c>
      <c r="F261" s="10">
        <f>'B) D RI'!R262</f>
        <v>197612.98</v>
      </c>
      <c r="G261" s="10">
        <f>'B) D RI'!U262</f>
        <v>2352.5354761904764</v>
      </c>
      <c r="H261" s="44">
        <f>'B) D RI'!T262</f>
        <v>183963.78</v>
      </c>
      <c r="I261" s="10">
        <f t="shared" si="22"/>
        <v>4380.09</v>
      </c>
      <c r="J261" s="34">
        <f t="shared" si="23"/>
        <v>11399.203232355096</v>
      </c>
      <c r="K261" s="10">
        <f t="shared" si="19"/>
        <v>4380.09</v>
      </c>
      <c r="L261" s="10">
        <f t="shared" si="24"/>
        <v>7019.1132323550955</v>
      </c>
      <c r="M261" s="10">
        <f>'D) Ecrêtage'!M260</f>
        <v>2352.5354761904764</v>
      </c>
      <c r="N261" s="10">
        <f t="shared" si="20"/>
        <v>3012.1224988534536</v>
      </c>
      <c r="O261" s="67">
        <f t="shared" si="21"/>
        <v>7392.2124988534542</v>
      </c>
      <c r="P261" s="315"/>
      <c r="Q261" s="316"/>
      <c r="R261" s="312"/>
      <c r="S261" s="312"/>
      <c r="T261" s="317"/>
    </row>
    <row r="262" spans="1:20" s="311" customFormat="1" x14ac:dyDescent="0.25">
      <c r="A262" s="324">
        <f>'A) Base RI'!A263</f>
        <v>5830</v>
      </c>
      <c r="B262" s="324" t="str">
        <f>'A) Base RI'!B263</f>
        <v>Villarzel</v>
      </c>
      <c r="C262" s="383">
        <v>0</v>
      </c>
      <c r="D262" s="313">
        <f>'B) D RI'!AR263</f>
        <v>424</v>
      </c>
      <c r="E262" s="314">
        <f>'B) D RI'!S263</f>
        <v>79</v>
      </c>
      <c r="F262" s="10">
        <f>'B) D RI'!R263</f>
        <v>769253.75000000012</v>
      </c>
      <c r="G262" s="10">
        <f>'B) D RI'!U263</f>
        <v>9737.3892405063307</v>
      </c>
      <c r="H262" s="44">
        <f>'B) D RI'!T263</f>
        <v>711935.40000000014</v>
      </c>
      <c r="I262" s="10">
        <f t="shared" si="22"/>
        <v>18023.681012658231</v>
      </c>
      <c r="J262" s="34">
        <f t="shared" si="23"/>
        <v>36895.131072660763</v>
      </c>
      <c r="K262" s="10">
        <f t="shared" ref="K262:K312" si="25">IF(C262=1,0,IF(J262&gt;I262,I262,J262))</f>
        <v>18023.681012658231</v>
      </c>
      <c r="L262" s="10">
        <f t="shared" si="24"/>
        <v>18871.450060002531</v>
      </c>
      <c r="M262" s="10">
        <f>'D) Ecrêtage'!M261</f>
        <v>9737.3892405063307</v>
      </c>
      <c r="N262" s="10">
        <f t="shared" ref="N262:N322" si="26">+$N$5*M262</f>
        <v>12467.488591890591</v>
      </c>
      <c r="O262" s="67">
        <f t="shared" ref="O262:O323" si="27">+N262+K262</f>
        <v>30491.169604548821</v>
      </c>
      <c r="P262" s="315"/>
      <c r="Q262" s="316"/>
      <c r="R262" s="312"/>
      <c r="S262" s="312"/>
      <c r="T262" s="317"/>
    </row>
    <row r="263" spans="1:20" s="311" customFormat="1" x14ac:dyDescent="0.25">
      <c r="A263" s="324">
        <f>'A) Base RI'!A264</f>
        <v>5831</v>
      </c>
      <c r="B263" s="324" t="str">
        <f>'A) Base RI'!B264</f>
        <v>Valbroye</v>
      </c>
      <c r="C263" s="383">
        <v>0</v>
      </c>
      <c r="D263" s="313">
        <f>'B) D RI'!AR264</f>
        <v>2974</v>
      </c>
      <c r="E263" s="314">
        <f>'B) D RI'!S264</f>
        <v>73</v>
      </c>
      <c r="F263" s="10">
        <f>'B) D RI'!R264</f>
        <v>5485416.5233333325</v>
      </c>
      <c r="G263" s="10">
        <f>'B) D RI'!U264</f>
        <v>75142.69210045661</v>
      </c>
      <c r="H263" s="44">
        <f>'B) D RI'!T264</f>
        <v>5082663.1899999995</v>
      </c>
      <c r="I263" s="10">
        <f t="shared" ref="I263:I294" si="28">+H263/E263*$I$5</f>
        <v>139251.04630136985</v>
      </c>
      <c r="J263" s="34">
        <f t="shared" ref="J263:J323" si="29">+$I$324/$D$324*D263</f>
        <v>258788.01842003094</v>
      </c>
      <c r="K263" s="10">
        <f t="shared" si="25"/>
        <v>139251.04630136985</v>
      </c>
      <c r="L263" s="10">
        <f t="shared" ref="L263:L323" si="30">+J263-K263</f>
        <v>119536.9721186611</v>
      </c>
      <c r="M263" s="10">
        <f>'D) Ecrêtage'!M262</f>
        <v>75142.69210045661</v>
      </c>
      <c r="N263" s="10">
        <f t="shared" si="26"/>
        <v>96210.661131758927</v>
      </c>
      <c r="O263" s="67">
        <f t="shared" si="27"/>
        <v>235461.70743312879</v>
      </c>
      <c r="P263" s="315"/>
      <c r="Q263" s="316"/>
      <c r="R263" s="312"/>
      <c r="S263" s="312"/>
      <c r="T263" s="317"/>
    </row>
    <row r="264" spans="1:20" s="311" customFormat="1" x14ac:dyDescent="0.25">
      <c r="A264" s="324">
        <f>'A) Base RI'!A265</f>
        <v>5841</v>
      </c>
      <c r="B264" s="324" t="str">
        <f>'A) Base RI'!B265</f>
        <v>Château-d'Oex</v>
      </c>
      <c r="C264" s="383">
        <v>0</v>
      </c>
      <c r="D264" s="313">
        <f>'B) D RI'!AR265</f>
        <v>3477</v>
      </c>
      <c r="E264" s="314">
        <f>'B) D RI'!S265</f>
        <v>83</v>
      </c>
      <c r="F264" s="10">
        <f>'B) D RI'!R265</f>
        <v>8835960.8200000003</v>
      </c>
      <c r="G264" s="10">
        <f>'B) D RI'!U265</f>
        <v>106457.35927710844</v>
      </c>
      <c r="H264" s="44">
        <f>'B) D RI'!T265</f>
        <v>7915257.8999999994</v>
      </c>
      <c r="I264" s="10">
        <f t="shared" si="28"/>
        <v>190729.10602409637</v>
      </c>
      <c r="J264" s="34">
        <f t="shared" si="29"/>
        <v>302557.47815953178</v>
      </c>
      <c r="K264" s="10">
        <f t="shared" si="25"/>
        <v>190729.10602409637</v>
      </c>
      <c r="L264" s="10">
        <f t="shared" si="30"/>
        <v>111828.37213543541</v>
      </c>
      <c r="M264" s="10">
        <f>'D) Ecrêtage'!M263</f>
        <v>106457.35927710844</v>
      </c>
      <c r="N264" s="10">
        <f t="shared" si="26"/>
        <v>136305.11007908851</v>
      </c>
      <c r="O264" s="67">
        <f t="shared" si="27"/>
        <v>327034.21610318485</v>
      </c>
      <c r="P264" s="315"/>
      <c r="Q264" s="316"/>
      <c r="R264" s="312"/>
      <c r="S264" s="312"/>
      <c r="T264" s="317"/>
    </row>
    <row r="265" spans="1:20" s="311" customFormat="1" x14ac:dyDescent="0.25">
      <c r="A265" s="324">
        <f>'A) Base RI'!A266</f>
        <v>5842</v>
      </c>
      <c r="B265" s="324" t="str">
        <f>'A) Base RI'!B266</f>
        <v>Rossinière</v>
      </c>
      <c r="C265" s="383">
        <v>0</v>
      </c>
      <c r="D265" s="313">
        <f>'B) D RI'!AR266</f>
        <v>546</v>
      </c>
      <c r="E265" s="314">
        <f>'B) D RI'!S266</f>
        <v>81</v>
      </c>
      <c r="F265" s="10">
        <f>'B) D RI'!R266</f>
        <v>1095071.3699999999</v>
      </c>
      <c r="G265" s="10">
        <f>'B) D RI'!U266</f>
        <v>13519.399629629628</v>
      </c>
      <c r="H265" s="44">
        <f>'B) D RI'!T266</f>
        <v>1010579.47</v>
      </c>
      <c r="I265" s="10">
        <f t="shared" si="28"/>
        <v>24952.579506172839</v>
      </c>
      <c r="J265" s="34">
        <f t="shared" si="29"/>
        <v>47511.182937907499</v>
      </c>
      <c r="K265" s="10">
        <f t="shared" si="25"/>
        <v>24952.579506172839</v>
      </c>
      <c r="L265" s="10">
        <f t="shared" si="30"/>
        <v>22558.60343173466</v>
      </c>
      <c r="M265" s="10">
        <f>'D) Ecrêtage'!M264</f>
        <v>13519.399629629628</v>
      </c>
      <c r="N265" s="10">
        <f t="shared" si="26"/>
        <v>17309.871926497286</v>
      </c>
      <c r="O265" s="67">
        <f t="shared" si="27"/>
        <v>42262.451432670125</v>
      </c>
      <c r="P265" s="315"/>
      <c r="Q265" s="316"/>
      <c r="R265" s="312"/>
      <c r="S265" s="312"/>
      <c r="T265" s="317"/>
    </row>
    <row r="266" spans="1:20" s="311" customFormat="1" x14ac:dyDescent="0.25">
      <c r="A266" s="324">
        <f>'A) Base RI'!A267</f>
        <v>5843</v>
      </c>
      <c r="B266" s="324" t="str">
        <f>'A) Base RI'!B267</f>
        <v>Rougemont</v>
      </c>
      <c r="C266" s="383">
        <v>0</v>
      </c>
      <c r="D266" s="313">
        <f>'B) D RI'!AR267</f>
        <v>892</v>
      </c>
      <c r="E266" s="314">
        <f>'B) D RI'!S267</f>
        <v>69</v>
      </c>
      <c r="F266" s="10">
        <f>'B) D RI'!R267</f>
        <v>6086726.7133333329</v>
      </c>
      <c r="G266" s="10">
        <f>'B) D RI'!U267</f>
        <v>88213.430628019312</v>
      </c>
      <c r="H266" s="44">
        <f>'B) D RI'!T267</f>
        <v>5341518.38</v>
      </c>
      <c r="I266" s="10">
        <f t="shared" si="28"/>
        <v>154826.61971014494</v>
      </c>
      <c r="J266" s="34">
        <f t="shared" si="29"/>
        <v>77619.002162295757</v>
      </c>
      <c r="K266" s="10">
        <f t="shared" si="25"/>
        <v>77619.002162295757</v>
      </c>
      <c r="L266" s="10">
        <f t="shared" si="30"/>
        <v>0</v>
      </c>
      <c r="M266" s="10">
        <f>'D) Ecrêtage'!M265</f>
        <v>71417.395342027579</v>
      </c>
      <c r="N266" s="10">
        <f t="shared" si="26"/>
        <v>91440.892388827808</v>
      </c>
      <c r="O266" s="67">
        <f t="shared" si="27"/>
        <v>169059.89455112355</v>
      </c>
      <c r="P266" s="315"/>
      <c r="Q266" s="316"/>
      <c r="R266" s="312"/>
      <c r="S266" s="312"/>
      <c r="T266" s="317"/>
    </row>
    <row r="267" spans="1:20" s="311" customFormat="1" x14ac:dyDescent="0.25">
      <c r="A267" s="324">
        <f>'A) Base RI'!A268</f>
        <v>5851</v>
      </c>
      <c r="B267" s="324" t="str">
        <f>'A) Base RI'!B268</f>
        <v>Allaman</v>
      </c>
      <c r="C267" s="383">
        <v>0</v>
      </c>
      <c r="D267" s="313">
        <f>'B) D RI'!AR268</f>
        <v>432</v>
      </c>
      <c r="E267" s="314">
        <f>'B) D RI'!S268</f>
        <v>62</v>
      </c>
      <c r="F267" s="10">
        <f>'B) D RI'!R268</f>
        <v>1667839.0127272729</v>
      </c>
      <c r="G267" s="10">
        <f>'B) D RI'!U268</f>
        <v>26900.629237536661</v>
      </c>
      <c r="H267" s="44">
        <f>'B) D RI'!T268</f>
        <v>1438815.7400000002</v>
      </c>
      <c r="I267" s="10">
        <f t="shared" si="28"/>
        <v>46413.41096774194</v>
      </c>
      <c r="J267" s="34">
        <f t="shared" si="29"/>
        <v>37591.265621201535</v>
      </c>
      <c r="K267" s="10">
        <f t="shared" si="25"/>
        <v>37591.265621201535</v>
      </c>
      <c r="L267" s="10">
        <f t="shared" si="30"/>
        <v>0</v>
      </c>
      <c r="M267" s="10">
        <f>'D) Ecrêtage'!M266</f>
        <v>25939.28319870276</v>
      </c>
      <c r="N267" s="10">
        <f t="shared" si="26"/>
        <v>33211.953365934227</v>
      </c>
      <c r="O267" s="67">
        <f t="shared" si="27"/>
        <v>70803.21898713577</v>
      </c>
      <c r="P267" s="315"/>
      <c r="Q267" s="316"/>
      <c r="R267" s="312"/>
      <c r="S267" s="312"/>
      <c r="T267" s="317"/>
    </row>
    <row r="268" spans="1:20" s="311" customFormat="1" x14ac:dyDescent="0.25">
      <c r="A268" s="324">
        <f>'A) Base RI'!A269</f>
        <v>5852</v>
      </c>
      <c r="B268" s="324" t="str">
        <f>'A) Base RI'!B269</f>
        <v>Bursinel</v>
      </c>
      <c r="C268" s="383">
        <v>0</v>
      </c>
      <c r="D268" s="313">
        <f>'B) D RI'!AR269</f>
        <v>485</v>
      </c>
      <c r="E268" s="314">
        <f>'B) D RI'!S269</f>
        <v>65.5</v>
      </c>
      <c r="F268" s="10">
        <f>'B) D RI'!R269</f>
        <v>1959910.0799999998</v>
      </c>
      <c r="G268" s="10">
        <f>'B) D RI'!U269</f>
        <v>29922.291297709922</v>
      </c>
      <c r="H268" s="44">
        <f>'B) D RI'!T269</f>
        <v>1782360.4799999997</v>
      </c>
      <c r="I268" s="10">
        <f t="shared" si="28"/>
        <v>54423.220763358768</v>
      </c>
      <c r="J268" s="34">
        <f t="shared" si="29"/>
        <v>42203.157005284134</v>
      </c>
      <c r="K268" s="10">
        <f t="shared" si="25"/>
        <v>42203.157005284134</v>
      </c>
      <c r="L268" s="10">
        <f t="shared" si="30"/>
        <v>0</v>
      </c>
      <c r="M268" s="10">
        <f>'D) Ecrêtage'!M267</f>
        <v>28943.315125070134</v>
      </c>
      <c r="N268" s="10">
        <f t="shared" si="26"/>
        <v>37058.23421664333</v>
      </c>
      <c r="O268" s="67">
        <f t="shared" si="27"/>
        <v>79261.391221927464</v>
      </c>
      <c r="P268" s="315"/>
      <c r="Q268" s="316"/>
      <c r="R268" s="312"/>
      <c r="S268" s="312"/>
      <c r="T268" s="317"/>
    </row>
    <row r="269" spans="1:20" s="311" customFormat="1" x14ac:dyDescent="0.25">
      <c r="A269" s="324">
        <f>'A) Base RI'!A270</f>
        <v>5853</v>
      </c>
      <c r="B269" s="324" t="str">
        <f>'A) Base RI'!B270</f>
        <v>Bursins</v>
      </c>
      <c r="C269" s="383">
        <v>0</v>
      </c>
      <c r="D269" s="313">
        <f>'B) D RI'!AR270</f>
        <v>766</v>
      </c>
      <c r="E269" s="314">
        <f>'B) D RI'!S270</f>
        <v>71</v>
      </c>
      <c r="F269" s="10">
        <f>'B) D RI'!R270</f>
        <v>2878568.86</v>
      </c>
      <c r="G269" s="10">
        <f>'B) D RI'!U270</f>
        <v>40543.223380281692</v>
      </c>
      <c r="H269" s="44">
        <f>'B) D RI'!T270</f>
        <v>2711055.56</v>
      </c>
      <c r="I269" s="10">
        <f t="shared" si="28"/>
        <v>76367.762253521127</v>
      </c>
      <c r="J269" s="34">
        <f t="shared" si="29"/>
        <v>66654.883022778653</v>
      </c>
      <c r="K269" s="10">
        <f t="shared" si="25"/>
        <v>66654.883022778653</v>
      </c>
      <c r="L269" s="10">
        <f t="shared" si="30"/>
        <v>0</v>
      </c>
      <c r="M269" s="10">
        <f>'D) Ecrêtage'!M268</f>
        <v>40543.223380281692</v>
      </c>
      <c r="N269" s="10">
        <f t="shared" si="26"/>
        <v>51910.441545196976</v>
      </c>
      <c r="O269" s="67">
        <f t="shared" si="27"/>
        <v>118565.32456797562</v>
      </c>
      <c r="P269" s="315"/>
      <c r="Q269" s="316"/>
      <c r="R269" s="312"/>
      <c r="S269" s="312"/>
      <c r="T269" s="317"/>
    </row>
    <row r="270" spans="1:20" s="311" customFormat="1" x14ac:dyDescent="0.25">
      <c r="A270" s="324">
        <f>'A) Base RI'!A271</f>
        <v>5854</v>
      </c>
      <c r="B270" s="324" t="str">
        <f>'A) Base RI'!B271</f>
        <v>Burtigny</v>
      </c>
      <c r="C270" s="383">
        <v>0</v>
      </c>
      <c r="D270" s="313">
        <f>'B) D RI'!AR271</f>
        <v>359</v>
      </c>
      <c r="E270" s="314">
        <f>'B) D RI'!S271</f>
        <v>80</v>
      </c>
      <c r="F270" s="10">
        <f>'B) D RI'!R271</f>
        <v>846223.0266666665</v>
      </c>
      <c r="G270" s="10">
        <f>'B) D RI'!U271</f>
        <v>10577.787833333332</v>
      </c>
      <c r="H270" s="44">
        <f>'B) D RI'!T271</f>
        <v>783383.45999999985</v>
      </c>
      <c r="I270" s="10">
        <f t="shared" si="28"/>
        <v>19584.586499999998</v>
      </c>
      <c r="J270" s="34">
        <f t="shared" si="29"/>
        <v>31239.037865767015</v>
      </c>
      <c r="K270" s="10">
        <f t="shared" si="25"/>
        <v>19584.586499999998</v>
      </c>
      <c r="L270" s="10">
        <f t="shared" si="30"/>
        <v>11654.451365767018</v>
      </c>
      <c r="M270" s="10">
        <f>'D) Ecrêtage'!M269</f>
        <v>10577.787833333332</v>
      </c>
      <c r="N270" s="10">
        <f t="shared" si="26"/>
        <v>13543.512114204537</v>
      </c>
      <c r="O270" s="67">
        <f t="shared" si="27"/>
        <v>33128.098614204537</v>
      </c>
      <c r="P270" s="315"/>
      <c r="Q270" s="316"/>
      <c r="R270" s="312"/>
      <c r="S270" s="312"/>
      <c r="T270" s="317"/>
    </row>
    <row r="271" spans="1:20" s="311" customFormat="1" x14ac:dyDescent="0.25">
      <c r="A271" s="324">
        <f>'A) Base RI'!A272</f>
        <v>5855</v>
      </c>
      <c r="B271" s="324" t="str">
        <f>'A) Base RI'!B272</f>
        <v>Dully</v>
      </c>
      <c r="C271" s="383">
        <v>0</v>
      </c>
      <c r="D271" s="313">
        <f>'B) D RI'!AR272</f>
        <v>633</v>
      </c>
      <c r="E271" s="314">
        <f>'B) D RI'!S272</f>
        <v>49</v>
      </c>
      <c r="F271" s="10">
        <f>'B) D RI'!R272</f>
        <v>3890000.8600000003</v>
      </c>
      <c r="G271" s="10">
        <f>'B) D RI'!U272</f>
        <v>79387.772653061227</v>
      </c>
      <c r="H271" s="44">
        <f>'B) D RI'!T272</f>
        <v>3541714.9600000004</v>
      </c>
      <c r="I271" s="10">
        <f t="shared" si="28"/>
        <v>144559.79428571431</v>
      </c>
      <c r="J271" s="34">
        <f t="shared" si="29"/>
        <v>55081.646153288362</v>
      </c>
      <c r="K271" s="10">
        <f t="shared" si="25"/>
        <v>55081.646153288362</v>
      </c>
      <c r="L271" s="10">
        <f t="shared" si="30"/>
        <v>0</v>
      </c>
      <c r="M271" s="10">
        <f>'D) Ecrêtage'!M270</f>
        <v>58067.398614193939</v>
      </c>
      <c r="N271" s="10">
        <f t="shared" si="26"/>
        <v>74347.919334647217</v>
      </c>
      <c r="O271" s="67">
        <f t="shared" si="27"/>
        <v>129429.56548793559</v>
      </c>
      <c r="P271" s="315"/>
      <c r="Q271" s="316"/>
      <c r="R271" s="312"/>
      <c r="S271" s="312"/>
      <c r="T271" s="317"/>
    </row>
    <row r="272" spans="1:20" s="311" customFormat="1" x14ac:dyDescent="0.25">
      <c r="A272" s="324">
        <f>'A) Base RI'!A273</f>
        <v>5856</v>
      </c>
      <c r="B272" s="324" t="str">
        <f>'A) Base RI'!B273</f>
        <v>Essertines-sur-Rolle</v>
      </c>
      <c r="C272" s="383">
        <v>0</v>
      </c>
      <c r="D272" s="313">
        <f>'B) D RI'!AR273</f>
        <v>695</v>
      </c>
      <c r="E272" s="314">
        <f>'B) D RI'!S273</f>
        <v>68</v>
      </c>
      <c r="F272" s="10">
        <f>'B) D RI'!R273</f>
        <v>2166670.5553846154</v>
      </c>
      <c r="G272" s="10">
        <f>'B) D RI'!U273</f>
        <v>31862.802285067875</v>
      </c>
      <c r="H272" s="44">
        <f>'B) D RI'!T273</f>
        <v>1995256.94</v>
      </c>
      <c r="I272" s="10">
        <f t="shared" si="28"/>
        <v>58684.027647058821</v>
      </c>
      <c r="J272" s="34">
        <f t="shared" si="29"/>
        <v>60476.688904479321</v>
      </c>
      <c r="K272" s="10">
        <f t="shared" si="25"/>
        <v>58684.027647058821</v>
      </c>
      <c r="L272" s="10">
        <f t="shared" si="30"/>
        <v>1792.6612574204992</v>
      </c>
      <c r="M272" s="10">
        <f>'D) Ecrêtage'!M271</f>
        <v>31862.802285067875</v>
      </c>
      <c r="N272" s="10">
        <f t="shared" si="26"/>
        <v>40796.266245806641</v>
      </c>
      <c r="O272" s="67">
        <f t="shared" si="27"/>
        <v>99480.293892865462</v>
      </c>
      <c r="P272" s="315"/>
      <c r="Q272" s="316"/>
      <c r="R272" s="312"/>
      <c r="S272" s="312"/>
      <c r="T272" s="317"/>
    </row>
    <row r="273" spans="1:20" s="311" customFormat="1" x14ac:dyDescent="0.25">
      <c r="A273" s="324">
        <f>'A) Base RI'!A274</f>
        <v>5857</v>
      </c>
      <c r="B273" s="324" t="str">
        <f>'A) Base RI'!B274</f>
        <v>Gilly</v>
      </c>
      <c r="C273" s="383">
        <v>0</v>
      </c>
      <c r="D273" s="313">
        <f>'B) D RI'!AR274</f>
        <v>1230</v>
      </c>
      <c r="E273" s="314">
        <f>'B) D RI'!S274</f>
        <v>66</v>
      </c>
      <c r="F273" s="10">
        <f>'B) D RI'!R274</f>
        <v>4127669.41</v>
      </c>
      <c r="G273" s="10">
        <f>'B) D RI'!U274</f>
        <v>62540.44560606061</v>
      </c>
      <c r="H273" s="44">
        <f>'B) D RI'!T274</f>
        <v>3791599.41</v>
      </c>
      <c r="I273" s="10">
        <f t="shared" si="28"/>
        <v>114896.95181818183</v>
      </c>
      <c r="J273" s="34">
        <f t="shared" si="29"/>
        <v>107030.68683814326</v>
      </c>
      <c r="K273" s="10">
        <f t="shared" si="25"/>
        <v>107030.68683814326</v>
      </c>
      <c r="L273" s="10">
        <f t="shared" si="30"/>
        <v>0</v>
      </c>
      <c r="M273" s="10">
        <f>'D) Ecrêtage'!M272</f>
        <v>62540.44560606061</v>
      </c>
      <c r="N273" s="10">
        <f t="shared" si="26"/>
        <v>80075.087158040958</v>
      </c>
      <c r="O273" s="67">
        <f t="shared" si="27"/>
        <v>187105.77399618423</v>
      </c>
      <c r="P273" s="315"/>
      <c r="Q273" s="316"/>
      <c r="R273" s="312"/>
      <c r="S273" s="312"/>
      <c r="T273" s="317"/>
    </row>
    <row r="274" spans="1:20" s="311" customFormat="1" x14ac:dyDescent="0.25">
      <c r="A274" s="324">
        <f>'A) Base RI'!A275</f>
        <v>5858</v>
      </c>
      <c r="B274" s="324" t="str">
        <f>'A) Base RI'!B275</f>
        <v>Luins</v>
      </c>
      <c r="C274" s="383">
        <v>0</v>
      </c>
      <c r="D274" s="313">
        <f>'B) D RI'!AR275</f>
        <v>625</v>
      </c>
      <c r="E274" s="314">
        <f>'B) D RI'!S275</f>
        <v>60</v>
      </c>
      <c r="F274" s="10">
        <f>'B) D RI'!R275</f>
        <v>2102718.1166666667</v>
      </c>
      <c r="G274" s="10">
        <f>'B) D RI'!U275</f>
        <v>35045.301944444444</v>
      </c>
      <c r="H274" s="44">
        <f>'B) D RI'!T275</f>
        <v>1958408.85</v>
      </c>
      <c r="I274" s="10">
        <f t="shared" si="28"/>
        <v>65280.295000000006</v>
      </c>
      <c r="J274" s="34">
        <f t="shared" si="29"/>
        <v>54385.511604747589</v>
      </c>
      <c r="K274" s="10">
        <f t="shared" si="25"/>
        <v>54385.511604747589</v>
      </c>
      <c r="L274" s="10">
        <f t="shared" si="30"/>
        <v>0</v>
      </c>
      <c r="M274" s="10">
        <f>'D) Ecrêtage'!M273</f>
        <v>35045.301944444444</v>
      </c>
      <c r="N274" s="10">
        <f t="shared" si="26"/>
        <v>44871.052332401436</v>
      </c>
      <c r="O274" s="67">
        <f t="shared" si="27"/>
        <v>99256.563937149025</v>
      </c>
      <c r="P274" s="315"/>
      <c r="Q274" s="316"/>
      <c r="R274" s="312"/>
      <c r="S274" s="312"/>
      <c r="T274" s="317"/>
    </row>
    <row r="275" spans="1:20" s="311" customFormat="1" x14ac:dyDescent="0.25">
      <c r="A275" s="324">
        <f>'A) Base RI'!A276</f>
        <v>5859</v>
      </c>
      <c r="B275" s="324" t="str">
        <f>'A) Base RI'!B276</f>
        <v>Mont-sur-Rolle</v>
      </c>
      <c r="C275" s="383">
        <v>0</v>
      </c>
      <c r="D275" s="313">
        <f>'B) D RI'!AR276</f>
        <v>2660</v>
      </c>
      <c r="E275" s="314">
        <f>'B) D RI'!S276</f>
        <v>64</v>
      </c>
      <c r="F275" s="10">
        <f>'B) D RI'!R276</f>
        <v>8347544.3800000018</v>
      </c>
      <c r="G275" s="10">
        <f>'B) D RI'!U276</f>
        <v>130430.38093750003</v>
      </c>
      <c r="H275" s="44">
        <f>'B) D RI'!T276</f>
        <v>7730277.2800000012</v>
      </c>
      <c r="I275" s="10">
        <f t="shared" si="28"/>
        <v>241571.16500000004</v>
      </c>
      <c r="J275" s="34">
        <f t="shared" si="29"/>
        <v>231464.73738980576</v>
      </c>
      <c r="K275" s="10">
        <f t="shared" si="25"/>
        <v>231464.73738980576</v>
      </c>
      <c r="L275" s="10">
        <f t="shared" si="30"/>
        <v>0</v>
      </c>
      <c r="M275" s="10">
        <f>'D) Ecrêtage'!M274</f>
        <v>130430.38093750003</v>
      </c>
      <c r="N275" s="10">
        <f t="shared" si="26"/>
        <v>166999.51560010438</v>
      </c>
      <c r="O275" s="67">
        <f t="shared" si="27"/>
        <v>398464.25298991014</v>
      </c>
      <c r="P275" s="315"/>
      <c r="Q275" s="316"/>
      <c r="R275" s="312"/>
      <c r="S275" s="312"/>
      <c r="T275" s="317"/>
    </row>
    <row r="276" spans="1:20" s="311" customFormat="1" x14ac:dyDescent="0.25">
      <c r="A276" s="324">
        <f>'A) Base RI'!A277</f>
        <v>5860</v>
      </c>
      <c r="B276" s="324" t="str">
        <f>'A) Base RI'!B277</f>
        <v>Perroy</v>
      </c>
      <c r="C276" s="383">
        <v>0</v>
      </c>
      <c r="D276" s="313">
        <f>'B) D RI'!AR277</f>
        <v>1453</v>
      </c>
      <c r="E276" s="314">
        <f>'B) D RI'!S277</f>
        <v>60</v>
      </c>
      <c r="F276" s="10">
        <f>'B) D RI'!R277</f>
        <v>5564986.6823076922</v>
      </c>
      <c r="G276" s="10">
        <f>'B) D RI'!U277</f>
        <v>92749.778038461533</v>
      </c>
      <c r="H276" s="44">
        <f>'B) D RI'!T277</f>
        <v>5082661.49</v>
      </c>
      <c r="I276" s="10">
        <f t="shared" si="28"/>
        <v>169422.04966666669</v>
      </c>
      <c r="J276" s="34">
        <f t="shared" si="29"/>
        <v>126435.43737871721</v>
      </c>
      <c r="K276" s="10">
        <f t="shared" si="25"/>
        <v>126435.43737871721</v>
      </c>
      <c r="L276" s="10">
        <f t="shared" si="30"/>
        <v>0</v>
      </c>
      <c r="M276" s="10">
        <f>'D) Ecrêtage'!M275</f>
        <v>88698.620322265895</v>
      </c>
      <c r="N276" s="10">
        <f t="shared" si="26"/>
        <v>113567.3032751007</v>
      </c>
      <c r="O276" s="67">
        <f t="shared" si="27"/>
        <v>240002.74065381789</v>
      </c>
      <c r="P276" s="315"/>
      <c r="Q276" s="316"/>
      <c r="R276" s="312"/>
      <c r="S276" s="312"/>
      <c r="T276" s="317"/>
    </row>
    <row r="277" spans="1:20" s="311" customFormat="1" x14ac:dyDescent="0.25">
      <c r="A277" s="324">
        <f>'A) Base RI'!A278</f>
        <v>5861</v>
      </c>
      <c r="B277" s="324" t="str">
        <f>'A) Base RI'!B278</f>
        <v>Rolle</v>
      </c>
      <c r="C277" s="383">
        <v>0</v>
      </c>
      <c r="D277" s="313">
        <f>'B) D RI'!AR278</f>
        <v>6142</v>
      </c>
      <c r="E277" s="314">
        <f>'B) D RI'!S278</f>
        <v>59.5</v>
      </c>
      <c r="F277" s="10">
        <f>'B) D RI'!R278</f>
        <v>49669910.390000001</v>
      </c>
      <c r="G277" s="10">
        <f>'B) D RI'!U278</f>
        <v>834788.40991596645</v>
      </c>
      <c r="H277" s="44">
        <f>'B) D RI'!T278</f>
        <v>47695616.840000004</v>
      </c>
      <c r="I277" s="10">
        <f t="shared" si="28"/>
        <v>1603214.0114285715</v>
      </c>
      <c r="J277" s="34">
        <f t="shared" si="29"/>
        <v>534457.29964217555</v>
      </c>
      <c r="K277" s="10">
        <f t="shared" si="25"/>
        <v>534457.29964217555</v>
      </c>
      <c r="L277" s="10">
        <f t="shared" si="30"/>
        <v>0</v>
      </c>
      <c r="M277" s="10">
        <f>'D) Ecrêtage'!M276</f>
        <v>591803.10012437461</v>
      </c>
      <c r="N277" s="10">
        <f t="shared" si="26"/>
        <v>757728.60848093859</v>
      </c>
      <c r="O277" s="67">
        <f t="shared" si="27"/>
        <v>1292185.9081231141</v>
      </c>
      <c r="P277" s="315"/>
      <c r="Q277" s="316"/>
      <c r="R277" s="312"/>
      <c r="S277" s="312"/>
      <c r="T277" s="317"/>
    </row>
    <row r="278" spans="1:20" s="311" customFormat="1" x14ac:dyDescent="0.25">
      <c r="A278" s="324">
        <f>'A) Base RI'!A279</f>
        <v>5862</v>
      </c>
      <c r="B278" s="324" t="str">
        <f>'A) Base RI'!B279</f>
        <v>Tartegnin</v>
      </c>
      <c r="C278" s="383">
        <v>0</v>
      </c>
      <c r="D278" s="313">
        <f>'B) D RI'!AR279</f>
        <v>236</v>
      </c>
      <c r="E278" s="314">
        <f>'B) D RI'!S279</f>
        <v>84</v>
      </c>
      <c r="F278" s="10">
        <f>'B) D RI'!R279</f>
        <v>697319.41333333333</v>
      </c>
      <c r="G278" s="10">
        <f>'B) D RI'!U279</f>
        <v>8301.4215873015874</v>
      </c>
      <c r="H278" s="44">
        <f>'B) D RI'!T279</f>
        <v>652068.57999999996</v>
      </c>
      <c r="I278" s="10">
        <f t="shared" si="28"/>
        <v>15525.44238095238</v>
      </c>
      <c r="J278" s="34">
        <f t="shared" si="29"/>
        <v>20535.969181952692</v>
      </c>
      <c r="K278" s="10">
        <f t="shared" si="25"/>
        <v>15525.44238095238</v>
      </c>
      <c r="L278" s="10">
        <f t="shared" si="30"/>
        <v>5010.5268010003128</v>
      </c>
      <c r="M278" s="10">
        <f>'D) Ecrêtage'!M277</f>
        <v>8301.4215873015874</v>
      </c>
      <c r="N278" s="10">
        <f t="shared" si="26"/>
        <v>10628.914627918795</v>
      </c>
      <c r="O278" s="67">
        <f t="shared" si="27"/>
        <v>26154.357008871175</v>
      </c>
      <c r="P278" s="315"/>
      <c r="Q278" s="316"/>
      <c r="R278" s="312"/>
      <c r="S278" s="312"/>
      <c r="T278" s="317"/>
    </row>
    <row r="279" spans="1:20" s="311" customFormat="1" x14ac:dyDescent="0.25">
      <c r="A279" s="324">
        <f>'A) Base RI'!A280</f>
        <v>5863</v>
      </c>
      <c r="B279" s="324" t="str">
        <f>'A) Base RI'!B280</f>
        <v>Vinzel</v>
      </c>
      <c r="C279" s="383">
        <v>0</v>
      </c>
      <c r="D279" s="313">
        <f>'B) D RI'!AR280</f>
        <v>352</v>
      </c>
      <c r="E279" s="314">
        <f>'B) D RI'!S280</f>
        <v>70</v>
      </c>
      <c r="F279" s="10">
        <f>'B) D RI'!R280</f>
        <v>1716985.97</v>
      </c>
      <c r="G279" s="10">
        <f>'B) D RI'!U280</f>
        <v>24528.370999999999</v>
      </c>
      <c r="H279" s="44">
        <f>'B) D RI'!T280</f>
        <v>1642680.77</v>
      </c>
      <c r="I279" s="10">
        <f t="shared" si="28"/>
        <v>46933.736285714287</v>
      </c>
      <c r="J279" s="34">
        <f t="shared" si="29"/>
        <v>30629.920135793844</v>
      </c>
      <c r="K279" s="10">
        <f t="shared" si="25"/>
        <v>30629.920135793844</v>
      </c>
      <c r="L279" s="10">
        <f t="shared" si="30"/>
        <v>0</v>
      </c>
      <c r="M279" s="10">
        <f>'D) Ecrêtage'!M278</f>
        <v>22805.689688405353</v>
      </c>
      <c r="N279" s="10">
        <f t="shared" si="26"/>
        <v>29199.785383705774</v>
      </c>
      <c r="O279" s="67">
        <f t="shared" si="27"/>
        <v>59829.705519499621</v>
      </c>
      <c r="P279" s="315"/>
      <c r="Q279" s="316"/>
      <c r="R279" s="312"/>
      <c r="S279" s="312"/>
      <c r="T279" s="317"/>
    </row>
    <row r="280" spans="1:20" s="311" customFormat="1" x14ac:dyDescent="0.25">
      <c r="A280" s="324">
        <f>'A) Base RI'!A281</f>
        <v>5871</v>
      </c>
      <c r="B280" s="324" t="str">
        <f>'A) Base RI'!B281</f>
        <v>L'Abbaye</v>
      </c>
      <c r="C280" s="383">
        <v>0</v>
      </c>
      <c r="D280" s="313">
        <f>'B) D RI'!AR281</f>
        <v>1439</v>
      </c>
      <c r="E280" s="314">
        <f>'B) D RI'!S281</f>
        <v>77.489999999999995</v>
      </c>
      <c r="F280" s="10">
        <f>'B) D RI'!R281</f>
        <v>3190219.2800000007</v>
      </c>
      <c r="G280" s="10">
        <f>'B) D RI'!U281</f>
        <v>41169.431926700228</v>
      </c>
      <c r="H280" s="44">
        <f>'B) D RI'!T281</f>
        <v>2949120.6800000006</v>
      </c>
      <c r="I280" s="10">
        <f t="shared" si="28"/>
        <v>76116.161569234755</v>
      </c>
      <c r="J280" s="34">
        <f t="shared" si="29"/>
        <v>125217.20191877085</v>
      </c>
      <c r="K280" s="10">
        <f t="shared" si="25"/>
        <v>76116.161569234755</v>
      </c>
      <c r="L280" s="10">
        <f t="shared" si="30"/>
        <v>49101.040349536095</v>
      </c>
      <c r="M280" s="10">
        <f>'D) Ecrêtage'!M279</f>
        <v>41169.431926700228</v>
      </c>
      <c r="N280" s="10">
        <f t="shared" si="26"/>
        <v>52712.221952222331</v>
      </c>
      <c r="O280" s="67">
        <f t="shared" si="27"/>
        <v>128828.38352145709</v>
      </c>
      <c r="P280" s="315"/>
      <c r="Q280" s="316"/>
      <c r="R280" s="312"/>
      <c r="S280" s="312"/>
      <c r="T280" s="317"/>
    </row>
    <row r="281" spans="1:20" s="311" customFormat="1" x14ac:dyDescent="0.25">
      <c r="A281" s="324">
        <f>'A) Base RI'!A282</f>
        <v>5872</v>
      </c>
      <c r="B281" s="324" t="str">
        <f>'A) Base RI'!B282</f>
        <v>Le Chenit</v>
      </c>
      <c r="C281" s="383">
        <v>0</v>
      </c>
      <c r="D281" s="313">
        <f>'B) D RI'!AR282</f>
        <v>4608</v>
      </c>
      <c r="E281" s="314">
        <f>'B) D RI'!S282</f>
        <v>69.7</v>
      </c>
      <c r="F281" s="10">
        <f>'B) D RI'!R282</f>
        <v>21992022.144285709</v>
      </c>
      <c r="G281" s="10">
        <f>'B) D RI'!U282</f>
        <v>315523.99059233442</v>
      </c>
      <c r="H281" s="44">
        <f>'B) D RI'!T282</f>
        <v>21324962.429999996</v>
      </c>
      <c r="I281" s="10">
        <f t="shared" si="28"/>
        <v>611907.09985652787</v>
      </c>
      <c r="J281" s="34">
        <f t="shared" si="29"/>
        <v>400973.49995948304</v>
      </c>
      <c r="K281" s="10">
        <f t="shared" si="25"/>
        <v>400973.49995948304</v>
      </c>
      <c r="L281" s="10">
        <f t="shared" si="30"/>
        <v>0</v>
      </c>
      <c r="M281" s="10">
        <f>'D) Ecrêtage'!M280</f>
        <v>294979.41250367323</v>
      </c>
      <c r="N281" s="10">
        <f t="shared" si="26"/>
        <v>377683.62436756218</v>
      </c>
      <c r="O281" s="67">
        <f t="shared" si="27"/>
        <v>778657.12432704517</v>
      </c>
      <c r="P281" s="315"/>
      <c r="Q281" s="316"/>
      <c r="R281" s="312"/>
      <c r="S281" s="312"/>
      <c r="T281" s="317"/>
    </row>
    <row r="282" spans="1:20" s="311" customFormat="1" x14ac:dyDescent="0.25">
      <c r="A282" s="324">
        <f>'A) Base RI'!A283</f>
        <v>5873</v>
      </c>
      <c r="B282" s="324" t="str">
        <f>'A) Base RI'!B283</f>
        <v>Le Lieu</v>
      </c>
      <c r="C282" s="383">
        <v>0</v>
      </c>
      <c r="D282" s="313">
        <f>'B) D RI'!AR283</f>
        <v>873</v>
      </c>
      <c r="E282" s="314">
        <f>'B) D RI'!S283</f>
        <v>65</v>
      </c>
      <c r="F282" s="10">
        <f>'B) D RI'!R283</f>
        <v>1988159.3566666667</v>
      </c>
      <c r="G282" s="10">
        <f>'B) D RI'!U283</f>
        <v>30587.067025641027</v>
      </c>
      <c r="H282" s="44">
        <f>'B) D RI'!T283</f>
        <v>1852887.69</v>
      </c>
      <c r="I282" s="10">
        <f t="shared" si="28"/>
        <v>57011.928923076921</v>
      </c>
      <c r="J282" s="34">
        <f t="shared" si="29"/>
        <v>75965.682609511437</v>
      </c>
      <c r="K282" s="10">
        <f t="shared" si="25"/>
        <v>57011.928923076921</v>
      </c>
      <c r="L282" s="10">
        <f t="shared" si="30"/>
        <v>18953.753686434517</v>
      </c>
      <c r="M282" s="10">
        <f>'D) Ecrêtage'!M281</f>
        <v>30587.067025641027</v>
      </c>
      <c r="N282" s="10">
        <f t="shared" si="26"/>
        <v>39162.849484873113</v>
      </c>
      <c r="O282" s="67">
        <f t="shared" si="27"/>
        <v>96174.778407950042</v>
      </c>
      <c r="P282" s="315"/>
      <c r="Q282" s="316"/>
      <c r="R282" s="312"/>
      <c r="S282" s="312"/>
      <c r="T282" s="317"/>
    </row>
    <row r="283" spans="1:20" s="311" customFormat="1" x14ac:dyDescent="0.25">
      <c r="A283" s="324">
        <f>'A) Base RI'!A284</f>
        <v>5881</v>
      </c>
      <c r="B283" s="324" t="str">
        <f>'A) Base RI'!B284</f>
        <v>Blonay</v>
      </c>
      <c r="C283" s="383">
        <v>1</v>
      </c>
      <c r="D283" s="313">
        <f>'B) D RI'!AR284</f>
        <v>6116</v>
      </c>
      <c r="E283" s="314">
        <f>'B) D RI'!S284</f>
        <v>70</v>
      </c>
      <c r="F283" s="10">
        <f>'B) D RI'!R284</f>
        <v>23268550.309999999</v>
      </c>
      <c r="G283" s="10">
        <f>'B) D RI'!U284</f>
        <v>332407.86157142854</v>
      </c>
      <c r="H283" s="44">
        <f>'B) D RI'!T284</f>
        <v>21662274.709999997</v>
      </c>
      <c r="I283" s="10">
        <f t="shared" si="28"/>
        <v>618922.13457142853</v>
      </c>
      <c r="J283" s="34">
        <f t="shared" si="29"/>
        <v>532194.86235941807</v>
      </c>
      <c r="K283" s="10">
        <f t="shared" si="25"/>
        <v>0</v>
      </c>
      <c r="L283" s="10">
        <f t="shared" si="30"/>
        <v>532194.86235941807</v>
      </c>
      <c r="M283" s="10">
        <f>'D) Ecrêtage'!M282</f>
        <v>332407.86157142854</v>
      </c>
      <c r="N283" s="10">
        <f t="shared" si="26"/>
        <v>425605.99351998739</v>
      </c>
      <c r="O283" s="67">
        <f t="shared" si="27"/>
        <v>425605.99351998739</v>
      </c>
      <c r="P283" s="315"/>
      <c r="Q283" s="316"/>
      <c r="R283" s="312"/>
      <c r="S283" s="312"/>
      <c r="T283" s="317"/>
    </row>
    <row r="284" spans="1:20" s="311" customFormat="1" x14ac:dyDescent="0.25">
      <c r="A284" s="324">
        <f>'A) Base RI'!A285</f>
        <v>5882</v>
      </c>
      <c r="B284" s="324" t="str">
        <f>'A) Base RI'!B285</f>
        <v>Chardonne</v>
      </c>
      <c r="C284" s="383">
        <v>1</v>
      </c>
      <c r="D284" s="313">
        <f>'B) D RI'!AR285</f>
        <v>2916</v>
      </c>
      <c r="E284" s="314">
        <f>'B) D RI'!S285</f>
        <v>68</v>
      </c>
      <c r="F284" s="10">
        <f>'B) D RI'!R285</f>
        <v>10274083.699999997</v>
      </c>
      <c r="G284" s="10">
        <f>'B) D RI'!U285</f>
        <v>151089.46617647054</v>
      </c>
      <c r="H284" s="44">
        <f>'B) D RI'!T285</f>
        <v>9423868.4299999978</v>
      </c>
      <c r="I284" s="10">
        <f t="shared" si="28"/>
        <v>277172.60088235285</v>
      </c>
      <c r="J284" s="34">
        <f t="shared" si="29"/>
        <v>253741.04294311037</v>
      </c>
      <c r="K284" s="10">
        <f t="shared" si="25"/>
        <v>0</v>
      </c>
      <c r="L284" s="10">
        <f t="shared" si="30"/>
        <v>253741.04294311037</v>
      </c>
      <c r="M284" s="10">
        <f>'D) Ecrêtage'!M283</f>
        <v>151089.46617647054</v>
      </c>
      <c r="N284" s="10">
        <f t="shared" si="26"/>
        <v>193450.8469759021</v>
      </c>
      <c r="O284" s="67">
        <f t="shared" si="27"/>
        <v>193450.8469759021</v>
      </c>
      <c r="P284" s="315"/>
      <c r="Q284" s="316"/>
      <c r="R284" s="312"/>
      <c r="S284" s="312"/>
      <c r="T284" s="317"/>
    </row>
    <row r="285" spans="1:20" s="311" customFormat="1" x14ac:dyDescent="0.25">
      <c r="A285" s="324">
        <f>'A) Base RI'!A286</f>
        <v>5883</v>
      </c>
      <c r="B285" s="324" t="str">
        <f>'A) Base RI'!B286</f>
        <v>Corseaux</v>
      </c>
      <c r="C285" s="383">
        <v>1</v>
      </c>
      <c r="D285" s="313">
        <f>'B) D RI'!AR286</f>
        <v>2212</v>
      </c>
      <c r="E285" s="314">
        <f>'B) D RI'!S286</f>
        <v>64</v>
      </c>
      <c r="F285" s="10">
        <f>'B) D RI'!R286</f>
        <v>9671528.3300000001</v>
      </c>
      <c r="G285" s="10">
        <f>'B) D RI'!U286</f>
        <v>151117.63015625</v>
      </c>
      <c r="H285" s="44">
        <f>'B) D RI'!T286</f>
        <v>9036206.9299999997</v>
      </c>
      <c r="I285" s="10">
        <f t="shared" si="28"/>
        <v>282381.46656249999</v>
      </c>
      <c r="J285" s="34">
        <f t="shared" si="29"/>
        <v>192481.20267152268</v>
      </c>
      <c r="K285" s="10">
        <f t="shared" si="25"/>
        <v>0</v>
      </c>
      <c r="L285" s="10">
        <f t="shared" si="30"/>
        <v>192481.20267152268</v>
      </c>
      <c r="M285" s="10">
        <f>'D) Ecrêtage'!M284</f>
        <v>141379.66208827455</v>
      </c>
      <c r="N285" s="10">
        <f t="shared" si="26"/>
        <v>181018.67766346518</v>
      </c>
      <c r="O285" s="67">
        <f t="shared" si="27"/>
        <v>181018.67766346518</v>
      </c>
      <c r="P285" s="315"/>
      <c r="Q285" s="316"/>
      <c r="R285" s="312"/>
      <c r="S285" s="312"/>
      <c r="T285" s="317"/>
    </row>
    <row r="286" spans="1:20" s="311" customFormat="1" x14ac:dyDescent="0.25">
      <c r="A286" s="324">
        <f>'A) Base RI'!A287</f>
        <v>5884</v>
      </c>
      <c r="B286" s="324" t="str">
        <f>'A) Base RI'!B287</f>
        <v>Corsier-sur-Vevey</v>
      </c>
      <c r="C286" s="383">
        <v>1</v>
      </c>
      <c r="D286" s="313">
        <f>'B) D RI'!AR287</f>
        <v>3403</v>
      </c>
      <c r="E286" s="314">
        <f>'B) D RI'!S287</f>
        <v>66</v>
      </c>
      <c r="F286" s="10">
        <f>'B) D RI'!R287</f>
        <v>7685080.9933333332</v>
      </c>
      <c r="G286" s="10">
        <f>'B) D RI'!U287</f>
        <v>116440.6211111111</v>
      </c>
      <c r="H286" s="44">
        <f>'B) D RI'!T287</f>
        <v>6792920.4100000001</v>
      </c>
      <c r="I286" s="10">
        <f t="shared" si="28"/>
        <v>205846.07303030303</v>
      </c>
      <c r="J286" s="34">
        <f t="shared" si="29"/>
        <v>296118.23358552967</v>
      </c>
      <c r="K286" s="10">
        <f t="shared" si="25"/>
        <v>0</v>
      </c>
      <c r="L286" s="10">
        <f t="shared" si="30"/>
        <v>296118.23358552967</v>
      </c>
      <c r="M286" s="10">
        <f>'D) Ecrêtage'!M285</f>
        <v>116440.6211111111</v>
      </c>
      <c r="N286" s="10">
        <f t="shared" si="26"/>
        <v>149087.40725865704</v>
      </c>
      <c r="O286" s="67">
        <f t="shared" si="27"/>
        <v>149087.40725865704</v>
      </c>
      <c r="P286" s="315"/>
      <c r="Q286" s="316"/>
      <c r="R286" s="312"/>
      <c r="S286" s="312"/>
      <c r="T286" s="317"/>
    </row>
    <row r="287" spans="1:20" s="311" customFormat="1" x14ac:dyDescent="0.25">
      <c r="A287" s="324">
        <f>'A) Base RI'!A288</f>
        <v>5885</v>
      </c>
      <c r="B287" s="324" t="str">
        <f>'A) Base RI'!B288</f>
        <v>Jongny</v>
      </c>
      <c r="C287" s="383">
        <v>1</v>
      </c>
      <c r="D287" s="313">
        <f>'B) D RI'!AR288</f>
        <v>1488</v>
      </c>
      <c r="E287" s="314">
        <f>'B) D RI'!S288</f>
        <v>71</v>
      </c>
      <c r="F287" s="10">
        <f>'B) D RI'!R288</f>
        <v>5810861.7350000003</v>
      </c>
      <c r="G287" s="10">
        <f>'B) D RI'!U288</f>
        <v>81843.123028169022</v>
      </c>
      <c r="H287" s="44">
        <f>'B) D RI'!T288</f>
        <v>5456122.1100000003</v>
      </c>
      <c r="I287" s="10">
        <f t="shared" si="28"/>
        <v>153693.5805633803</v>
      </c>
      <c r="J287" s="34">
        <f t="shared" si="29"/>
        <v>129481.02602858306</v>
      </c>
      <c r="K287" s="10">
        <f t="shared" si="25"/>
        <v>0</v>
      </c>
      <c r="L287" s="10">
        <f t="shared" si="30"/>
        <v>129481.02602858306</v>
      </c>
      <c r="M287" s="10">
        <f>'D) Ecrêtage'!M286</f>
        <v>81843.123028169022</v>
      </c>
      <c r="N287" s="10">
        <f t="shared" si="26"/>
        <v>104789.71082246037</v>
      </c>
      <c r="O287" s="67">
        <f t="shared" si="27"/>
        <v>104789.71082246037</v>
      </c>
      <c r="P287" s="315"/>
      <c r="Q287" s="316"/>
      <c r="R287" s="312"/>
      <c r="S287" s="312"/>
      <c r="T287" s="317"/>
    </row>
    <row r="288" spans="1:20" s="311" customFormat="1" x14ac:dyDescent="0.25">
      <c r="A288" s="324">
        <f>'A) Base RI'!A289</f>
        <v>5886</v>
      </c>
      <c r="B288" s="324" t="str">
        <f>'A) Base RI'!B289</f>
        <v>Montreux</v>
      </c>
      <c r="C288" s="383">
        <v>1</v>
      </c>
      <c r="D288" s="313">
        <f>'B) D RI'!AR289</f>
        <v>26402</v>
      </c>
      <c r="E288" s="314">
        <f>'B) D RI'!S289</f>
        <v>65</v>
      </c>
      <c r="F288" s="10">
        <f>'B) D RI'!R289</f>
        <v>76390536.163333341</v>
      </c>
      <c r="G288" s="10">
        <f>'B) D RI'!U289</f>
        <v>1175239.0178974359</v>
      </c>
      <c r="H288" s="44">
        <f>'B) D RI'!T289</f>
        <v>69481666.870000005</v>
      </c>
      <c r="I288" s="10">
        <f t="shared" si="28"/>
        <v>2137897.4421538464</v>
      </c>
      <c r="J288" s="34">
        <f t="shared" si="29"/>
        <v>2297418.0438216734</v>
      </c>
      <c r="K288" s="10">
        <f t="shared" si="25"/>
        <v>0</v>
      </c>
      <c r="L288" s="10">
        <f t="shared" si="30"/>
        <v>2297418.0438216734</v>
      </c>
      <c r="M288" s="10">
        <f>'D) Ecrêtage'!M287</f>
        <v>1175239.0178974359</v>
      </c>
      <c r="N288" s="10">
        <f t="shared" si="26"/>
        <v>1504744.1040386187</v>
      </c>
      <c r="O288" s="67">
        <f t="shared" si="27"/>
        <v>1504744.1040386187</v>
      </c>
      <c r="P288" s="315"/>
      <c r="Q288" s="316"/>
      <c r="R288" s="312"/>
      <c r="S288" s="312"/>
      <c r="T288" s="317"/>
    </row>
    <row r="289" spans="1:20" s="311" customFormat="1" x14ac:dyDescent="0.25">
      <c r="A289" s="324">
        <f>'A) Base RI'!A290</f>
        <v>5888</v>
      </c>
      <c r="B289" s="324" t="str">
        <f>'A) Base RI'!B290</f>
        <v>Saint-Légier-La Chiésaz</v>
      </c>
      <c r="C289" s="383">
        <v>1</v>
      </c>
      <c r="D289" s="313">
        <f>'B) D RI'!AR290</f>
        <v>5130</v>
      </c>
      <c r="E289" s="314">
        <f>'B) D RI'!S290</f>
        <v>67</v>
      </c>
      <c r="F289" s="10">
        <f>'B) D RI'!R290</f>
        <v>20578086.545000006</v>
      </c>
      <c r="G289" s="10">
        <f>'B) D RI'!U290</f>
        <v>307135.62007462693</v>
      </c>
      <c r="H289" s="44">
        <f>'B) D RI'!T290</f>
        <v>19138666.170000006</v>
      </c>
      <c r="I289" s="10">
        <f t="shared" si="28"/>
        <v>571303.46776119422</v>
      </c>
      <c r="J289" s="34">
        <f t="shared" si="29"/>
        <v>446396.27925176825</v>
      </c>
      <c r="K289" s="10">
        <f t="shared" si="25"/>
        <v>0</v>
      </c>
      <c r="L289" s="10">
        <f t="shared" si="30"/>
        <v>446396.27925176825</v>
      </c>
      <c r="M289" s="10">
        <f>'D) Ecrêtage'!M288</f>
        <v>300151.00262707792</v>
      </c>
      <c r="N289" s="10">
        <f t="shared" si="26"/>
        <v>384305.18783523858</v>
      </c>
      <c r="O289" s="67">
        <f t="shared" si="27"/>
        <v>384305.18783523858</v>
      </c>
      <c r="P289" s="315"/>
      <c r="Q289" s="316"/>
      <c r="R289" s="312"/>
      <c r="S289" s="312"/>
      <c r="T289" s="317"/>
    </row>
    <row r="290" spans="1:20" s="311" customFormat="1" x14ac:dyDescent="0.25">
      <c r="A290" s="324">
        <f>'A) Base RI'!A291</f>
        <v>5889</v>
      </c>
      <c r="B290" s="324" t="str">
        <f>'A) Base RI'!B291</f>
        <v>La Tour-de-Peilz</v>
      </c>
      <c r="C290" s="383">
        <v>1</v>
      </c>
      <c r="D290" s="313">
        <f>'B) D RI'!AR291</f>
        <v>11637</v>
      </c>
      <c r="E290" s="314">
        <f>'B) D RI'!S291</f>
        <v>64</v>
      </c>
      <c r="F290" s="10">
        <f>'B) D RI'!R291</f>
        <v>39591105.638333336</v>
      </c>
      <c r="G290" s="10">
        <f>'B) D RI'!U291</f>
        <v>618611.02559895837</v>
      </c>
      <c r="H290" s="44">
        <f>'B) D RI'!T291</f>
        <v>37377096.43</v>
      </c>
      <c r="I290" s="10">
        <f t="shared" si="28"/>
        <v>1168034.2634375</v>
      </c>
      <c r="J290" s="34">
        <f t="shared" si="29"/>
        <v>1012614.7176711163</v>
      </c>
      <c r="K290" s="10">
        <f t="shared" si="25"/>
        <v>0</v>
      </c>
      <c r="L290" s="10">
        <f t="shared" si="30"/>
        <v>1012614.7176711163</v>
      </c>
      <c r="M290" s="10">
        <f>'D) Ecrêtage'!M289</f>
        <v>618611.02559895837</v>
      </c>
      <c r="N290" s="10">
        <f t="shared" si="26"/>
        <v>792052.74781351059</v>
      </c>
      <c r="O290" s="67">
        <f t="shared" si="27"/>
        <v>792052.74781351059</v>
      </c>
      <c r="P290" s="315"/>
      <c r="Q290" s="316"/>
      <c r="R290" s="312"/>
      <c r="S290" s="312"/>
      <c r="T290" s="317"/>
    </row>
    <row r="291" spans="1:20" s="311" customFormat="1" x14ac:dyDescent="0.25">
      <c r="A291" s="324">
        <f>'A) Base RI'!A292</f>
        <v>5890</v>
      </c>
      <c r="B291" s="324" t="str">
        <f>'A) Base RI'!B292</f>
        <v>Vevey</v>
      </c>
      <c r="C291" s="383">
        <v>1</v>
      </c>
      <c r="D291" s="313">
        <f>'B) D RI'!AR292</f>
        <v>19605</v>
      </c>
      <c r="E291" s="314">
        <f>'B) D RI'!S292</f>
        <v>73</v>
      </c>
      <c r="F291" s="10">
        <f>'B) D RI'!R292</f>
        <v>66372542.331666671</v>
      </c>
      <c r="G291" s="10">
        <f>'B) D RI'!U292</f>
        <v>909212.90865296812</v>
      </c>
      <c r="H291" s="44">
        <f>'B) D RI'!T292</f>
        <v>62419556.790000007</v>
      </c>
      <c r="I291" s="10">
        <f t="shared" si="28"/>
        <v>1710124.843561644</v>
      </c>
      <c r="J291" s="34">
        <f t="shared" si="29"/>
        <v>1705964.7280177225</v>
      </c>
      <c r="K291" s="10">
        <f t="shared" si="25"/>
        <v>0</v>
      </c>
      <c r="L291" s="10">
        <f t="shared" si="30"/>
        <v>1705964.7280177225</v>
      </c>
      <c r="M291" s="10">
        <f>'D) Ecrêtage'!M290</f>
        <v>909212.90865296812</v>
      </c>
      <c r="N291" s="10">
        <f t="shared" si="26"/>
        <v>1164131.5024232415</v>
      </c>
      <c r="O291" s="67">
        <f t="shared" si="27"/>
        <v>1164131.5024232415</v>
      </c>
      <c r="P291" s="315"/>
      <c r="Q291" s="316"/>
      <c r="R291" s="312"/>
      <c r="S291" s="312"/>
      <c r="T291" s="317"/>
    </row>
    <row r="292" spans="1:20" s="311" customFormat="1" x14ac:dyDescent="0.25">
      <c r="A292" s="324">
        <f>'A) Base RI'!A293</f>
        <v>5891</v>
      </c>
      <c r="B292" s="324" t="str">
        <f>'A) Base RI'!B293</f>
        <v>Veytaux</v>
      </c>
      <c r="C292" s="383">
        <v>1</v>
      </c>
      <c r="D292" s="313">
        <f>'B) D RI'!AR293</f>
        <v>850</v>
      </c>
      <c r="E292" s="314">
        <f>'B) D RI'!S293</f>
        <v>69</v>
      </c>
      <c r="F292" s="10">
        <f>'B) D RI'!R293</f>
        <v>2726223.2466666666</v>
      </c>
      <c r="G292" s="10">
        <f>'B) D RI'!U293</f>
        <v>39510.481835748789</v>
      </c>
      <c r="H292" s="44">
        <f>'B) D RI'!T293</f>
        <v>2487726.58</v>
      </c>
      <c r="I292" s="10">
        <f t="shared" si="28"/>
        <v>72108.016811594207</v>
      </c>
      <c r="J292" s="34">
        <f t="shared" si="29"/>
        <v>73964.295782456727</v>
      </c>
      <c r="K292" s="10">
        <f t="shared" si="25"/>
        <v>0</v>
      </c>
      <c r="L292" s="10">
        <f t="shared" si="30"/>
        <v>73964.295782456727</v>
      </c>
      <c r="M292" s="10">
        <f>'D) Ecrêtage'!M291</f>
        <v>39510.481835748789</v>
      </c>
      <c r="N292" s="10">
        <f t="shared" si="26"/>
        <v>50588.147334005938</v>
      </c>
      <c r="O292" s="67">
        <f t="shared" si="27"/>
        <v>50588.147334005938</v>
      </c>
      <c r="P292" s="315"/>
      <c r="Q292" s="316"/>
      <c r="R292" s="312"/>
      <c r="S292" s="312"/>
      <c r="T292" s="317"/>
    </row>
    <row r="293" spans="1:20" s="311" customFormat="1" x14ac:dyDescent="0.25">
      <c r="A293" s="324">
        <f>'A) Base RI'!A294</f>
        <v>5902</v>
      </c>
      <c r="B293" s="324" t="str">
        <f>'A) Base RI'!B294</f>
        <v>Belmont-sur-Yverdon</v>
      </c>
      <c r="C293" s="383">
        <v>0</v>
      </c>
      <c r="D293" s="313">
        <f>'B) D RI'!AR294</f>
        <v>368</v>
      </c>
      <c r="E293" s="314">
        <f>'B) D RI'!S294</f>
        <v>76</v>
      </c>
      <c r="F293" s="10">
        <f>'B) D RI'!R294</f>
        <v>701263.00999999989</v>
      </c>
      <c r="G293" s="10">
        <f>'B) D RI'!U294</f>
        <v>9227.1448684210518</v>
      </c>
      <c r="H293" s="44">
        <f>'B) D RI'!T294</f>
        <v>650946.90999999992</v>
      </c>
      <c r="I293" s="10">
        <f t="shared" si="28"/>
        <v>17130.181842105259</v>
      </c>
      <c r="J293" s="34">
        <f t="shared" si="29"/>
        <v>32022.189232875382</v>
      </c>
      <c r="K293" s="10">
        <f t="shared" si="25"/>
        <v>17130.181842105259</v>
      </c>
      <c r="L293" s="10">
        <f t="shared" si="30"/>
        <v>14892.007390770123</v>
      </c>
      <c r="M293" s="10">
        <f>'D) Ecrêtage'!M292</f>
        <v>9227.1448684210518</v>
      </c>
      <c r="N293" s="10">
        <f t="shared" si="26"/>
        <v>11814.185562615898</v>
      </c>
      <c r="O293" s="67">
        <f t="shared" si="27"/>
        <v>28944.367404721157</v>
      </c>
      <c r="P293" s="315"/>
      <c r="Q293" s="316"/>
      <c r="R293" s="312"/>
      <c r="S293" s="312"/>
      <c r="T293" s="317"/>
    </row>
    <row r="294" spans="1:20" s="311" customFormat="1" x14ac:dyDescent="0.25">
      <c r="A294" s="324">
        <f>'A) Base RI'!A295</f>
        <v>5903</v>
      </c>
      <c r="B294" s="324" t="str">
        <f>'A) Base RI'!B295</f>
        <v>Bioley-Magnoux</v>
      </c>
      <c r="C294" s="383">
        <v>0</v>
      </c>
      <c r="D294" s="313">
        <f>'B) D RI'!AR295</f>
        <v>230</v>
      </c>
      <c r="E294" s="314">
        <f>'B) D RI'!S295</f>
        <v>74</v>
      </c>
      <c r="F294" s="10">
        <f>'B) D RI'!R295</f>
        <v>440589.42571428575</v>
      </c>
      <c r="G294" s="10">
        <f>'B) D RI'!U295</f>
        <v>5953.911158301159</v>
      </c>
      <c r="H294" s="44">
        <f>'B) D RI'!T295</f>
        <v>407516.64</v>
      </c>
      <c r="I294" s="10">
        <f t="shared" si="28"/>
        <v>11013.963243243245</v>
      </c>
      <c r="J294" s="34">
        <f t="shared" si="29"/>
        <v>20013.868270547115</v>
      </c>
      <c r="K294" s="10">
        <f t="shared" si="25"/>
        <v>11013.963243243245</v>
      </c>
      <c r="L294" s="10">
        <f t="shared" si="30"/>
        <v>8999.9050273038702</v>
      </c>
      <c r="M294" s="10">
        <f>'D) Ecrêtage'!M293</f>
        <v>5953.911158301159</v>
      </c>
      <c r="N294" s="10">
        <f t="shared" si="26"/>
        <v>7623.2260629431221</v>
      </c>
      <c r="O294" s="67">
        <f t="shared" si="27"/>
        <v>18637.189306186367</v>
      </c>
      <c r="P294" s="315"/>
      <c r="Q294" s="316"/>
      <c r="R294" s="312"/>
      <c r="S294" s="312"/>
      <c r="T294" s="317"/>
    </row>
    <row r="295" spans="1:20" s="311" customFormat="1" x14ac:dyDescent="0.25">
      <c r="A295" s="324">
        <f>'A) Base RI'!A296</f>
        <v>5904</v>
      </c>
      <c r="B295" s="324" t="str">
        <f>'A) Base RI'!B296</f>
        <v>Chamblon</v>
      </c>
      <c r="C295" s="383">
        <v>1</v>
      </c>
      <c r="D295" s="313">
        <f>'B) D RI'!AR296</f>
        <v>548</v>
      </c>
      <c r="E295" s="314">
        <f>'B) D RI'!S296</f>
        <v>66</v>
      </c>
      <c r="F295" s="10">
        <f>'B) D RI'!R296</f>
        <v>1512324.6500000001</v>
      </c>
      <c r="G295" s="10">
        <f>'B) D RI'!U296</f>
        <v>22914.009848484849</v>
      </c>
      <c r="H295" s="44">
        <f>'B) D RI'!T296</f>
        <v>1417533.2500000002</v>
      </c>
      <c r="I295" s="10">
        <f t="shared" ref="I295:I323" si="31">+H295/E295*$I$5</f>
        <v>42955.553030303039</v>
      </c>
      <c r="J295" s="34">
        <f t="shared" si="29"/>
        <v>47685.216575042687</v>
      </c>
      <c r="K295" s="10">
        <f t="shared" si="25"/>
        <v>0</v>
      </c>
      <c r="L295" s="10">
        <f t="shared" si="30"/>
        <v>47685.216575042687</v>
      </c>
      <c r="M295" s="10">
        <f>'D) Ecrêtage'!M294</f>
        <v>22914.009848484849</v>
      </c>
      <c r="N295" s="10">
        <f t="shared" si="26"/>
        <v>29338.475573314816</v>
      </c>
      <c r="O295" s="67">
        <f t="shared" si="27"/>
        <v>29338.475573314816</v>
      </c>
      <c r="P295" s="315"/>
      <c r="Q295" s="316"/>
      <c r="R295" s="312"/>
      <c r="S295" s="312"/>
      <c r="T295" s="317"/>
    </row>
    <row r="296" spans="1:20" s="311" customFormat="1" x14ac:dyDescent="0.25">
      <c r="A296" s="324">
        <f>'A) Base RI'!A297</f>
        <v>5905</v>
      </c>
      <c r="B296" s="324" t="str">
        <f>'A) Base RI'!B297</f>
        <v>Champvent</v>
      </c>
      <c r="C296" s="383">
        <v>0</v>
      </c>
      <c r="D296" s="313">
        <f>'B) D RI'!AR297</f>
        <v>652</v>
      </c>
      <c r="E296" s="314">
        <f>'B) D RI'!S297</f>
        <v>71</v>
      </c>
      <c r="F296" s="10">
        <f>'B) D RI'!R297</f>
        <v>1493750.55</v>
      </c>
      <c r="G296" s="10">
        <f>'B) D RI'!U297</f>
        <v>21038.740140845071</v>
      </c>
      <c r="H296" s="44">
        <f>'B) D RI'!T297</f>
        <v>1403318.3</v>
      </c>
      <c r="I296" s="10">
        <f t="shared" si="31"/>
        <v>39530.092957746478</v>
      </c>
      <c r="J296" s="34">
        <f t="shared" si="29"/>
        <v>56734.965706072689</v>
      </c>
      <c r="K296" s="10">
        <f t="shared" si="25"/>
        <v>39530.092957746478</v>
      </c>
      <c r="L296" s="10">
        <f t="shared" si="30"/>
        <v>17204.872748326212</v>
      </c>
      <c r="M296" s="10">
        <f>'D) Ecrêtage'!M295</f>
        <v>21038.740140845071</v>
      </c>
      <c r="N296" s="10">
        <f t="shared" si="26"/>
        <v>26937.431195889763</v>
      </c>
      <c r="O296" s="67">
        <f t="shared" si="27"/>
        <v>66467.524153636245</v>
      </c>
      <c r="P296" s="315"/>
      <c r="Q296" s="316"/>
      <c r="R296" s="312"/>
      <c r="S296" s="312"/>
      <c r="T296" s="317"/>
    </row>
    <row r="297" spans="1:20" s="311" customFormat="1" x14ac:dyDescent="0.25">
      <c r="A297" s="324">
        <f>'A) Base RI'!A298</f>
        <v>5907</v>
      </c>
      <c r="B297" s="324" t="str">
        <f>'A) Base RI'!B298</f>
        <v>Chavannes-le-Chêne</v>
      </c>
      <c r="C297" s="383">
        <v>0</v>
      </c>
      <c r="D297" s="313">
        <f>'B) D RI'!AR298</f>
        <v>300</v>
      </c>
      <c r="E297" s="314">
        <f>'B) D RI'!S298</f>
        <v>78</v>
      </c>
      <c r="F297" s="10">
        <f>'B) D RI'!R298</f>
        <v>687909.82000000007</v>
      </c>
      <c r="G297" s="10">
        <f>'B) D RI'!U298</f>
        <v>8819.3566666666684</v>
      </c>
      <c r="H297" s="44">
        <f>'B) D RI'!T298</f>
        <v>649394.42000000004</v>
      </c>
      <c r="I297" s="10">
        <f t="shared" si="31"/>
        <v>16651.138974358975</v>
      </c>
      <c r="J297" s="34">
        <f t="shared" si="29"/>
        <v>26105.045570278846</v>
      </c>
      <c r="K297" s="10">
        <f t="shared" si="25"/>
        <v>16651.138974358975</v>
      </c>
      <c r="L297" s="10">
        <f t="shared" si="30"/>
        <v>9453.9065959198706</v>
      </c>
      <c r="M297" s="10">
        <f>'D) Ecrêtage'!M296</f>
        <v>8819.3566666666684</v>
      </c>
      <c r="N297" s="10">
        <f t="shared" si="26"/>
        <v>11292.064629816872</v>
      </c>
      <c r="O297" s="67">
        <f t="shared" si="27"/>
        <v>27943.203604175847</v>
      </c>
      <c r="P297" s="315"/>
      <c r="Q297" s="316"/>
      <c r="R297" s="312"/>
      <c r="S297" s="312"/>
      <c r="T297" s="317"/>
    </row>
    <row r="298" spans="1:20" s="311" customFormat="1" x14ac:dyDescent="0.25">
      <c r="A298" s="324">
        <f>'A) Base RI'!A299</f>
        <v>5908</v>
      </c>
      <c r="B298" s="324" t="str">
        <f>'A) Base RI'!B299</f>
        <v>Chêne-Pâquier</v>
      </c>
      <c r="C298" s="383">
        <v>0</v>
      </c>
      <c r="D298" s="313">
        <f>'B) D RI'!AR299</f>
        <v>140</v>
      </c>
      <c r="E298" s="314">
        <f>'B) D RI'!S299</f>
        <v>79</v>
      </c>
      <c r="F298" s="10">
        <f>'B) D RI'!R299</f>
        <v>230295.17</v>
      </c>
      <c r="G298" s="10">
        <f>'B) D RI'!U299</f>
        <v>2915.1287341772154</v>
      </c>
      <c r="H298" s="44">
        <f>'B) D RI'!T299</f>
        <v>214210.57</v>
      </c>
      <c r="I298" s="10">
        <f t="shared" si="31"/>
        <v>5423.0524050632912</v>
      </c>
      <c r="J298" s="34">
        <f t="shared" si="29"/>
        <v>12182.354599463461</v>
      </c>
      <c r="K298" s="10">
        <f t="shared" si="25"/>
        <v>5423.0524050632912</v>
      </c>
      <c r="L298" s="10">
        <f t="shared" si="30"/>
        <v>6759.3021944001694</v>
      </c>
      <c r="M298" s="10">
        <f>'D) Ecrêtage'!M297</f>
        <v>2915.1287341772154</v>
      </c>
      <c r="N298" s="10">
        <f t="shared" si="26"/>
        <v>3732.4516191731323</v>
      </c>
      <c r="O298" s="67">
        <f t="shared" si="27"/>
        <v>9155.504024236423</v>
      </c>
      <c r="P298" s="315"/>
      <c r="Q298" s="316"/>
      <c r="R298" s="312"/>
      <c r="S298" s="312"/>
      <c r="T298" s="317"/>
    </row>
    <row r="299" spans="1:20" s="311" customFormat="1" x14ac:dyDescent="0.25">
      <c r="A299" s="324">
        <f>'A) Base RI'!A300</f>
        <v>5909</v>
      </c>
      <c r="B299" s="324" t="str">
        <f>'A) Base RI'!B300</f>
        <v>Cheseaux-Noréaz</v>
      </c>
      <c r="C299" s="383">
        <v>1</v>
      </c>
      <c r="D299" s="313">
        <f>'B) D RI'!AR300</f>
        <v>670</v>
      </c>
      <c r="E299" s="314">
        <f>'B) D RI'!S300</f>
        <v>70</v>
      </c>
      <c r="F299" s="10">
        <f>'B) D RI'!R300</f>
        <v>1733977.7599999998</v>
      </c>
      <c r="G299" s="10">
        <f>'B) D RI'!U300</f>
        <v>24771.110857142852</v>
      </c>
      <c r="H299" s="44">
        <f>'B) D RI'!T300</f>
        <v>1586483.3599999999</v>
      </c>
      <c r="I299" s="10">
        <f t="shared" si="31"/>
        <v>45328.095999999998</v>
      </c>
      <c r="J299" s="34">
        <f t="shared" si="29"/>
        <v>58301.268440289416</v>
      </c>
      <c r="K299" s="10">
        <f t="shared" si="25"/>
        <v>0</v>
      </c>
      <c r="L299" s="10">
        <f t="shared" si="30"/>
        <v>58301.268440289416</v>
      </c>
      <c r="M299" s="10">
        <f>'D) Ecrêtage'!M298</f>
        <v>24771.110857142852</v>
      </c>
      <c r="N299" s="10">
        <f t="shared" si="26"/>
        <v>31716.257242257139</v>
      </c>
      <c r="O299" s="67">
        <f t="shared" si="27"/>
        <v>31716.257242257139</v>
      </c>
      <c r="P299" s="315"/>
      <c r="Q299" s="316"/>
      <c r="R299" s="312"/>
      <c r="S299" s="312"/>
      <c r="T299" s="317"/>
    </row>
    <row r="300" spans="1:20" s="311" customFormat="1" x14ac:dyDescent="0.25">
      <c r="A300" s="324">
        <f>'A) Base RI'!A301</f>
        <v>5910</v>
      </c>
      <c r="B300" s="324" t="str">
        <f>'A) Base RI'!B301</f>
        <v>Cronay</v>
      </c>
      <c r="C300" s="383">
        <v>0</v>
      </c>
      <c r="D300" s="313">
        <f>'B) D RI'!AR301</f>
        <v>380</v>
      </c>
      <c r="E300" s="314">
        <f>'B) D RI'!S301</f>
        <v>79</v>
      </c>
      <c r="F300" s="10">
        <f>'B) D RI'!R301</f>
        <v>797684.16</v>
      </c>
      <c r="G300" s="10">
        <f>'B) D RI'!U301</f>
        <v>10097.267848101266</v>
      </c>
      <c r="H300" s="44">
        <f>'B) D RI'!T301</f>
        <v>747250.16</v>
      </c>
      <c r="I300" s="10">
        <f t="shared" si="31"/>
        <v>18917.725569620256</v>
      </c>
      <c r="J300" s="34">
        <f t="shared" si="29"/>
        <v>33066.391055686538</v>
      </c>
      <c r="K300" s="10">
        <f t="shared" si="25"/>
        <v>18917.725569620256</v>
      </c>
      <c r="L300" s="10">
        <f t="shared" si="30"/>
        <v>14148.665486066282</v>
      </c>
      <c r="M300" s="10">
        <f>'D) Ecrêtage'!M299</f>
        <v>10097.267848101266</v>
      </c>
      <c r="N300" s="10">
        <f t="shared" si="26"/>
        <v>12928.267382163334</v>
      </c>
      <c r="O300" s="67">
        <f t="shared" si="27"/>
        <v>31845.992951783592</v>
      </c>
      <c r="P300" s="315"/>
      <c r="Q300" s="316"/>
      <c r="R300" s="312"/>
      <c r="S300" s="312"/>
      <c r="T300" s="317"/>
    </row>
    <row r="301" spans="1:20" s="311" customFormat="1" x14ac:dyDescent="0.25">
      <c r="A301" s="324">
        <f>'A) Base RI'!A302</f>
        <v>5911</v>
      </c>
      <c r="B301" s="324" t="str">
        <f>'A) Base RI'!B302</f>
        <v>Cuarny</v>
      </c>
      <c r="C301" s="383">
        <v>0</v>
      </c>
      <c r="D301" s="313">
        <f>'B) D RI'!AR302</f>
        <v>237</v>
      </c>
      <c r="E301" s="314">
        <f>'B) D RI'!S302</f>
        <v>79</v>
      </c>
      <c r="F301" s="10">
        <f>'B) D RI'!R302</f>
        <v>611584.62</v>
      </c>
      <c r="G301" s="10">
        <f>'B) D RI'!U302</f>
        <v>7741.5774683544305</v>
      </c>
      <c r="H301" s="44">
        <f>'B) D RI'!T302</f>
        <v>582059.37</v>
      </c>
      <c r="I301" s="10">
        <f t="shared" si="31"/>
        <v>14735.680253164557</v>
      </c>
      <c r="J301" s="34">
        <f t="shared" si="29"/>
        <v>20622.986000520286</v>
      </c>
      <c r="K301" s="10">
        <f t="shared" si="25"/>
        <v>14735.680253164557</v>
      </c>
      <c r="L301" s="10">
        <f t="shared" si="30"/>
        <v>5887.3057473557292</v>
      </c>
      <c r="M301" s="10">
        <f>'D) Ecrêtage'!M300</f>
        <v>7741.5774683544305</v>
      </c>
      <c r="N301" s="10">
        <f t="shared" si="26"/>
        <v>9912.1054305237267</v>
      </c>
      <c r="O301" s="67">
        <f t="shared" si="27"/>
        <v>24647.785683688286</v>
      </c>
      <c r="P301" s="315"/>
      <c r="Q301" s="316"/>
      <c r="R301" s="312"/>
      <c r="S301" s="312"/>
      <c r="T301" s="317"/>
    </row>
    <row r="302" spans="1:20" s="311" customFormat="1" x14ac:dyDescent="0.25">
      <c r="A302" s="324">
        <f>'A) Base RI'!A303</f>
        <v>5912</v>
      </c>
      <c r="B302" s="324" t="str">
        <f>'A) Base RI'!B303</f>
        <v>Démoret</v>
      </c>
      <c r="C302" s="383">
        <v>0</v>
      </c>
      <c r="D302" s="313">
        <f>'B) D RI'!AR303</f>
        <v>126</v>
      </c>
      <c r="E302" s="314">
        <f>'B) D RI'!S303</f>
        <v>81</v>
      </c>
      <c r="F302" s="10">
        <f>'B) D RI'!R303</f>
        <v>223707.49000000002</v>
      </c>
      <c r="G302" s="10">
        <f>'B) D RI'!U303</f>
        <v>2761.8208641975311</v>
      </c>
      <c r="H302" s="44">
        <f>'B) D RI'!T303</f>
        <v>207069.99000000002</v>
      </c>
      <c r="I302" s="10">
        <f t="shared" si="31"/>
        <v>5112.83925925926</v>
      </c>
      <c r="J302" s="34">
        <f t="shared" si="29"/>
        <v>10964.119139517115</v>
      </c>
      <c r="K302" s="10">
        <f t="shared" si="25"/>
        <v>5112.83925925926</v>
      </c>
      <c r="L302" s="10">
        <f t="shared" si="30"/>
        <v>5851.2798802578554</v>
      </c>
      <c r="M302" s="10">
        <f>'D) Ecrêtage'!M301</f>
        <v>2761.8208641975311</v>
      </c>
      <c r="N302" s="10">
        <f t="shared" si="26"/>
        <v>3536.1603882477298</v>
      </c>
      <c r="O302" s="67">
        <f t="shared" si="27"/>
        <v>8648.9996475069893</v>
      </c>
      <c r="P302" s="315"/>
      <c r="Q302" s="316"/>
      <c r="R302" s="312"/>
      <c r="S302" s="312"/>
      <c r="T302" s="317"/>
    </row>
    <row r="303" spans="1:20" s="311" customFormat="1" x14ac:dyDescent="0.25">
      <c r="A303" s="324">
        <f>'A) Base RI'!A304</f>
        <v>5913</v>
      </c>
      <c r="B303" s="324" t="str">
        <f>'A) Base RI'!B304</f>
        <v>Donneloye</v>
      </c>
      <c r="C303" s="383">
        <v>0</v>
      </c>
      <c r="D303" s="313">
        <f>'B) D RI'!AR304</f>
        <v>779</v>
      </c>
      <c r="E303" s="314">
        <f>'B) D RI'!S304</f>
        <v>73</v>
      </c>
      <c r="F303" s="10">
        <f>'B) D RI'!R304</f>
        <v>1534751.97</v>
      </c>
      <c r="G303" s="10">
        <f>'B) D RI'!U304</f>
        <v>21023.999589041094</v>
      </c>
      <c r="H303" s="44">
        <f>'B) D RI'!T304</f>
        <v>1431676.57</v>
      </c>
      <c r="I303" s="10">
        <f t="shared" si="31"/>
        <v>39224.015616438359</v>
      </c>
      <c r="J303" s="34">
        <f t="shared" si="29"/>
        <v>67786.101664157395</v>
      </c>
      <c r="K303" s="10">
        <f t="shared" si="25"/>
        <v>39224.015616438359</v>
      </c>
      <c r="L303" s="10">
        <f t="shared" si="30"/>
        <v>28562.086047719036</v>
      </c>
      <c r="M303" s="10">
        <f>'D) Ecrêtage'!M302</f>
        <v>21023.999589041094</v>
      </c>
      <c r="N303" s="10">
        <f t="shared" si="26"/>
        <v>26918.557793901295</v>
      </c>
      <c r="O303" s="67">
        <f t="shared" si="27"/>
        <v>66142.573410339653</v>
      </c>
      <c r="P303" s="315"/>
      <c r="Q303" s="316"/>
      <c r="R303" s="312"/>
      <c r="S303" s="312"/>
      <c r="T303" s="317"/>
    </row>
    <row r="304" spans="1:20" s="311" customFormat="1" x14ac:dyDescent="0.25">
      <c r="A304" s="324">
        <f>'A) Base RI'!A305</f>
        <v>5914</v>
      </c>
      <c r="B304" s="324" t="str">
        <f>'A) Base RI'!B305</f>
        <v>Ependes</v>
      </c>
      <c r="C304" s="383">
        <v>1</v>
      </c>
      <c r="D304" s="313">
        <f>'B) D RI'!AR305</f>
        <v>350</v>
      </c>
      <c r="E304" s="314">
        <f>'B) D RI'!S305</f>
        <v>75</v>
      </c>
      <c r="F304" s="10">
        <f>'B) D RI'!R305</f>
        <v>662854.62000000011</v>
      </c>
      <c r="G304" s="10">
        <f>'B) D RI'!U305</f>
        <v>8838.0616000000009</v>
      </c>
      <c r="H304" s="44">
        <f>'B) D RI'!T305</f>
        <v>612014.47000000009</v>
      </c>
      <c r="I304" s="10">
        <f t="shared" si="31"/>
        <v>16320.385866666669</v>
      </c>
      <c r="J304" s="34">
        <f t="shared" si="29"/>
        <v>30455.886498658652</v>
      </c>
      <c r="K304" s="10">
        <f t="shared" si="25"/>
        <v>0</v>
      </c>
      <c r="L304" s="10">
        <f t="shared" si="30"/>
        <v>30455.886498658652</v>
      </c>
      <c r="M304" s="10">
        <f>'D) Ecrêtage'!M303</f>
        <v>8838.0616000000009</v>
      </c>
      <c r="N304" s="10">
        <f t="shared" si="26"/>
        <v>11316.013918192375</v>
      </c>
      <c r="O304" s="67">
        <f t="shared" si="27"/>
        <v>11316.013918192375</v>
      </c>
      <c r="P304" s="315"/>
      <c r="Q304" s="316"/>
      <c r="R304" s="312"/>
      <c r="S304" s="312"/>
      <c r="T304" s="317"/>
    </row>
    <row r="305" spans="1:20" s="311" customFormat="1" x14ac:dyDescent="0.25">
      <c r="A305" s="324">
        <f>'A) Base RI'!A306</f>
        <v>5915</v>
      </c>
      <c r="B305" s="324" t="str">
        <f>'A) Base RI'!B306</f>
        <v>Essert-Pittet</v>
      </c>
      <c r="C305" s="383">
        <v>1</v>
      </c>
      <c r="D305" s="313">
        <f>'B) D RI'!AR306</f>
        <v>170</v>
      </c>
      <c r="E305" s="314">
        <f>'B) D RI'!S306</f>
        <v>75</v>
      </c>
      <c r="F305" s="10">
        <f>'B) D RI'!R306</f>
        <v>289528.79647058825</v>
      </c>
      <c r="G305" s="10">
        <f>'B) D RI'!U306</f>
        <v>3860.3839529411766</v>
      </c>
      <c r="H305" s="44">
        <f>'B) D RI'!T306</f>
        <v>266922.62</v>
      </c>
      <c r="I305" s="10">
        <f t="shared" si="31"/>
        <v>7117.9365333333335</v>
      </c>
      <c r="J305" s="34">
        <f t="shared" si="29"/>
        <v>14792.859156491344</v>
      </c>
      <c r="K305" s="10">
        <f t="shared" si="25"/>
        <v>0</v>
      </c>
      <c r="L305" s="10">
        <f t="shared" si="30"/>
        <v>14792.859156491344</v>
      </c>
      <c r="M305" s="10">
        <f>'D) Ecrêtage'!M304</f>
        <v>3860.3839529411766</v>
      </c>
      <c r="N305" s="10">
        <f t="shared" si="26"/>
        <v>4942.7307160937698</v>
      </c>
      <c r="O305" s="67">
        <f t="shared" si="27"/>
        <v>4942.7307160937698</v>
      </c>
      <c r="P305" s="315"/>
      <c r="Q305" s="316"/>
      <c r="R305" s="312"/>
      <c r="S305" s="312"/>
      <c r="T305" s="317"/>
    </row>
    <row r="306" spans="1:20" s="311" customFormat="1" x14ac:dyDescent="0.25">
      <c r="A306" s="324">
        <f>'A) Base RI'!A307</f>
        <v>5919</v>
      </c>
      <c r="B306" s="324" t="str">
        <f>'A) Base RI'!B307</f>
        <v>Mathod</v>
      </c>
      <c r="C306" s="383">
        <v>1</v>
      </c>
      <c r="D306" s="313">
        <f>'B) D RI'!AR307</f>
        <v>614</v>
      </c>
      <c r="E306" s="314">
        <f>'B) D RI'!S307</f>
        <v>74</v>
      </c>
      <c r="F306" s="10">
        <f>'B) D RI'!R307</f>
        <v>1249407.0333333332</v>
      </c>
      <c r="G306" s="10">
        <f>'B) D RI'!U307</f>
        <v>16883.878828828827</v>
      </c>
      <c r="H306" s="44">
        <f>'B) D RI'!T307</f>
        <v>1152561.7</v>
      </c>
      <c r="I306" s="10">
        <f t="shared" si="31"/>
        <v>31150.316216216215</v>
      </c>
      <c r="J306" s="34">
        <f t="shared" si="29"/>
        <v>53428.326600504035</v>
      </c>
      <c r="K306" s="10">
        <f t="shared" si="25"/>
        <v>0</v>
      </c>
      <c r="L306" s="10">
        <f t="shared" si="30"/>
        <v>53428.326600504035</v>
      </c>
      <c r="M306" s="10">
        <f>'D) Ecrêtage'!M305</f>
        <v>16883.878828828827</v>
      </c>
      <c r="N306" s="10">
        <f t="shared" si="26"/>
        <v>21617.659670996247</v>
      </c>
      <c r="O306" s="67">
        <f t="shared" si="27"/>
        <v>21617.659670996247</v>
      </c>
      <c r="P306" s="315"/>
      <c r="Q306" s="316"/>
      <c r="R306" s="312"/>
      <c r="S306" s="312"/>
      <c r="T306" s="317"/>
    </row>
    <row r="307" spans="1:20" s="311" customFormat="1" x14ac:dyDescent="0.25">
      <c r="A307" s="324">
        <f>'A) Base RI'!A308</f>
        <v>5921</v>
      </c>
      <c r="B307" s="324" t="str">
        <f>'A) Base RI'!B308</f>
        <v>Molondin</v>
      </c>
      <c r="C307" s="383">
        <v>0</v>
      </c>
      <c r="D307" s="313">
        <f>'B) D RI'!AR308</f>
        <v>218</v>
      </c>
      <c r="E307" s="314">
        <f>'B) D RI'!S308</f>
        <v>81</v>
      </c>
      <c r="F307" s="10">
        <f>'B) D RI'!R308</f>
        <v>446964.80999999994</v>
      </c>
      <c r="G307" s="10">
        <f>'B) D RI'!U308</f>
        <v>5518.0840740740732</v>
      </c>
      <c r="H307" s="44">
        <f>'B) D RI'!T308</f>
        <v>418055.95999999996</v>
      </c>
      <c r="I307" s="10">
        <f t="shared" si="31"/>
        <v>10322.369382716048</v>
      </c>
      <c r="J307" s="34">
        <f t="shared" si="29"/>
        <v>18969.666447735959</v>
      </c>
      <c r="K307" s="10">
        <f t="shared" si="25"/>
        <v>10322.369382716048</v>
      </c>
      <c r="L307" s="10">
        <f t="shared" si="30"/>
        <v>8647.2970650199113</v>
      </c>
      <c r="M307" s="10">
        <f>'D) Ecrêtage'!M306</f>
        <v>5518.0840740740732</v>
      </c>
      <c r="N307" s="10">
        <f t="shared" si="26"/>
        <v>7065.2049069196219</v>
      </c>
      <c r="O307" s="67">
        <f t="shared" si="27"/>
        <v>17387.574289635668</v>
      </c>
      <c r="P307" s="315"/>
      <c r="Q307" s="316"/>
      <c r="R307" s="312"/>
      <c r="S307" s="312"/>
      <c r="T307" s="317"/>
    </row>
    <row r="308" spans="1:20" s="311" customFormat="1" x14ac:dyDescent="0.25">
      <c r="A308" s="324">
        <f>'A) Base RI'!A309</f>
        <v>5922</v>
      </c>
      <c r="B308" s="324" t="str">
        <f>'A) Base RI'!B309</f>
        <v>Montagny-près-Yverdon</v>
      </c>
      <c r="C308" s="383">
        <v>0</v>
      </c>
      <c r="D308" s="313">
        <f>'B) D RI'!AR309</f>
        <v>733</v>
      </c>
      <c r="E308" s="314">
        <f>'B) D RI'!S309</f>
        <v>61</v>
      </c>
      <c r="F308" s="10">
        <f>'B) D RI'!R309</f>
        <v>2746735.0399999996</v>
      </c>
      <c r="G308" s="10">
        <f>'B) D RI'!U309</f>
        <v>45028.443278688515</v>
      </c>
      <c r="H308" s="44">
        <f>'B) D RI'!T309</f>
        <v>2391411.5399999996</v>
      </c>
      <c r="I308" s="10">
        <f t="shared" si="31"/>
        <v>78406.935737704902</v>
      </c>
      <c r="J308" s="34">
        <f t="shared" si="29"/>
        <v>63783.328010047975</v>
      </c>
      <c r="K308" s="10">
        <f t="shared" si="25"/>
        <v>63783.328010047975</v>
      </c>
      <c r="L308" s="10">
        <f t="shared" si="30"/>
        <v>0</v>
      </c>
      <c r="M308" s="10">
        <f>'D) Ecrêtage'!M307</f>
        <v>43618.831931545668</v>
      </c>
      <c r="N308" s="10">
        <f t="shared" si="26"/>
        <v>55848.367161489878</v>
      </c>
      <c r="O308" s="67">
        <f t="shared" si="27"/>
        <v>119631.69517153785</v>
      </c>
      <c r="P308" s="315"/>
      <c r="Q308" s="316"/>
      <c r="R308" s="312"/>
      <c r="S308" s="312"/>
      <c r="T308" s="317"/>
    </row>
    <row r="309" spans="1:20" s="311" customFormat="1" x14ac:dyDescent="0.25">
      <c r="A309" s="324">
        <f>'A) Base RI'!A310</f>
        <v>5923</v>
      </c>
      <c r="B309" s="324" t="str">
        <f>'A) Base RI'!B310</f>
        <v>Oppens</v>
      </c>
      <c r="C309" s="383">
        <v>0</v>
      </c>
      <c r="D309" s="313">
        <f>'B) D RI'!AR310</f>
        <v>182</v>
      </c>
      <c r="E309" s="314">
        <f>'B) D RI'!S310</f>
        <v>81</v>
      </c>
      <c r="F309" s="10">
        <f>'B) D RI'!R310</f>
        <v>395362.77999999997</v>
      </c>
      <c r="G309" s="10">
        <f>'B) D RI'!U310</f>
        <v>4881.0219753086412</v>
      </c>
      <c r="H309" s="44">
        <f>'B) D RI'!T310</f>
        <v>372687.37999999995</v>
      </c>
      <c r="I309" s="10">
        <f t="shared" si="31"/>
        <v>9202.1575308641968</v>
      </c>
      <c r="J309" s="34">
        <f t="shared" si="29"/>
        <v>15837.0609793025</v>
      </c>
      <c r="K309" s="10">
        <f t="shared" si="25"/>
        <v>9202.1575308641968</v>
      </c>
      <c r="L309" s="10">
        <f t="shared" si="30"/>
        <v>6634.9034484383028</v>
      </c>
      <c r="M309" s="10">
        <f>'D) Ecrêtage'!M308</f>
        <v>4881.0219753086412</v>
      </c>
      <c r="N309" s="10">
        <f t="shared" si="26"/>
        <v>6249.5279063901771</v>
      </c>
      <c r="O309" s="67">
        <f t="shared" si="27"/>
        <v>15451.685437254375</v>
      </c>
      <c r="P309" s="315"/>
      <c r="Q309" s="316"/>
      <c r="R309" s="312"/>
      <c r="S309" s="312"/>
      <c r="T309" s="317"/>
    </row>
    <row r="310" spans="1:20" s="311" customFormat="1" x14ac:dyDescent="0.25">
      <c r="A310" s="324">
        <f>'A) Base RI'!A311</f>
        <v>5924</v>
      </c>
      <c r="B310" s="324" t="str">
        <f>'A) Base RI'!B311</f>
        <v>Orges</v>
      </c>
      <c r="C310" s="383">
        <v>0</v>
      </c>
      <c r="D310" s="313">
        <f>'B) D RI'!AR311</f>
        <v>292</v>
      </c>
      <c r="E310" s="314">
        <f>'B) D RI'!S311</f>
        <v>74</v>
      </c>
      <c r="F310" s="10">
        <f>'B) D RI'!R311</f>
        <v>701257.17999999993</v>
      </c>
      <c r="G310" s="10">
        <f>'B) D RI'!U311</f>
        <v>9476.448378378378</v>
      </c>
      <c r="H310" s="44">
        <f>'B) D RI'!T311</f>
        <v>659102.87999999989</v>
      </c>
      <c r="I310" s="10">
        <f t="shared" si="31"/>
        <v>17813.591351351348</v>
      </c>
      <c r="J310" s="34">
        <f t="shared" si="29"/>
        <v>25408.911021738073</v>
      </c>
      <c r="K310" s="10">
        <f t="shared" si="25"/>
        <v>17813.591351351348</v>
      </c>
      <c r="L310" s="10">
        <f t="shared" si="30"/>
        <v>7595.3196703867252</v>
      </c>
      <c r="M310" s="10">
        <f>'D) Ecrêtage'!M309</f>
        <v>9476.448378378378</v>
      </c>
      <c r="N310" s="10">
        <f t="shared" si="26"/>
        <v>12133.387002503046</v>
      </c>
      <c r="O310" s="67">
        <f t="shared" si="27"/>
        <v>29946.978353854392</v>
      </c>
      <c r="P310" s="315"/>
      <c r="Q310" s="316"/>
      <c r="R310" s="312"/>
      <c r="S310" s="312"/>
      <c r="T310" s="317"/>
    </row>
    <row r="311" spans="1:20" s="311" customFormat="1" x14ac:dyDescent="0.25">
      <c r="A311" s="324">
        <f>'A) Base RI'!A312</f>
        <v>5925</v>
      </c>
      <c r="B311" s="324" t="str">
        <f>'A) Base RI'!B312</f>
        <v>Orzens</v>
      </c>
      <c r="C311" s="383">
        <v>0</v>
      </c>
      <c r="D311" s="313">
        <f>'B) D RI'!AR312</f>
        <v>200</v>
      </c>
      <c r="E311" s="314">
        <f>'B) D RI'!S312</f>
        <v>79</v>
      </c>
      <c r="F311" s="10">
        <f>'B) D RI'!R312</f>
        <v>385159.97000000003</v>
      </c>
      <c r="G311" s="10">
        <f>'B) D RI'!U312</f>
        <v>4875.4426582278484</v>
      </c>
      <c r="H311" s="44">
        <f>'B) D RI'!T312</f>
        <v>356573.27</v>
      </c>
      <c r="I311" s="10">
        <f t="shared" si="31"/>
        <v>9027.1713924050637</v>
      </c>
      <c r="J311" s="34">
        <f t="shared" si="29"/>
        <v>17403.363713519229</v>
      </c>
      <c r="K311" s="10">
        <f t="shared" si="25"/>
        <v>9027.1713924050637</v>
      </c>
      <c r="L311" s="10">
        <f t="shared" si="30"/>
        <v>8376.1923211141657</v>
      </c>
      <c r="M311" s="10">
        <f>'D) Ecrêtage'!M310</f>
        <v>4875.4426582278484</v>
      </c>
      <c r="N311" s="10">
        <f t="shared" si="26"/>
        <v>6242.3843004053233</v>
      </c>
      <c r="O311" s="67">
        <f t="shared" si="27"/>
        <v>15269.555692810387</v>
      </c>
      <c r="P311" s="315"/>
      <c r="Q311" s="316"/>
      <c r="R311" s="312"/>
      <c r="S311" s="312"/>
      <c r="T311" s="317"/>
    </row>
    <row r="312" spans="1:20" s="311" customFormat="1" x14ac:dyDescent="0.25">
      <c r="A312" s="324">
        <f>'A) Base RI'!A313</f>
        <v>5926</v>
      </c>
      <c r="B312" s="324" t="str">
        <f>'A) Base RI'!B313</f>
        <v>Pomy</v>
      </c>
      <c r="C312" s="383">
        <v>1</v>
      </c>
      <c r="D312" s="313">
        <f>'B) D RI'!AR313</f>
        <v>760</v>
      </c>
      <c r="E312" s="314">
        <f>'B) D RI'!S313</f>
        <v>71</v>
      </c>
      <c r="F312" s="10">
        <f>'B) D RI'!R313</f>
        <v>1616984.29</v>
      </c>
      <c r="G312" s="10">
        <f>'B) D RI'!U313</f>
        <v>22774.42661971831</v>
      </c>
      <c r="H312" s="44">
        <f>'B) D RI'!T313</f>
        <v>1506703.74</v>
      </c>
      <c r="I312" s="10">
        <f t="shared" si="31"/>
        <v>42442.358873239435</v>
      </c>
      <c r="J312" s="34">
        <f t="shared" si="29"/>
        <v>66132.782111373075</v>
      </c>
      <c r="K312" s="10">
        <f t="shared" si="25"/>
        <v>0</v>
      </c>
      <c r="L312" s="10">
        <f t="shared" si="30"/>
        <v>66132.782111373075</v>
      </c>
      <c r="M312" s="10">
        <f>'D) Ecrêtage'!M311</f>
        <v>22774.42661971831</v>
      </c>
      <c r="N312" s="10">
        <f t="shared" si="26"/>
        <v>29159.757000062466</v>
      </c>
      <c r="O312" s="67">
        <f t="shared" si="27"/>
        <v>29159.757000062466</v>
      </c>
      <c r="P312" s="315"/>
      <c r="Q312" s="316"/>
      <c r="R312" s="312"/>
      <c r="S312" s="312"/>
      <c r="T312" s="317"/>
    </row>
    <row r="313" spans="1:20" s="311" customFormat="1" x14ac:dyDescent="0.25">
      <c r="A313" s="324">
        <f>'A) Base RI'!A314</f>
        <v>5928</v>
      </c>
      <c r="B313" s="324" t="str">
        <f>'A) Base RI'!B314</f>
        <v>Rovray</v>
      </c>
      <c r="C313" s="383">
        <v>0</v>
      </c>
      <c r="D313" s="313">
        <f>'B) D RI'!AR314</f>
        <v>172</v>
      </c>
      <c r="E313" s="314">
        <f>'B) D RI'!S314</f>
        <v>73</v>
      </c>
      <c r="F313" s="10">
        <f>'B) D RI'!R314</f>
        <v>324976.16000000003</v>
      </c>
      <c r="G313" s="10">
        <f>'B) D RI'!U314</f>
        <v>4451.7282191780823</v>
      </c>
      <c r="H313" s="44">
        <f>'B) D RI'!T314</f>
        <v>305419.36000000004</v>
      </c>
      <c r="I313" s="10">
        <f t="shared" si="31"/>
        <v>8367.653698630138</v>
      </c>
      <c r="J313" s="34">
        <f t="shared" si="29"/>
        <v>14966.892793626537</v>
      </c>
      <c r="K313" s="10">
        <f t="shared" ref="K313:K323" si="32">IF(C313=1,0,IF(J313&gt;I313,I313,J313))</f>
        <v>8367.653698630138</v>
      </c>
      <c r="L313" s="10">
        <f t="shared" si="30"/>
        <v>6599.2390949963992</v>
      </c>
      <c r="M313" s="10">
        <f>'D) Ecrêtage'!M312</f>
        <v>4451.7282191780823</v>
      </c>
      <c r="N313" s="10">
        <f t="shared" si="26"/>
        <v>5699.8718461329718</v>
      </c>
      <c r="O313" s="67">
        <f t="shared" si="27"/>
        <v>14067.52554476311</v>
      </c>
      <c r="P313" s="315"/>
      <c r="Q313" s="316"/>
      <c r="R313" s="312"/>
      <c r="S313" s="312"/>
      <c r="T313" s="317"/>
    </row>
    <row r="314" spans="1:20" s="311" customFormat="1" x14ac:dyDescent="0.25">
      <c r="A314" s="324">
        <f>'A) Base RI'!A315</f>
        <v>5929</v>
      </c>
      <c r="B314" s="324" t="str">
        <f>'A) Base RI'!B315</f>
        <v>Suchy</v>
      </c>
      <c r="C314" s="383">
        <v>1</v>
      </c>
      <c r="D314" s="313">
        <f>'B) D RI'!AR315</f>
        <v>606</v>
      </c>
      <c r="E314" s="314">
        <f>'B) D RI'!S315</f>
        <v>70</v>
      </c>
      <c r="F314" s="10">
        <f>'B) D RI'!R315</f>
        <v>1160865.1900000002</v>
      </c>
      <c r="G314" s="10">
        <f>'B) D RI'!U315</f>
        <v>16583.788428571432</v>
      </c>
      <c r="H314" s="44">
        <f>'B) D RI'!T315</f>
        <v>1070468.6900000002</v>
      </c>
      <c r="I314" s="10">
        <f t="shared" si="31"/>
        <v>30584.819714285721</v>
      </c>
      <c r="J314" s="34">
        <f t="shared" si="29"/>
        <v>52732.192051963262</v>
      </c>
      <c r="K314" s="10">
        <f t="shared" si="32"/>
        <v>0</v>
      </c>
      <c r="L314" s="10">
        <f t="shared" si="30"/>
        <v>52732.192051963262</v>
      </c>
      <c r="M314" s="10">
        <f>'D) Ecrêtage'!M313</f>
        <v>16583.788428571432</v>
      </c>
      <c r="N314" s="10">
        <f t="shared" si="26"/>
        <v>21233.432076788416</v>
      </c>
      <c r="O314" s="67">
        <f t="shared" si="27"/>
        <v>21233.432076788416</v>
      </c>
      <c r="P314" s="315"/>
      <c r="Q314" s="316"/>
      <c r="R314" s="312"/>
      <c r="S314" s="312"/>
      <c r="T314" s="317"/>
    </row>
    <row r="315" spans="1:20" s="311" customFormat="1" x14ac:dyDescent="0.25">
      <c r="A315" s="324">
        <f>'A) Base RI'!A316</f>
        <v>5930</v>
      </c>
      <c r="B315" s="324" t="str">
        <f>'A) Base RI'!B316</f>
        <v>Suscévaz</v>
      </c>
      <c r="C315" s="383">
        <v>1</v>
      </c>
      <c r="D315" s="313">
        <f>'B) D RI'!AR316</f>
        <v>202</v>
      </c>
      <c r="E315" s="314">
        <f>'B) D RI'!S316</f>
        <v>66</v>
      </c>
      <c r="F315" s="10">
        <f>'B) D RI'!R316</f>
        <v>322510.51</v>
      </c>
      <c r="G315" s="10">
        <f>'B) D RI'!U316</f>
        <v>4886.5228787878787</v>
      </c>
      <c r="H315" s="44">
        <f>'B) D RI'!T316</f>
        <v>295749.91000000003</v>
      </c>
      <c r="I315" s="10">
        <f t="shared" si="31"/>
        <v>8962.1184848484863</v>
      </c>
      <c r="J315" s="34">
        <f t="shared" si="29"/>
        <v>17577.397350654421</v>
      </c>
      <c r="K315" s="10">
        <f t="shared" si="32"/>
        <v>0</v>
      </c>
      <c r="L315" s="10">
        <f t="shared" si="30"/>
        <v>17577.397350654421</v>
      </c>
      <c r="M315" s="10">
        <f>'D) Ecrêtage'!M314</f>
        <v>4886.5228787878787</v>
      </c>
      <c r="N315" s="10">
        <f t="shared" si="26"/>
        <v>6256.5711137303115</v>
      </c>
      <c r="O315" s="67">
        <f t="shared" si="27"/>
        <v>6256.5711137303115</v>
      </c>
      <c r="P315" s="315"/>
      <c r="Q315" s="316"/>
      <c r="R315" s="312"/>
      <c r="S315" s="312"/>
      <c r="T315" s="317"/>
    </row>
    <row r="316" spans="1:20" s="311" customFormat="1" x14ac:dyDescent="0.25">
      <c r="A316" s="324">
        <f>'A) Base RI'!A317</f>
        <v>5931</v>
      </c>
      <c r="B316" s="324" t="str">
        <f>'A) Base RI'!B317</f>
        <v>Treycovagnes</v>
      </c>
      <c r="C316" s="383">
        <v>1</v>
      </c>
      <c r="D316" s="313">
        <f>'B) D RI'!AR317</f>
        <v>446</v>
      </c>
      <c r="E316" s="314">
        <f>'B) D RI'!S317</f>
        <v>77</v>
      </c>
      <c r="F316" s="10">
        <f>'B) D RI'!R317</f>
        <v>1260395.6099999999</v>
      </c>
      <c r="G316" s="10">
        <f>'B) D RI'!U317</f>
        <v>16368.774155844154</v>
      </c>
      <c r="H316" s="44">
        <f>'B) D RI'!T317</f>
        <v>1188190.71</v>
      </c>
      <c r="I316" s="10">
        <f t="shared" si="31"/>
        <v>30862.096363636363</v>
      </c>
      <c r="J316" s="34">
        <f t="shared" si="29"/>
        <v>38809.501081147879</v>
      </c>
      <c r="K316" s="10">
        <f t="shared" si="32"/>
        <v>0</v>
      </c>
      <c r="L316" s="10">
        <f t="shared" si="30"/>
        <v>38809.501081147879</v>
      </c>
      <c r="M316" s="10">
        <f>'D) Ecrêtage'!M315</f>
        <v>16368.774155844154</v>
      </c>
      <c r="N316" s="10">
        <f t="shared" si="26"/>
        <v>20958.133644517715</v>
      </c>
      <c r="O316" s="67">
        <f t="shared" si="27"/>
        <v>20958.133644517715</v>
      </c>
      <c r="P316" s="315"/>
      <c r="Q316" s="316"/>
      <c r="R316" s="312"/>
      <c r="S316" s="312"/>
      <c r="T316" s="317"/>
    </row>
    <row r="317" spans="1:20" s="311" customFormat="1" x14ac:dyDescent="0.25">
      <c r="A317" s="324">
        <f>'A) Base RI'!A318</f>
        <v>5932</v>
      </c>
      <c r="B317" s="324" t="str">
        <f>'A) Base RI'!B318</f>
        <v>Ursins</v>
      </c>
      <c r="C317" s="383">
        <v>0</v>
      </c>
      <c r="D317" s="313">
        <f>'B) D RI'!AR318</f>
        <v>210</v>
      </c>
      <c r="E317" s="314">
        <f>'B) D RI'!S318</f>
        <v>78</v>
      </c>
      <c r="F317" s="10">
        <f>'B) D RI'!R318</f>
        <v>496569.35999999993</v>
      </c>
      <c r="G317" s="10">
        <f>'B) D RI'!U318</f>
        <v>6366.2738461538456</v>
      </c>
      <c r="H317" s="44">
        <f>'B) D RI'!T318</f>
        <v>466413.65999999992</v>
      </c>
      <c r="I317" s="10">
        <f t="shared" si="31"/>
        <v>11959.324615384614</v>
      </c>
      <c r="J317" s="34">
        <f t="shared" si="29"/>
        <v>18273.53189919519</v>
      </c>
      <c r="K317" s="10">
        <f t="shared" si="32"/>
        <v>11959.324615384614</v>
      </c>
      <c r="L317" s="10">
        <f t="shared" si="30"/>
        <v>6314.207283810576</v>
      </c>
      <c r="M317" s="10">
        <f>'D) Ecrêtage'!M316</f>
        <v>6366.2738461538456</v>
      </c>
      <c r="N317" s="10">
        <f t="shared" si="26"/>
        <v>8151.2040434410428</v>
      </c>
      <c r="O317" s="67">
        <f t="shared" si="27"/>
        <v>20110.528658825657</v>
      </c>
      <c r="P317" s="315"/>
      <c r="Q317" s="316"/>
      <c r="R317" s="312"/>
      <c r="S317" s="312"/>
      <c r="T317" s="317"/>
    </row>
    <row r="318" spans="1:20" s="311" customFormat="1" x14ac:dyDescent="0.25">
      <c r="A318" s="324">
        <f>'A) Base RI'!A319</f>
        <v>5933</v>
      </c>
      <c r="B318" s="324" t="str">
        <f>'A) Base RI'!B319</f>
        <v>Valeyres-sous-Montagny</v>
      </c>
      <c r="C318" s="383">
        <v>0</v>
      </c>
      <c r="D318" s="313">
        <f>'B) D RI'!AR319</f>
        <v>689</v>
      </c>
      <c r="E318" s="314">
        <f>'B) D RI'!S319</f>
        <v>72</v>
      </c>
      <c r="F318" s="10">
        <f>'B) D RI'!R319</f>
        <v>1409649.31</v>
      </c>
      <c r="G318" s="10">
        <f>'B) D RI'!U319</f>
        <v>19578.46263888889</v>
      </c>
      <c r="H318" s="44">
        <f>'B) D RI'!T319</f>
        <v>1307750.1600000001</v>
      </c>
      <c r="I318" s="10">
        <f t="shared" si="31"/>
        <v>36326.393333333341</v>
      </c>
      <c r="J318" s="34">
        <f t="shared" si="29"/>
        <v>59954.587993073743</v>
      </c>
      <c r="K318" s="10">
        <f t="shared" si="32"/>
        <v>36326.393333333341</v>
      </c>
      <c r="L318" s="10">
        <f t="shared" si="30"/>
        <v>23628.194659740402</v>
      </c>
      <c r="M318" s="10">
        <f>'D) Ecrêtage'!M317</f>
        <v>19578.46263888889</v>
      </c>
      <c r="N318" s="10">
        <f t="shared" si="26"/>
        <v>25067.731562142097</v>
      </c>
      <c r="O318" s="67">
        <f t="shared" si="27"/>
        <v>61394.124895475441</v>
      </c>
      <c r="P318" s="315"/>
      <c r="Q318" s="316"/>
      <c r="R318" s="312"/>
      <c r="S318" s="312"/>
      <c r="T318" s="317"/>
    </row>
    <row r="319" spans="1:20" s="311" customFormat="1" x14ac:dyDescent="0.25">
      <c r="A319" s="324">
        <f>'A) Base RI'!A320</f>
        <v>5934</v>
      </c>
      <c r="B319" s="324" t="str">
        <f>'A) Base RI'!B320</f>
        <v>Valeyres-sous-Ursins</v>
      </c>
      <c r="C319" s="383">
        <v>0</v>
      </c>
      <c r="D319" s="313">
        <f>'B) D RI'!AR320</f>
        <v>247</v>
      </c>
      <c r="E319" s="314">
        <f>'B) D RI'!S320</f>
        <v>79</v>
      </c>
      <c r="F319" s="10">
        <f>'B) D RI'!R320</f>
        <v>541629.71000000008</v>
      </c>
      <c r="G319" s="10">
        <f>'B) D RI'!U320</f>
        <v>6856.0722784810141</v>
      </c>
      <c r="H319" s="44">
        <f>'B) D RI'!T320</f>
        <v>515251.81000000006</v>
      </c>
      <c r="I319" s="10">
        <f t="shared" si="31"/>
        <v>13044.349620253166</v>
      </c>
      <c r="J319" s="34">
        <f t="shared" si="29"/>
        <v>21493.154186196247</v>
      </c>
      <c r="K319" s="10">
        <f t="shared" si="32"/>
        <v>13044.349620253166</v>
      </c>
      <c r="L319" s="10">
        <f t="shared" si="30"/>
        <v>8448.8045659430809</v>
      </c>
      <c r="M319" s="10">
        <f>'D) Ecrêtage'!M318</f>
        <v>6856.0722784810141</v>
      </c>
      <c r="N319" s="10">
        <f t="shared" si="26"/>
        <v>8778.3286470218827</v>
      </c>
      <c r="O319" s="67">
        <f t="shared" si="27"/>
        <v>21822.678267275049</v>
      </c>
      <c r="P319" s="315"/>
      <c r="Q319" s="316"/>
      <c r="R319" s="312"/>
      <c r="S319" s="312"/>
      <c r="T319" s="317"/>
    </row>
    <row r="320" spans="1:20" s="311" customFormat="1" x14ac:dyDescent="0.25">
      <c r="A320" s="324">
        <f>'A) Base RI'!A321</f>
        <v>5935</v>
      </c>
      <c r="B320" s="324" t="str">
        <f>'A) Base RI'!B321</f>
        <v>Villars-Epeney</v>
      </c>
      <c r="C320" s="383">
        <v>0</v>
      </c>
      <c r="D320" s="313">
        <f>'B) D RI'!AR321</f>
        <v>105</v>
      </c>
      <c r="E320" s="314">
        <f>'B) D RI'!S321</f>
        <v>60</v>
      </c>
      <c r="F320" s="10">
        <f>'B) D RI'!R321</f>
        <v>255158.12000000002</v>
      </c>
      <c r="G320" s="10">
        <f>'B) D RI'!U321</f>
        <v>4252.6353333333336</v>
      </c>
      <c r="H320" s="44">
        <f>'B) D RI'!T321</f>
        <v>237649.17</v>
      </c>
      <c r="I320" s="10">
        <f t="shared" si="31"/>
        <v>7921.6390000000001</v>
      </c>
      <c r="J320" s="34">
        <f t="shared" si="29"/>
        <v>9136.765949597595</v>
      </c>
      <c r="K320" s="10">
        <f t="shared" si="32"/>
        <v>7921.6390000000001</v>
      </c>
      <c r="L320" s="10">
        <f t="shared" si="30"/>
        <v>1215.1269495975948</v>
      </c>
      <c r="M320" s="10">
        <f>'D) Ecrêtage'!M319</f>
        <v>4252.6353333333336</v>
      </c>
      <c r="N320" s="10">
        <f t="shared" si="26"/>
        <v>5444.958724998779</v>
      </c>
      <c r="O320" s="67">
        <f t="shared" si="27"/>
        <v>13366.597724998779</v>
      </c>
      <c r="P320" s="315"/>
      <c r="Q320" s="316"/>
      <c r="R320" s="312"/>
      <c r="S320" s="312"/>
      <c r="T320" s="317"/>
    </row>
    <row r="321" spans="1:20" s="311" customFormat="1" x14ac:dyDescent="0.25">
      <c r="A321" s="324">
        <f>'A) Base RI'!A322</f>
        <v>5937</v>
      </c>
      <c r="B321" s="324" t="str">
        <f>'A) Base RI'!B322</f>
        <v>Vugelles-La Mothe</v>
      </c>
      <c r="C321" s="383">
        <v>0</v>
      </c>
      <c r="D321" s="313">
        <f>'B) D RI'!AR322</f>
        <v>134</v>
      </c>
      <c r="E321" s="314">
        <f>'B) D RI'!S322</f>
        <v>70</v>
      </c>
      <c r="F321" s="10">
        <f>'B) D RI'!R322</f>
        <v>159108.76428571428</v>
      </c>
      <c r="G321" s="10">
        <f>'B) D RI'!U322</f>
        <v>2272.9823469387752</v>
      </c>
      <c r="H321" s="44">
        <f>'B) D RI'!T322</f>
        <v>144973.04999999999</v>
      </c>
      <c r="I321" s="10">
        <f t="shared" si="31"/>
        <v>4142.0871428571427</v>
      </c>
      <c r="J321" s="34">
        <f t="shared" si="29"/>
        <v>11660.253688057885</v>
      </c>
      <c r="K321" s="10">
        <f t="shared" si="32"/>
        <v>4142.0871428571427</v>
      </c>
      <c r="L321" s="10">
        <f t="shared" si="30"/>
        <v>7518.1665452007419</v>
      </c>
      <c r="M321" s="10">
        <f>'D) Ecrêtage'!M320</f>
        <v>2272.9823469387752</v>
      </c>
      <c r="N321" s="10">
        <f t="shared" si="26"/>
        <v>2910.2648338369522</v>
      </c>
      <c r="O321" s="67">
        <f t="shared" si="27"/>
        <v>7052.3519766940954</v>
      </c>
      <c r="P321" s="315"/>
      <c r="Q321" s="316"/>
      <c r="R321" s="312"/>
      <c r="S321" s="312"/>
      <c r="T321" s="317"/>
    </row>
    <row r="322" spans="1:20" s="311" customFormat="1" x14ac:dyDescent="0.25">
      <c r="A322" s="324">
        <f>'A) Base RI'!A323</f>
        <v>5938</v>
      </c>
      <c r="B322" s="324" t="str">
        <f>'A) Base RI'!B323</f>
        <v>Yverdon-les-Bains</v>
      </c>
      <c r="C322" s="383">
        <v>1</v>
      </c>
      <c r="D322" s="313">
        <f>'B) D RI'!AR323</f>
        <v>29570</v>
      </c>
      <c r="E322" s="314">
        <f>'B) D RI'!S323</f>
        <v>76.5</v>
      </c>
      <c r="F322" s="10">
        <f>'B) D RI'!R323</f>
        <v>61907243.739999987</v>
      </c>
      <c r="G322" s="10">
        <f>'B) D RI'!U323</f>
        <v>809245.0162091502</v>
      </c>
      <c r="H322" s="44">
        <f>'B) D RI'!T323</f>
        <v>57431534.089999989</v>
      </c>
      <c r="I322" s="10">
        <f t="shared" si="31"/>
        <v>1501478.0154248362</v>
      </c>
      <c r="J322" s="34">
        <f t="shared" si="29"/>
        <v>2573087.325043818</v>
      </c>
      <c r="K322" s="10">
        <f t="shared" si="32"/>
        <v>0</v>
      </c>
      <c r="L322" s="10">
        <f t="shared" si="30"/>
        <v>2573087.325043818</v>
      </c>
      <c r="M322" s="10">
        <f>'D) Ecrêtage'!M321</f>
        <v>809245.0162091502</v>
      </c>
      <c r="N322" s="10">
        <f t="shared" si="26"/>
        <v>1036135.3293408315</v>
      </c>
      <c r="O322" s="67">
        <f t="shared" si="27"/>
        <v>1036135.3293408315</v>
      </c>
      <c r="P322" s="315"/>
      <c r="Q322" s="316"/>
      <c r="R322" s="312"/>
      <c r="S322" s="312"/>
      <c r="T322" s="317"/>
    </row>
    <row r="323" spans="1:20" s="311" customFormat="1" x14ac:dyDescent="0.25">
      <c r="A323" s="325">
        <f>'A) Base RI'!A324</f>
        <v>5939</v>
      </c>
      <c r="B323" s="324" t="str">
        <f>'A) Base RI'!B324</f>
        <v>Yvonand</v>
      </c>
      <c r="C323" s="383">
        <v>0</v>
      </c>
      <c r="D323" s="313">
        <f>'B) D RI'!AR324</f>
        <v>3236</v>
      </c>
      <c r="E323" s="314">
        <f>'B) D RI'!S324</f>
        <v>73</v>
      </c>
      <c r="F323" s="10">
        <f>'B) D RI'!R324</f>
        <v>6443057.9500000011</v>
      </c>
      <c r="G323" s="10">
        <f>'B) D RI'!U324</f>
        <v>88261.067808219188</v>
      </c>
      <c r="H323" s="44">
        <f>'B) D RI'!T324</f>
        <v>5953953.0000000009</v>
      </c>
      <c r="I323" s="20">
        <f t="shared" si="31"/>
        <v>163122.00000000003</v>
      </c>
      <c r="J323" s="154">
        <f t="shared" si="29"/>
        <v>281586.42488474114</v>
      </c>
      <c r="K323" s="10">
        <f t="shared" si="32"/>
        <v>163122.00000000003</v>
      </c>
      <c r="L323" s="20">
        <f t="shared" si="30"/>
        <v>118464.42488474111</v>
      </c>
      <c r="M323" s="20">
        <f>'D) Ecrêtage'!M322</f>
        <v>88261.067808219188</v>
      </c>
      <c r="N323" s="20">
        <f>+$N$5*M323</f>
        <v>113007.07292562084</v>
      </c>
      <c r="O323" s="141">
        <f t="shared" si="27"/>
        <v>276129.07292562089</v>
      </c>
      <c r="P323" s="315"/>
      <c r="Q323" s="316"/>
      <c r="R323" s="312"/>
      <c r="S323" s="312"/>
      <c r="T323" s="317"/>
    </row>
    <row r="324" spans="1:20" s="311" customFormat="1" x14ac:dyDescent="0.25">
      <c r="A324" s="33"/>
      <c r="B324" s="182">
        <f>COUNTA(B6:B323)</f>
        <v>318</v>
      </c>
      <c r="C324" s="335">
        <f>SUM(C6:C323)</f>
        <v>54</v>
      </c>
      <c r="D324" s="327">
        <f>SUM(D6:D323)</f>
        <v>778251</v>
      </c>
      <c r="E324" s="327"/>
      <c r="F324" s="327">
        <f t="shared" ref="F324:M324" si="33">SUM(F6:F323)</f>
        <v>2457483480.089571</v>
      </c>
      <c r="G324" s="327">
        <f t="shared" si="33"/>
        <v>36375763.361832626</v>
      </c>
      <c r="H324" s="327">
        <f t="shared" si="33"/>
        <v>2286657388.4899993</v>
      </c>
      <c r="I324" s="386">
        <f>SUM(I6:I323)</f>
        <v>67720926.067050263</v>
      </c>
      <c r="J324" s="327">
        <f t="shared" si="33"/>
        <v>67720926.067050248</v>
      </c>
      <c r="K324" s="327">
        <f t="shared" si="33"/>
        <v>21017175.68586389</v>
      </c>
      <c r="L324" s="329">
        <f t="shared" si="33"/>
        <v>46703750.381186396</v>
      </c>
      <c r="M324" s="327">
        <f t="shared" si="33"/>
        <v>34317025.774862766</v>
      </c>
      <c r="N324" s="336">
        <f>Paramètres!B62-K324</f>
        <v>43938587.31413611</v>
      </c>
      <c r="O324" s="330">
        <f>SUM(O6:O323)</f>
        <v>64955762.999999955</v>
      </c>
      <c r="P324" s="312"/>
      <c r="R324" s="312"/>
      <c r="S324" s="312"/>
    </row>
    <row r="325" spans="1:20" s="311" customFormat="1" x14ac:dyDescent="0.25">
      <c r="A325" s="310"/>
      <c r="B325" s="310"/>
      <c r="C325" s="310"/>
      <c r="D325" s="310"/>
      <c r="E325" s="310"/>
      <c r="F325" s="310"/>
      <c r="G325" s="310"/>
      <c r="H325" s="310"/>
      <c r="I325" s="384"/>
      <c r="J325" s="310"/>
      <c r="K325" s="310"/>
      <c r="L325" s="318"/>
      <c r="M325" s="310"/>
      <c r="N325" s="318"/>
      <c r="O325" s="310"/>
      <c r="P325" s="312"/>
      <c r="R325" s="312"/>
      <c r="S325" s="312"/>
    </row>
    <row r="326" spans="1:20" x14ac:dyDescent="0.25">
      <c r="I326" s="384"/>
      <c r="J326" s="384"/>
      <c r="K326" s="384"/>
      <c r="L326" s="384"/>
      <c r="M326" s="384"/>
      <c r="N326" s="384"/>
      <c r="O326" s="384"/>
    </row>
  </sheetData>
  <protectedRanges>
    <protectedRange sqref="C6:C323" name="Plage1"/>
  </protectedRanges>
  <mergeCells count="13">
    <mergeCell ref="O4:O5"/>
    <mergeCell ref="B4:B5"/>
    <mergeCell ref="A4:A5"/>
    <mergeCell ref="M4:M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326"/>
  <sheetViews>
    <sheetView workbookViewId="0">
      <selection sqref="A1:E1"/>
    </sheetView>
  </sheetViews>
  <sheetFormatPr baseColWidth="10" defaultColWidth="10.75" defaultRowHeight="15" x14ac:dyDescent="0.25"/>
  <cols>
    <col min="1" max="1" width="6.875" style="14" customWidth="1"/>
    <col min="2" max="2" width="14.625" style="14" customWidth="1"/>
    <col min="3" max="3" width="6.125" style="16" bestFit="1" customWidth="1"/>
    <col min="4" max="5" width="9.875" style="233" customWidth="1"/>
    <col min="6" max="14" width="9.875" style="14" customWidth="1"/>
    <col min="15" max="15" width="1.375" style="14" customWidth="1"/>
    <col min="16" max="16" width="10.75" style="48"/>
    <col min="17" max="16384" width="10.75" style="14"/>
  </cols>
  <sheetData>
    <row r="1" spans="1:16" s="46" customFormat="1" ht="20.25" customHeight="1" x14ac:dyDescent="0.2">
      <c r="A1" s="604" t="s">
        <v>535</v>
      </c>
      <c r="B1" s="605"/>
      <c r="C1" s="605"/>
      <c r="D1" s="605"/>
      <c r="E1" s="605"/>
      <c r="F1" s="92"/>
      <c r="G1" s="92"/>
      <c r="H1" s="92"/>
      <c r="I1" s="92"/>
      <c r="J1" s="92"/>
      <c r="K1" s="92"/>
      <c r="L1" s="92"/>
      <c r="M1" s="92"/>
      <c r="N1" s="92"/>
      <c r="P1" s="70"/>
    </row>
    <row r="2" spans="1:16" s="46" customFormat="1" ht="20.25" customHeight="1" x14ac:dyDescent="0.2">
      <c r="A2" s="241" t="str">
        <f>Paramètres!B5</f>
        <v>décompte 2016</v>
      </c>
      <c r="C2" s="401"/>
      <c r="D2" s="240"/>
      <c r="E2" s="240"/>
      <c r="F2" s="92"/>
      <c r="G2" s="92"/>
      <c r="H2" s="92"/>
      <c r="I2" s="92"/>
      <c r="J2" s="92"/>
      <c r="K2" s="92"/>
      <c r="L2" s="92"/>
      <c r="M2" s="92"/>
      <c r="N2" s="92"/>
      <c r="P2" s="70"/>
    </row>
    <row r="3" spans="1:16" x14ac:dyDescent="0.25">
      <c r="D3" s="14"/>
      <c r="E3" s="14"/>
    </row>
    <row r="4" spans="1:16" ht="53.25" customHeight="1" x14ac:dyDescent="0.25">
      <c r="A4" s="551" t="s">
        <v>50</v>
      </c>
      <c r="B4" s="551" t="s">
        <v>120</v>
      </c>
      <c r="C4" s="586" t="s">
        <v>405</v>
      </c>
      <c r="D4" s="595" t="s">
        <v>406</v>
      </c>
      <c r="E4" s="595" t="s">
        <v>482</v>
      </c>
      <c r="F4" s="595" t="s">
        <v>117</v>
      </c>
      <c r="G4" s="595" t="s">
        <v>178</v>
      </c>
      <c r="H4" s="595" t="s">
        <v>172</v>
      </c>
      <c r="I4" s="595" t="s">
        <v>456</v>
      </c>
      <c r="J4" s="595" t="s">
        <v>246</v>
      </c>
      <c r="K4" s="595" t="s">
        <v>159</v>
      </c>
      <c r="L4" s="595" t="s">
        <v>247</v>
      </c>
      <c r="M4" s="595" t="s">
        <v>562</v>
      </c>
      <c r="N4" s="602" t="s">
        <v>171</v>
      </c>
      <c r="O4" s="601" t="s">
        <v>620</v>
      </c>
    </row>
    <row r="5" spans="1:16" ht="14.25" customHeight="1" x14ac:dyDescent="0.25">
      <c r="A5" s="552"/>
      <c r="B5" s="552"/>
      <c r="C5" s="591"/>
      <c r="D5" s="596"/>
      <c r="E5" s="596"/>
      <c r="F5" s="596"/>
      <c r="G5" s="596"/>
      <c r="H5" s="596"/>
      <c r="I5" s="596"/>
      <c r="J5" s="596"/>
      <c r="K5" s="596"/>
      <c r="L5" s="596"/>
      <c r="M5" s="596"/>
      <c r="N5" s="603"/>
      <c r="O5" s="601"/>
    </row>
    <row r="6" spans="1:16" s="237" customFormat="1" x14ac:dyDescent="0.25">
      <c r="A6" s="234">
        <f>'B) D RI'!A7</f>
        <v>5401</v>
      </c>
      <c r="B6" s="235" t="str">
        <f>'B) D RI'!B7</f>
        <v>Aigle</v>
      </c>
      <c r="C6" s="402">
        <f>'B) D RI'!S7</f>
        <v>67.5</v>
      </c>
      <c r="D6" s="236">
        <f>'B) D RI'!AR7</f>
        <v>9740</v>
      </c>
      <c r="E6" s="242">
        <f>'D) Ecrêtage'!M5</f>
        <v>274204.16723456793</v>
      </c>
      <c r="F6" s="245">
        <f>'E) Fact soc'!G11</f>
        <v>5461045.809481631</v>
      </c>
      <c r="G6" s="245">
        <f>'H) Péréquation directe'!I16</f>
        <v>-2499537.4250204796</v>
      </c>
      <c r="H6" s="245">
        <f>'I) Dépenses thématiques'!O5</f>
        <v>-2121504.3866512454</v>
      </c>
      <c r="I6" s="245">
        <f>'K) Plafonnement aide'!J5</f>
        <v>0</v>
      </c>
      <c r="J6" s="245">
        <f>'J) Plafonnement effort'!I5</f>
        <v>0</v>
      </c>
      <c r="K6" s="245">
        <f>'L) Plafonnement taux'!Q6</f>
        <v>0</v>
      </c>
      <c r="L6" s="331">
        <f>F6+G6+H6+I6+J6+K6</f>
        <v>840003.99780990602</v>
      </c>
      <c r="M6" s="332">
        <f>'M) Police'!O6</f>
        <v>351083.56484556745</v>
      </c>
      <c r="N6" s="331">
        <f>L6+M6</f>
        <v>1191087.5626554736</v>
      </c>
      <c r="P6" s="445"/>
    </row>
    <row r="7" spans="1:16" s="237" customFormat="1" x14ac:dyDescent="0.25">
      <c r="A7" s="234">
        <f>'B) D RI'!A8</f>
        <v>5402</v>
      </c>
      <c r="B7" s="235" t="str">
        <f>'B) D RI'!B8</f>
        <v>Bex</v>
      </c>
      <c r="C7" s="402">
        <f>'B) D RI'!S8</f>
        <v>71</v>
      </c>
      <c r="D7" s="236">
        <f>'B) D RI'!AR8</f>
        <v>7424</v>
      </c>
      <c r="E7" s="243">
        <f>'D) Ecrêtage'!M6</f>
        <v>168618.65154929578</v>
      </c>
      <c r="F7" s="246">
        <f>'E) Fact soc'!G12</f>
        <v>3076452.4027602822</v>
      </c>
      <c r="G7" s="246">
        <f>'H) Péréquation directe'!I17</f>
        <v>-3277266.5547407595</v>
      </c>
      <c r="H7" s="246">
        <f>'I) Dépenses thématiques'!O6</f>
        <v>-1744197.9877157481</v>
      </c>
      <c r="I7" s="246">
        <f>'K) Plafonnement aide'!J6</f>
        <v>0</v>
      </c>
      <c r="J7" s="246">
        <f>'J) Plafonnement effort'!I6</f>
        <v>0</v>
      </c>
      <c r="K7" s="246">
        <f>'L) Plafonnement taux'!Q7</f>
        <v>0</v>
      </c>
      <c r="L7" s="332">
        <f t="shared" ref="L7:L61" si="0">F7+G7+H7+I7+J7+K7</f>
        <v>-1945012.1396962255</v>
      </c>
      <c r="M7" s="332">
        <f>'M) Police'!O7</f>
        <v>215894.7396110773</v>
      </c>
      <c r="N7" s="332">
        <f t="shared" ref="N7:N70" si="1">L7+M7</f>
        <v>-1729117.4000851482</v>
      </c>
      <c r="P7" s="445"/>
    </row>
    <row r="8" spans="1:16" s="237" customFormat="1" x14ac:dyDescent="0.25">
      <c r="A8" s="234">
        <f>'B) D RI'!A9</f>
        <v>5403</v>
      </c>
      <c r="B8" s="235" t="str">
        <f>'B) D RI'!B9</f>
        <v>Chessel</v>
      </c>
      <c r="C8" s="402">
        <f>'B) D RI'!S9</f>
        <v>76</v>
      </c>
      <c r="D8" s="236">
        <f>'B) D RI'!AR9</f>
        <v>395</v>
      </c>
      <c r="E8" s="243">
        <f>'D) Ecrêtage'!M7</f>
        <v>8336.8572368421064</v>
      </c>
      <c r="F8" s="246">
        <f>'E) Fact soc'!G13</f>
        <v>148916.83921541114</v>
      </c>
      <c r="G8" s="246">
        <f>'H) Péréquation directe'!I18</f>
        <v>-93837.405762349314</v>
      </c>
      <c r="H8" s="246">
        <f>'I) Dépenses thématiques'!O7</f>
        <v>-29021.408371377678</v>
      </c>
      <c r="I8" s="246">
        <f>'K) Plafonnement aide'!J7</f>
        <v>0</v>
      </c>
      <c r="J8" s="246">
        <f>'J) Plafonnement effort'!I7</f>
        <v>0</v>
      </c>
      <c r="K8" s="246">
        <f>'L) Plafonnement taux'!Q8</f>
        <v>0</v>
      </c>
      <c r="L8" s="332">
        <f t="shared" si="0"/>
        <v>26058.025081684144</v>
      </c>
      <c r="M8" s="332">
        <f>'M) Police'!O8</f>
        <v>26028.877575969553</v>
      </c>
      <c r="N8" s="332">
        <f t="shared" si="1"/>
        <v>52086.9026576537</v>
      </c>
      <c r="P8" s="445"/>
    </row>
    <row r="9" spans="1:16" s="237" customFormat="1" x14ac:dyDescent="0.25">
      <c r="A9" s="234">
        <f>'B) D RI'!A10</f>
        <v>5404</v>
      </c>
      <c r="B9" s="235" t="str">
        <f>'B) D RI'!B10</f>
        <v>Corbeyrier</v>
      </c>
      <c r="C9" s="402">
        <f>'B) D RI'!S10</f>
        <v>70</v>
      </c>
      <c r="D9" s="236">
        <f>'B) D RI'!AR10</f>
        <v>440</v>
      </c>
      <c r="E9" s="243">
        <f>'D) Ecrêtage'!M8</f>
        <v>33526.758280623108</v>
      </c>
      <c r="F9" s="246">
        <f>'E) Fact soc'!G14</f>
        <v>984086.94595979468</v>
      </c>
      <c r="G9" s="246">
        <f>'H) Péréquation directe'!I19</f>
        <v>578850.42916669184</v>
      </c>
      <c r="H9" s="246">
        <f>'I) Dépenses thématiques'!O8</f>
        <v>-16430.363172967562</v>
      </c>
      <c r="I9" s="246">
        <f>'K) Plafonnement aide'!J8</f>
        <v>0</v>
      </c>
      <c r="J9" s="246">
        <f>'J) Plafonnement effort'!I8</f>
        <v>0</v>
      </c>
      <c r="K9" s="246">
        <f>'L) Plafonnement taux'!Q9</f>
        <v>-68870.333007649868</v>
      </c>
      <c r="L9" s="332">
        <f t="shared" si="0"/>
        <v>1477636.6789458692</v>
      </c>
      <c r="M9" s="332">
        <f>'M) Police'!O9</f>
        <v>81214.150457995842</v>
      </c>
      <c r="N9" s="332">
        <f t="shared" si="1"/>
        <v>1558850.8294038652</v>
      </c>
      <c r="P9" s="445"/>
    </row>
    <row r="10" spans="1:16" s="237" customFormat="1" x14ac:dyDescent="0.25">
      <c r="A10" s="234">
        <f>'B) D RI'!A11</f>
        <v>5405</v>
      </c>
      <c r="B10" s="235" t="str">
        <f>'B) D RI'!B11</f>
        <v>Gryon</v>
      </c>
      <c r="C10" s="402">
        <f>'B) D RI'!S11</f>
        <v>75</v>
      </c>
      <c r="D10" s="236">
        <f>'B) D RI'!AR11</f>
        <v>1342</v>
      </c>
      <c r="E10" s="243">
        <f>'D) Ecrêtage'!M9</f>
        <v>64864.951911111115</v>
      </c>
      <c r="F10" s="246">
        <f>'E) Fact soc'!G15</f>
        <v>1254853.7123839322</v>
      </c>
      <c r="G10" s="246">
        <f>'H) Péréquation directe'!I20</f>
        <v>987237.72019874421</v>
      </c>
      <c r="H10" s="246">
        <f>'I) Dépenses thématiques'!O9</f>
        <v>-409926.76348103862</v>
      </c>
      <c r="I10" s="246">
        <f>'K) Plafonnement aide'!J9</f>
        <v>0</v>
      </c>
      <c r="J10" s="246">
        <f>'J) Plafonnement effort'!I9</f>
        <v>0</v>
      </c>
      <c r="K10" s="246">
        <f>'L) Plafonnement taux'!Q10</f>
        <v>0</v>
      </c>
      <c r="L10" s="332">
        <f t="shared" si="0"/>
        <v>1832164.6691016378</v>
      </c>
      <c r="M10" s="332">
        <f>'M) Police'!O10</f>
        <v>199155.65680112981</v>
      </c>
      <c r="N10" s="332">
        <f t="shared" si="1"/>
        <v>2031320.3259027675</v>
      </c>
      <c r="P10" s="445"/>
    </row>
    <row r="11" spans="1:16" s="237" customFormat="1" x14ac:dyDescent="0.25">
      <c r="A11" s="234">
        <f>'B) D RI'!A12</f>
        <v>5406</v>
      </c>
      <c r="B11" s="235" t="str">
        <f>'B) D RI'!B12</f>
        <v>Lavey-Morcles</v>
      </c>
      <c r="C11" s="402">
        <f>'B) D RI'!S12</f>
        <v>71</v>
      </c>
      <c r="D11" s="236">
        <f>'B) D RI'!AR12</f>
        <v>922</v>
      </c>
      <c r="E11" s="243">
        <f>'D) Ecrêtage'!M10</f>
        <v>20248.886901408452</v>
      </c>
      <c r="F11" s="246">
        <f>'E) Fact soc'!G16</f>
        <v>310298.45489932544</v>
      </c>
      <c r="G11" s="246">
        <f>'H) Péréquation directe'!I21</f>
        <v>-126224.74822445965</v>
      </c>
      <c r="H11" s="246">
        <f>'I) Dépenses thématiques'!O10</f>
        <v>-71450.752350119888</v>
      </c>
      <c r="I11" s="246">
        <f>'K) Plafonnement aide'!J10</f>
        <v>0</v>
      </c>
      <c r="J11" s="246">
        <f>'J) Plafonnement effort'!I10</f>
        <v>0</v>
      </c>
      <c r="K11" s="246">
        <f>'L) Plafonnement taux'!Q11</f>
        <v>0</v>
      </c>
      <c r="L11" s="332">
        <f t="shared" si="0"/>
        <v>112622.95432474591</v>
      </c>
      <c r="M11" s="332">
        <f>'M) Police'!O11</f>
        <v>62450.433584685066</v>
      </c>
      <c r="N11" s="332">
        <f t="shared" si="1"/>
        <v>175073.38790943098</v>
      </c>
      <c r="P11" s="445"/>
    </row>
    <row r="12" spans="1:16" s="237" customFormat="1" x14ac:dyDescent="0.25">
      <c r="A12" s="234">
        <f>'B) D RI'!A13</f>
        <v>5407</v>
      </c>
      <c r="B12" s="235" t="str">
        <f>'B) D RI'!B13</f>
        <v>Leysin</v>
      </c>
      <c r="C12" s="402">
        <f>'B) D RI'!S13</f>
        <v>78</v>
      </c>
      <c r="D12" s="236">
        <f>'B) D RI'!AR13</f>
        <v>4088</v>
      </c>
      <c r="E12" s="243">
        <f>'D) Ecrêtage'!M11</f>
        <v>82610.97474358973</v>
      </c>
      <c r="F12" s="246">
        <f>'E) Fact soc'!G17</f>
        <v>1477606.7843782261</v>
      </c>
      <c r="G12" s="246">
        <f>'H) Péréquation directe'!I22</f>
        <v>-2166226.6483549266</v>
      </c>
      <c r="H12" s="246">
        <f>'I) Dépenses thématiques'!O11</f>
        <v>-2145165.299465477</v>
      </c>
      <c r="I12" s="246">
        <f>'K) Plafonnement aide'!J11</f>
        <v>234259.50288695731</v>
      </c>
      <c r="J12" s="246">
        <f>'J) Plafonnement effort'!I11</f>
        <v>0</v>
      </c>
      <c r="K12" s="246">
        <f>'L) Plafonnement taux'!Q12</f>
        <v>0</v>
      </c>
      <c r="L12" s="332">
        <f t="shared" si="0"/>
        <v>-2599525.6605552202</v>
      </c>
      <c r="M12" s="332">
        <f>'M) Police'!O12</f>
        <v>249465.21729424151</v>
      </c>
      <c r="N12" s="332">
        <f t="shared" si="1"/>
        <v>-2350060.4432609789</v>
      </c>
      <c r="P12" s="445"/>
    </row>
    <row r="13" spans="1:16" s="237" customFormat="1" x14ac:dyDescent="0.25">
      <c r="A13" s="234">
        <f>'B) D RI'!A14</f>
        <v>5408</v>
      </c>
      <c r="B13" s="235" t="str">
        <f>'B) D RI'!B14</f>
        <v>Noville</v>
      </c>
      <c r="C13" s="402">
        <f>'B) D RI'!S14</f>
        <v>78.5</v>
      </c>
      <c r="D13" s="236">
        <f>'B) D RI'!AR14</f>
        <v>1056</v>
      </c>
      <c r="E13" s="243">
        <f>'D) Ecrêtage'!M12</f>
        <v>33419.560339702759</v>
      </c>
      <c r="F13" s="246">
        <f>'E) Fact soc'!G18</f>
        <v>632898.81813312578</v>
      </c>
      <c r="G13" s="246">
        <f>'H) Péréquation directe'!I23</f>
        <v>178598.36226882041</v>
      </c>
      <c r="H13" s="246">
        <f>'I) Dépenses thématiques'!O12</f>
        <v>-109153.25407681389</v>
      </c>
      <c r="I13" s="246">
        <f>'K) Plafonnement aide'!J12</f>
        <v>0</v>
      </c>
      <c r="J13" s="246">
        <f>'J) Plafonnement effort'!I12</f>
        <v>0</v>
      </c>
      <c r="K13" s="246">
        <f>'L) Plafonnement taux'!Q13</f>
        <v>0</v>
      </c>
      <c r="L13" s="332">
        <f t="shared" si="0"/>
        <v>702343.92632513226</v>
      </c>
      <c r="M13" s="332">
        <f>'M) Police'!O13</f>
        <v>104209.00065182958</v>
      </c>
      <c r="N13" s="332">
        <f t="shared" si="1"/>
        <v>806552.92697696178</v>
      </c>
      <c r="P13" s="445"/>
    </row>
    <row r="14" spans="1:16" s="237" customFormat="1" x14ac:dyDescent="0.25">
      <c r="A14" s="234">
        <f>'B) D RI'!A15</f>
        <v>5409</v>
      </c>
      <c r="B14" s="235" t="str">
        <f>'B) D RI'!B15</f>
        <v>Ollon</v>
      </c>
      <c r="C14" s="402">
        <f>'B) D RI'!S15</f>
        <v>68</v>
      </c>
      <c r="D14" s="236">
        <f>'B) D RI'!AR15</f>
        <v>7473</v>
      </c>
      <c r="E14" s="243">
        <f>'D) Ecrêtage'!M13</f>
        <v>366034.73937782802</v>
      </c>
      <c r="F14" s="246">
        <f>'E) Fact soc'!G19</f>
        <v>7319120.9057379616</v>
      </c>
      <c r="G14" s="246">
        <f>'H) Péréquation directe'!I24</f>
        <v>3555772.449650256</v>
      </c>
      <c r="H14" s="246">
        <f>'I) Dépenses thématiques'!O13</f>
        <v>-1592200.5406469165</v>
      </c>
      <c r="I14" s="246">
        <f>'K) Plafonnement aide'!J13</f>
        <v>0</v>
      </c>
      <c r="J14" s="246">
        <f>'J) Plafonnement effort'!I13</f>
        <v>0</v>
      </c>
      <c r="K14" s="246">
        <f>'L) Plafonnement taux'!Q14</f>
        <v>0</v>
      </c>
      <c r="L14" s="332">
        <f t="shared" si="0"/>
        <v>9282692.8147413004</v>
      </c>
      <c r="M14" s="332">
        <f>'M) Police'!O14</f>
        <v>468660.934128522</v>
      </c>
      <c r="N14" s="332">
        <f t="shared" si="1"/>
        <v>9751353.7488698233</v>
      </c>
      <c r="P14" s="445"/>
    </row>
    <row r="15" spans="1:16" s="237" customFormat="1" x14ac:dyDescent="0.25">
      <c r="A15" s="234">
        <f>'B) D RI'!A16</f>
        <v>5410</v>
      </c>
      <c r="B15" s="235" t="str">
        <f>'B) D RI'!B16</f>
        <v>Ormont-Dessous</v>
      </c>
      <c r="C15" s="402">
        <f>'B) D RI'!S16</f>
        <v>78.5</v>
      </c>
      <c r="D15" s="236">
        <f>'B) D RI'!AR16</f>
        <v>1105</v>
      </c>
      <c r="E15" s="243">
        <f>'D) Ecrêtage'!M14</f>
        <v>36452.210276008496</v>
      </c>
      <c r="F15" s="246">
        <f>'E) Fact soc'!G20</f>
        <v>652669.197608324</v>
      </c>
      <c r="G15" s="246">
        <f>'H) Péréquation directe'!I25</f>
        <v>239448.74110721052</v>
      </c>
      <c r="H15" s="246">
        <f>'I) Dépenses thématiques'!O14</f>
        <v>-783912.66318412172</v>
      </c>
      <c r="I15" s="246">
        <f>'K) Plafonnement aide'!J14</f>
        <v>0</v>
      </c>
      <c r="J15" s="246">
        <f>'J) Plafonnement effort'!I14</f>
        <v>0</v>
      </c>
      <c r="K15" s="246">
        <f>'L) Plafonnement taux'!Q15</f>
        <v>0</v>
      </c>
      <c r="L15" s="332">
        <f t="shared" si="0"/>
        <v>108205.2755314128</v>
      </c>
      <c r="M15" s="332">
        <f>'M) Police'!O15</f>
        <v>110364.96577260442</v>
      </c>
      <c r="N15" s="332">
        <f t="shared" si="1"/>
        <v>218570.24130401723</v>
      </c>
      <c r="P15" s="445"/>
    </row>
    <row r="16" spans="1:16" s="237" customFormat="1" x14ac:dyDescent="0.25">
      <c r="A16" s="234">
        <f>'B) D RI'!A17</f>
        <v>5411</v>
      </c>
      <c r="B16" s="235" t="str">
        <f>'B) D RI'!B17</f>
        <v>Ormont-Dessus</v>
      </c>
      <c r="C16" s="402">
        <f>'B) D RI'!S17</f>
        <v>76</v>
      </c>
      <c r="D16" s="236">
        <f>'B) D RI'!AR17</f>
        <v>1479</v>
      </c>
      <c r="E16" s="243">
        <f>'D) Ecrêtage'!M15</f>
        <v>74047.924868421047</v>
      </c>
      <c r="F16" s="246">
        <f>'E) Fact soc'!G21</f>
        <v>1321221.6174278462</v>
      </c>
      <c r="G16" s="246">
        <f>'H) Péréquation directe'!I26</f>
        <v>1110391.9501402802</v>
      </c>
      <c r="H16" s="246">
        <f>'I) Dépenses thématiques'!O15</f>
        <v>-891192.36099699046</v>
      </c>
      <c r="I16" s="246">
        <f>'K) Plafonnement aide'!J15</f>
        <v>0</v>
      </c>
      <c r="J16" s="246">
        <f>'J) Plafonnement effort'!I15</f>
        <v>0</v>
      </c>
      <c r="K16" s="246">
        <f>'L) Plafonnement taux'!Q16</f>
        <v>0</v>
      </c>
      <c r="L16" s="332">
        <f t="shared" si="0"/>
        <v>1540421.2065711357</v>
      </c>
      <c r="M16" s="332">
        <f>'M) Police'!O16</f>
        <v>222160.58749464544</v>
      </c>
      <c r="N16" s="332">
        <f t="shared" si="1"/>
        <v>1762581.7940657812</v>
      </c>
      <c r="P16" s="445"/>
    </row>
    <row r="17" spans="1:16" s="237" customFormat="1" x14ac:dyDescent="0.25">
      <c r="A17" s="234">
        <f>'B) D RI'!A18</f>
        <v>5412</v>
      </c>
      <c r="B17" s="235" t="str">
        <f>'B) D RI'!B18</f>
        <v>Rennaz</v>
      </c>
      <c r="C17" s="402">
        <f>'B) D RI'!S18</f>
        <v>67.5</v>
      </c>
      <c r="D17" s="236">
        <f>'B) D RI'!AR18</f>
        <v>843</v>
      </c>
      <c r="E17" s="243">
        <f>'D) Ecrêtage'!M16</f>
        <v>26224.228148148151</v>
      </c>
      <c r="F17" s="246">
        <f>'E) Fact soc'!G22</f>
        <v>488583.24623196508</v>
      </c>
      <c r="G17" s="246">
        <f>'H) Péréquation directe'!I27</f>
        <v>204235.16512820043</v>
      </c>
      <c r="H17" s="246">
        <f>'I) Dépenses thématiques'!O16</f>
        <v>-96873.557320856198</v>
      </c>
      <c r="I17" s="246">
        <f>'K) Plafonnement aide'!J16</f>
        <v>0</v>
      </c>
      <c r="J17" s="246">
        <f>'J) Plafonnement effort'!I16</f>
        <v>0</v>
      </c>
      <c r="K17" s="246">
        <f>'L) Plafonnement taux'!Q17</f>
        <v>0</v>
      </c>
      <c r="L17" s="332">
        <f t="shared" si="0"/>
        <v>595944.85403930931</v>
      </c>
      <c r="M17" s="332">
        <f>'M) Police'!O17</f>
        <v>79507.835062391852</v>
      </c>
      <c r="N17" s="332">
        <f t="shared" si="1"/>
        <v>675452.68910170114</v>
      </c>
      <c r="P17" s="445"/>
    </row>
    <row r="18" spans="1:16" s="237" customFormat="1" x14ac:dyDescent="0.25">
      <c r="A18" s="234">
        <f>'B) D RI'!A19</f>
        <v>5413</v>
      </c>
      <c r="B18" s="235" t="str">
        <f>'B) D RI'!B19</f>
        <v>Roche</v>
      </c>
      <c r="C18" s="402">
        <f>'B) D RI'!S19</f>
        <v>68</v>
      </c>
      <c r="D18" s="236">
        <f>'B) D RI'!AR19</f>
        <v>1597</v>
      </c>
      <c r="E18" s="243">
        <f>'D) Ecrêtage'!M17</f>
        <v>38924.228382352943</v>
      </c>
      <c r="F18" s="246">
        <f>'E) Fact soc'!G23</f>
        <v>748418.471832813</v>
      </c>
      <c r="G18" s="246">
        <f>'H) Péréquation directe'!I28</f>
        <v>-164234.93573165871</v>
      </c>
      <c r="H18" s="246">
        <f>'I) Dépenses thématiques'!O17</f>
        <v>0</v>
      </c>
      <c r="I18" s="246">
        <f>'K) Plafonnement aide'!J17</f>
        <v>0</v>
      </c>
      <c r="J18" s="246">
        <f>'J) Plafonnement effort'!I17</f>
        <v>0</v>
      </c>
      <c r="K18" s="246">
        <f>'L) Plafonnement taux'!Q18</f>
        <v>0</v>
      </c>
      <c r="L18" s="332">
        <f t="shared" si="0"/>
        <v>584183.53610115428</v>
      </c>
      <c r="M18" s="332">
        <f>'M) Police'!O18</f>
        <v>121881.37081298527</v>
      </c>
      <c r="N18" s="332">
        <f t="shared" si="1"/>
        <v>706064.90691413952</v>
      </c>
      <c r="P18" s="445"/>
    </row>
    <row r="19" spans="1:16" s="237" customFormat="1" x14ac:dyDescent="0.25">
      <c r="A19" s="234">
        <f>'B) D RI'!A20</f>
        <v>5414</v>
      </c>
      <c r="B19" s="235" t="str">
        <f>'B) D RI'!B20</f>
        <v>Villeneuve</v>
      </c>
      <c r="C19" s="402">
        <f>'B) D RI'!S20</f>
        <v>69</v>
      </c>
      <c r="D19" s="236">
        <f>'B) D RI'!AR20</f>
        <v>5457</v>
      </c>
      <c r="E19" s="243">
        <f>'D) Ecrêtage'!M18</f>
        <v>159863.47130434786</v>
      </c>
      <c r="F19" s="246">
        <f>'E) Fact soc'!G24</f>
        <v>3066231.672072202</v>
      </c>
      <c r="G19" s="246">
        <f>'H) Péréquation directe'!I29</f>
        <v>-614772.90011420008</v>
      </c>
      <c r="H19" s="246">
        <f>'I) Dépenses thématiques'!O18</f>
        <v>-1481952.1238047285</v>
      </c>
      <c r="I19" s="246">
        <f>'K) Plafonnement aide'!J18</f>
        <v>0</v>
      </c>
      <c r="J19" s="246">
        <f>'J) Plafonnement effort'!I18</f>
        <v>0</v>
      </c>
      <c r="K19" s="246">
        <f>'L) Plafonnement taux'!Q19</f>
        <v>0</v>
      </c>
      <c r="L19" s="332">
        <f t="shared" si="0"/>
        <v>969506.64815327339</v>
      </c>
      <c r="M19" s="332">
        <f>'M) Police'!O19</f>
        <v>490940.40617705457</v>
      </c>
      <c r="N19" s="332">
        <f t="shared" si="1"/>
        <v>1460447.054330328</v>
      </c>
      <c r="P19" s="445"/>
    </row>
    <row r="20" spans="1:16" s="237" customFormat="1" x14ac:dyDescent="0.25">
      <c r="A20" s="234">
        <f>'B) D RI'!A21</f>
        <v>5415</v>
      </c>
      <c r="B20" s="235" t="str">
        <f>'B) D RI'!B21</f>
        <v>Yvorne</v>
      </c>
      <c r="C20" s="402">
        <f>'B) D RI'!S21</f>
        <v>68.5</v>
      </c>
      <c r="D20" s="236">
        <f>'B) D RI'!AR21</f>
        <v>1061</v>
      </c>
      <c r="E20" s="243">
        <f>'D) Ecrêtage'!M19</f>
        <v>35726.744476885644</v>
      </c>
      <c r="F20" s="246">
        <f>'E) Fact soc'!G25</f>
        <v>645972.77497196989</v>
      </c>
      <c r="G20" s="246">
        <f>'H) Péréquation directe'!I30</f>
        <v>336049.13287704356</v>
      </c>
      <c r="H20" s="246">
        <f>'I) Dépenses thématiques'!O19</f>
        <v>-87575.970990946225</v>
      </c>
      <c r="I20" s="246">
        <f>'K) Plafonnement aide'!J19</f>
        <v>0</v>
      </c>
      <c r="J20" s="246">
        <f>'J) Plafonnement effort'!I19</f>
        <v>0</v>
      </c>
      <c r="K20" s="246">
        <f>'L) Plafonnement taux'!Q20</f>
        <v>0</v>
      </c>
      <c r="L20" s="332">
        <f t="shared" si="0"/>
        <v>894445.93685806729</v>
      </c>
      <c r="M20" s="332">
        <f>'M) Police'!O20</f>
        <v>110803.22086346793</v>
      </c>
      <c r="N20" s="332">
        <f t="shared" si="1"/>
        <v>1005249.1577215352</v>
      </c>
      <c r="P20" s="445"/>
    </row>
    <row r="21" spans="1:16" s="237" customFormat="1" x14ac:dyDescent="0.25">
      <c r="A21" s="234">
        <f>'B) D RI'!A22</f>
        <v>5421</v>
      </c>
      <c r="B21" s="235" t="str">
        <f>'B) D RI'!B22</f>
        <v>Apples</v>
      </c>
      <c r="C21" s="402">
        <f>'B) D RI'!S22</f>
        <v>76</v>
      </c>
      <c r="D21" s="236">
        <f>'B) D RI'!AR22</f>
        <v>1412</v>
      </c>
      <c r="E21" s="243">
        <f>'D) Ecrêtage'!M20</f>
        <v>59005.563421052633</v>
      </c>
      <c r="F21" s="246">
        <f>'E) Fact soc'!G26</f>
        <v>896089.69796731276</v>
      </c>
      <c r="G21" s="246">
        <f>'H) Péréquation directe'!I31</f>
        <v>779160.00862090511</v>
      </c>
      <c r="H21" s="246">
        <f>'I) Dépenses thématiques'!O20</f>
        <v>-264407.43833177508</v>
      </c>
      <c r="I21" s="246">
        <f>'K) Plafonnement aide'!J20</f>
        <v>0</v>
      </c>
      <c r="J21" s="246">
        <f>'J) Plafonnement effort'!I20</f>
        <v>0</v>
      </c>
      <c r="K21" s="246">
        <f>'L) Plafonnement taux'!Q21</f>
        <v>0</v>
      </c>
      <c r="L21" s="332">
        <f t="shared" si="0"/>
        <v>1410842.2682564429</v>
      </c>
      <c r="M21" s="332">
        <f>'M) Police'!O21</f>
        <v>186161.95348188299</v>
      </c>
      <c r="N21" s="332">
        <f t="shared" si="1"/>
        <v>1597004.2217383259</v>
      </c>
      <c r="P21" s="445"/>
    </row>
    <row r="22" spans="1:16" s="237" customFormat="1" x14ac:dyDescent="0.25">
      <c r="A22" s="234">
        <f>'B) D RI'!A23</f>
        <v>5422</v>
      </c>
      <c r="B22" s="235" t="str">
        <f>'B) D RI'!B23</f>
        <v>Aubonne</v>
      </c>
      <c r="C22" s="402">
        <f>'B) D RI'!S23</f>
        <v>68</v>
      </c>
      <c r="D22" s="236">
        <f>'B) D RI'!AR23</f>
        <v>3272</v>
      </c>
      <c r="E22" s="243">
        <f>'D) Ecrêtage'!M21</f>
        <v>206220.17598069846</v>
      </c>
      <c r="F22" s="246">
        <f>'E) Fact soc'!G27</f>
        <v>4383390.7289111996</v>
      </c>
      <c r="G22" s="246">
        <f>'H) Péréquation directe'!I32</f>
        <v>2904470.1157098152</v>
      </c>
      <c r="H22" s="246">
        <f>'I) Dépenses thématiques'!O21</f>
        <v>-26458.097929161948</v>
      </c>
      <c r="I22" s="246">
        <f>'K) Plafonnement aide'!J21</f>
        <v>0</v>
      </c>
      <c r="J22" s="246">
        <f>'J) Plafonnement effort'!I21</f>
        <v>0</v>
      </c>
      <c r="K22" s="246">
        <f>'L) Plafonnement taux'!Q22</f>
        <v>0</v>
      </c>
      <c r="L22" s="332">
        <f t="shared" si="0"/>
        <v>7261402.7466918528</v>
      </c>
      <c r="M22" s="332">
        <f>'M) Police'!O22</f>
        <v>548757.7401093574</v>
      </c>
      <c r="N22" s="332">
        <f t="shared" si="1"/>
        <v>7810160.4868012099</v>
      </c>
      <c r="P22" s="445"/>
    </row>
    <row r="23" spans="1:16" s="237" customFormat="1" x14ac:dyDescent="0.25">
      <c r="A23" s="234">
        <f>'B) D RI'!A24</f>
        <v>5423</v>
      </c>
      <c r="B23" s="235" t="str">
        <f>'B) D RI'!B24</f>
        <v>Ballens</v>
      </c>
      <c r="C23" s="402">
        <f>'B) D RI'!S24</f>
        <v>69</v>
      </c>
      <c r="D23" s="236">
        <f>'B) D RI'!AR24</f>
        <v>508</v>
      </c>
      <c r="E23" s="243">
        <f>'D) Ecrêtage'!M22</f>
        <v>15358.055362318841</v>
      </c>
      <c r="F23" s="246">
        <f>'E) Fact soc'!G28</f>
        <v>235476.04804394406</v>
      </c>
      <c r="G23" s="246">
        <f>'H) Péréquation directe'!I33</f>
        <v>100952.44972924615</v>
      </c>
      <c r="H23" s="246">
        <f>'I) Dépenses thématiques'!O22</f>
        <v>-57051.822485848286</v>
      </c>
      <c r="I23" s="246">
        <f>'K) Plafonnement aide'!J22</f>
        <v>0</v>
      </c>
      <c r="J23" s="246">
        <f>'J) Plafonnement effort'!I22</f>
        <v>0</v>
      </c>
      <c r="K23" s="246">
        <f>'L) Plafonnement taux'!Q23</f>
        <v>0</v>
      </c>
      <c r="L23" s="332">
        <f t="shared" si="0"/>
        <v>279376.67528734193</v>
      </c>
      <c r="M23" s="332">
        <f>'M) Police'!O23</f>
        <v>48393.648939211103</v>
      </c>
      <c r="N23" s="332">
        <f t="shared" si="1"/>
        <v>327770.32422655303</v>
      </c>
      <c r="P23" s="445"/>
    </row>
    <row r="24" spans="1:16" s="237" customFormat="1" x14ac:dyDescent="0.25">
      <c r="A24" s="234">
        <f>'B) D RI'!A25</f>
        <v>5424</v>
      </c>
      <c r="B24" s="235" t="str">
        <f>'B) D RI'!B25</f>
        <v>Berolle</v>
      </c>
      <c r="C24" s="402">
        <f>'B) D RI'!S25</f>
        <v>77</v>
      </c>
      <c r="D24" s="236">
        <f>'B) D RI'!AR25</f>
        <v>301</v>
      </c>
      <c r="E24" s="243">
        <f>'D) Ecrêtage'!M23</f>
        <v>9058.2428571428572</v>
      </c>
      <c r="F24" s="246">
        <f>'E) Fact soc'!G29</f>
        <v>156474.83332575159</v>
      </c>
      <c r="G24" s="246">
        <f>'H) Péréquation directe'!I34</f>
        <v>38576.112240428731</v>
      </c>
      <c r="H24" s="246">
        <f>'I) Dépenses thématiques'!O23</f>
        <v>-26742.476703043714</v>
      </c>
      <c r="I24" s="246">
        <f>'K) Plafonnement aide'!J23</f>
        <v>0</v>
      </c>
      <c r="J24" s="246">
        <f>'J) Plafonnement effort'!I23</f>
        <v>0</v>
      </c>
      <c r="K24" s="246">
        <f>'L) Plafonnement taux'!Q24</f>
        <v>0</v>
      </c>
      <c r="L24" s="332">
        <f t="shared" si="0"/>
        <v>168308.46886313663</v>
      </c>
      <c r="M24" s="332">
        <f>'M) Police'!O24</f>
        <v>28428.322822102404</v>
      </c>
      <c r="N24" s="332">
        <f t="shared" si="1"/>
        <v>196736.79168523903</v>
      </c>
      <c r="P24" s="445"/>
    </row>
    <row r="25" spans="1:16" s="237" customFormat="1" x14ac:dyDescent="0.25">
      <c r="A25" s="234">
        <f>'B) D RI'!A26</f>
        <v>5425</v>
      </c>
      <c r="B25" s="235" t="str">
        <f>'B) D RI'!B26</f>
        <v>Bière</v>
      </c>
      <c r="C25" s="402">
        <f>'B) D RI'!S26</f>
        <v>68</v>
      </c>
      <c r="D25" s="236">
        <f>'B) D RI'!AR26</f>
        <v>1546</v>
      </c>
      <c r="E25" s="243">
        <f>'D) Ecrêtage'!M24</f>
        <v>39413.041470588236</v>
      </c>
      <c r="F25" s="246">
        <f>'E) Fact soc'!G30</f>
        <v>765374.40565724554</v>
      </c>
      <c r="G25" s="246">
        <f>'H) Péréquation directe'!I35</f>
        <v>-86972.239878664608</v>
      </c>
      <c r="H25" s="246">
        <f>'I) Dépenses thématiques'!O24</f>
        <v>-471581.94643847866</v>
      </c>
      <c r="I25" s="246">
        <f>'K) Plafonnement aide'!J24</f>
        <v>0</v>
      </c>
      <c r="J25" s="246">
        <f>'J) Plafonnement effort'!I24</f>
        <v>0</v>
      </c>
      <c r="K25" s="246">
        <f>'L) Plafonnement taux'!Q25</f>
        <v>0</v>
      </c>
      <c r="L25" s="332">
        <f t="shared" si="0"/>
        <v>206820.21934010228</v>
      </c>
      <c r="M25" s="332">
        <f>'M) Police'!O25</f>
        <v>123354.99380876537</v>
      </c>
      <c r="N25" s="332">
        <f t="shared" si="1"/>
        <v>330175.21314886765</v>
      </c>
      <c r="P25" s="445"/>
    </row>
    <row r="26" spans="1:16" s="237" customFormat="1" x14ac:dyDescent="0.25">
      <c r="A26" s="234">
        <f>'B) D RI'!A27</f>
        <v>5426</v>
      </c>
      <c r="B26" s="235" t="str">
        <f>'B) D RI'!B27</f>
        <v>Bougy-Villars</v>
      </c>
      <c r="C26" s="402">
        <f>'B) D RI'!S27</f>
        <v>62</v>
      </c>
      <c r="D26" s="236">
        <f>'B) D RI'!AR27</f>
        <v>467</v>
      </c>
      <c r="E26" s="243">
        <f>'D) Ecrêtage'!M25</f>
        <v>35690.328405985179</v>
      </c>
      <c r="F26" s="246">
        <f>'E) Fact soc'!G31</f>
        <v>3787280.8476168825</v>
      </c>
      <c r="G26" s="246">
        <f>'H) Péréquation directe'!I36</f>
        <v>616342.645993746</v>
      </c>
      <c r="H26" s="246">
        <f>'I) Dépenses thématiques'!O25</f>
        <v>0</v>
      </c>
      <c r="I26" s="246">
        <f>'K) Plafonnement aide'!J25</f>
        <v>0</v>
      </c>
      <c r="J26" s="246">
        <f>'J) Plafonnement effort'!I25</f>
        <v>-2014242.2475740064</v>
      </c>
      <c r="K26" s="246">
        <f>'L) Plafonnement taux'!Q26</f>
        <v>0</v>
      </c>
      <c r="L26" s="332">
        <f t="shared" si="0"/>
        <v>2389381.2460366227</v>
      </c>
      <c r="M26" s="332">
        <f>'M) Police'!O26</f>
        <v>86333.780957682146</v>
      </c>
      <c r="N26" s="332">
        <f t="shared" si="1"/>
        <v>2475715.0269943047</v>
      </c>
      <c r="P26" s="445"/>
    </row>
    <row r="27" spans="1:16" s="237" customFormat="1" x14ac:dyDescent="0.25">
      <c r="A27" s="234">
        <f>'B) D RI'!A28</f>
        <v>5427</v>
      </c>
      <c r="B27" s="235" t="str">
        <f>'B) D RI'!B28</f>
        <v>Féchy</v>
      </c>
      <c r="C27" s="402">
        <f>'B) D RI'!S28</f>
        <v>64</v>
      </c>
      <c r="D27" s="236">
        <f>'B) D RI'!AR28</f>
        <v>887</v>
      </c>
      <c r="E27" s="243">
        <f>'D) Ecrêtage'!M26</f>
        <v>61273.790417776101</v>
      </c>
      <c r="F27" s="246">
        <f>'E) Fact soc'!G32</f>
        <v>1554818.4716064897</v>
      </c>
      <c r="G27" s="246">
        <f>'H) Péréquation directe'!I37</f>
        <v>1049743.4691397685</v>
      </c>
      <c r="H27" s="246">
        <f>'I) Dépenses thématiques'!O26</f>
        <v>0</v>
      </c>
      <c r="I27" s="246">
        <f>'K) Plafonnement aide'!J26</f>
        <v>0</v>
      </c>
      <c r="J27" s="246">
        <f>'J) Plafonnement effort'!I26</f>
        <v>0</v>
      </c>
      <c r="K27" s="246">
        <f>'L) Plafonnement taux'!Q27</f>
        <v>0</v>
      </c>
      <c r="L27" s="332">
        <f t="shared" si="0"/>
        <v>2604561.940746258</v>
      </c>
      <c r="M27" s="332">
        <f>'M) Police'!O27</f>
        <v>155637.21434292535</v>
      </c>
      <c r="N27" s="332">
        <f t="shared" si="1"/>
        <v>2760199.1550891832</v>
      </c>
      <c r="P27" s="445"/>
    </row>
    <row r="28" spans="1:16" s="237" customFormat="1" x14ac:dyDescent="0.25">
      <c r="A28" s="234">
        <f>'B) D RI'!A29</f>
        <v>5428</v>
      </c>
      <c r="B28" s="235" t="str">
        <f>'B) D RI'!B29</f>
        <v>Gimel</v>
      </c>
      <c r="C28" s="402">
        <f>'B) D RI'!S29</f>
        <v>71.5</v>
      </c>
      <c r="D28" s="236">
        <f>'B) D RI'!AR29</f>
        <v>1948</v>
      </c>
      <c r="E28" s="243">
        <f>'D) Ecrêtage'!M27</f>
        <v>58004.622727272719</v>
      </c>
      <c r="F28" s="246">
        <f>'E) Fact soc'!G33</f>
        <v>1165431.2310440191</v>
      </c>
      <c r="G28" s="246">
        <f>'H) Péréquation directe'!I38</f>
        <v>80919.654844470089</v>
      </c>
      <c r="H28" s="246">
        <f>'I) Dépenses thématiques'!O27</f>
        <v>-287144.91190260381</v>
      </c>
      <c r="I28" s="246">
        <f>'K) Plafonnement aide'!J27</f>
        <v>0</v>
      </c>
      <c r="J28" s="246">
        <f>'J) Plafonnement effort'!I27</f>
        <v>0</v>
      </c>
      <c r="K28" s="246">
        <f>'L) Plafonnement taux'!Q28</f>
        <v>0</v>
      </c>
      <c r="L28" s="332">
        <f t="shared" si="0"/>
        <v>959205.97398588539</v>
      </c>
      <c r="M28" s="332">
        <f>'M) Police'!O28</f>
        <v>181184.7497878338</v>
      </c>
      <c r="N28" s="332">
        <f t="shared" si="1"/>
        <v>1140390.7237737193</v>
      </c>
      <c r="P28" s="445"/>
    </row>
    <row r="29" spans="1:16" s="237" customFormat="1" x14ac:dyDescent="0.25">
      <c r="A29" s="234">
        <f>'B) D RI'!A30</f>
        <v>5429</v>
      </c>
      <c r="B29" s="235" t="str">
        <f>'B) D RI'!B30</f>
        <v>Longirod</v>
      </c>
      <c r="C29" s="402">
        <f>'B) D RI'!S30</f>
        <v>81</v>
      </c>
      <c r="D29" s="236">
        <f>'B) D RI'!AR30</f>
        <v>460</v>
      </c>
      <c r="E29" s="243">
        <f>'D) Ecrêtage'!M28</f>
        <v>12171.349506172839</v>
      </c>
      <c r="F29" s="246">
        <f>'E) Fact soc'!G34</f>
        <v>262000.46521027939</v>
      </c>
      <c r="G29" s="246">
        <f>'H) Péréquation directe'!I39</f>
        <v>-32178.930156263727</v>
      </c>
      <c r="H29" s="246">
        <f>'I) Dépenses thématiques'!O28</f>
        <v>-105752.93958158877</v>
      </c>
      <c r="I29" s="246">
        <f>'K) Plafonnement aide'!J28</f>
        <v>0</v>
      </c>
      <c r="J29" s="246">
        <f>'J) Plafonnement effort'!I28</f>
        <v>0</v>
      </c>
      <c r="K29" s="246">
        <f>'L) Plafonnement taux'!Q29</f>
        <v>0</v>
      </c>
      <c r="L29" s="332">
        <f t="shared" si="0"/>
        <v>124068.5954724269</v>
      </c>
      <c r="M29" s="332">
        <f>'M) Police'!O29</f>
        <v>37718.129623098066</v>
      </c>
      <c r="N29" s="332">
        <f t="shared" si="1"/>
        <v>161786.72509552498</v>
      </c>
      <c r="P29" s="445"/>
    </row>
    <row r="30" spans="1:16" s="237" customFormat="1" x14ac:dyDescent="0.25">
      <c r="A30" s="234">
        <f>'B) D RI'!A31</f>
        <v>5430</v>
      </c>
      <c r="B30" s="235" t="str">
        <f>'B) D RI'!B31</f>
        <v>Marchissy</v>
      </c>
      <c r="C30" s="402">
        <f>'B) D RI'!S31</f>
        <v>79</v>
      </c>
      <c r="D30" s="236">
        <f>'B) D RI'!AR31</f>
        <v>430</v>
      </c>
      <c r="E30" s="243">
        <f>'D) Ecrêtage'!M29</f>
        <v>10573.165189873416</v>
      </c>
      <c r="F30" s="246">
        <f>'E) Fact soc'!G35</f>
        <v>202647.17670431596</v>
      </c>
      <c r="G30" s="246">
        <f>'H) Péréquation directe'!I40</f>
        <v>-55374.831307351298</v>
      </c>
      <c r="H30" s="246">
        <f>'I) Dépenses thématiques'!O29</f>
        <v>-127986.22219056934</v>
      </c>
      <c r="I30" s="246">
        <f>'K) Plafonnement aide'!J29</f>
        <v>0</v>
      </c>
      <c r="J30" s="246">
        <f>'J) Plafonnement effort'!I29</f>
        <v>0</v>
      </c>
      <c r="K30" s="246">
        <f>'L) Plafonnement taux'!Q30</f>
        <v>0</v>
      </c>
      <c r="L30" s="332">
        <f t="shared" si="0"/>
        <v>19286.123206395321</v>
      </c>
      <c r="M30" s="332">
        <f>'M) Police'!O30</f>
        <v>32649.545305862579</v>
      </c>
      <c r="N30" s="332">
        <f t="shared" si="1"/>
        <v>51935.6685122579</v>
      </c>
      <c r="P30" s="445"/>
    </row>
    <row r="31" spans="1:16" s="237" customFormat="1" x14ac:dyDescent="0.25">
      <c r="A31" s="234">
        <f>'B) D RI'!A32</f>
        <v>5431</v>
      </c>
      <c r="B31" s="235" t="str">
        <f>'B) D RI'!B32</f>
        <v>Mollens</v>
      </c>
      <c r="C31" s="402">
        <f>'B) D RI'!S32</f>
        <v>74</v>
      </c>
      <c r="D31" s="236">
        <f>'B) D RI'!AR32</f>
        <v>295</v>
      </c>
      <c r="E31" s="243">
        <f>'D) Ecrêtage'!M30</f>
        <v>11206.031081081082</v>
      </c>
      <c r="F31" s="246">
        <f>'E) Fact soc'!G36</f>
        <v>189219.73880831711</v>
      </c>
      <c r="G31" s="246">
        <f>'H) Péréquation directe'!I41</f>
        <v>139453.5345291952</v>
      </c>
      <c r="H31" s="246">
        <f>'I) Dépenses thématiques'!O30</f>
        <v>-17421.910518065572</v>
      </c>
      <c r="I31" s="246">
        <f>'K) Plafonnement aide'!J30</f>
        <v>0</v>
      </c>
      <c r="J31" s="246">
        <f>'J) Plafonnement effort'!I30</f>
        <v>0</v>
      </c>
      <c r="K31" s="246">
        <f>'L) Plafonnement taux'!Q31</f>
        <v>0</v>
      </c>
      <c r="L31" s="332">
        <f t="shared" si="0"/>
        <v>311251.36281944672</v>
      </c>
      <c r="M31" s="332">
        <f>'M) Police'!O31</f>
        <v>35445.573373199062</v>
      </c>
      <c r="N31" s="332">
        <f t="shared" si="1"/>
        <v>346696.93619264581</v>
      </c>
      <c r="P31" s="445"/>
    </row>
    <row r="32" spans="1:16" s="237" customFormat="1" x14ac:dyDescent="0.25">
      <c r="A32" s="234">
        <f>'B) D RI'!A33</f>
        <v>5432</v>
      </c>
      <c r="B32" s="235" t="str">
        <f>'B) D RI'!B33</f>
        <v>Montherod</v>
      </c>
      <c r="C32" s="402">
        <f>'B) D RI'!S33</f>
        <v>78</v>
      </c>
      <c r="D32" s="236">
        <f>'B) D RI'!AR33</f>
        <v>522</v>
      </c>
      <c r="E32" s="243">
        <f>'D) Ecrêtage'!M31</f>
        <v>17725.419230769232</v>
      </c>
      <c r="F32" s="246">
        <f>'E) Fact soc'!G37</f>
        <v>318794.43177137681</v>
      </c>
      <c r="G32" s="246">
        <f>'H) Péréquation directe'!I42</f>
        <v>148825.31238780817</v>
      </c>
      <c r="H32" s="246">
        <f>'I) Dépenses thématiques'!O31</f>
        <v>-9950.686869683308</v>
      </c>
      <c r="I32" s="246">
        <f>'K) Plafonnement aide'!J31</f>
        <v>0</v>
      </c>
      <c r="J32" s="246">
        <f>'J) Plafonnement effort'!I31</f>
        <v>0</v>
      </c>
      <c r="K32" s="246">
        <f>'L) Plafonnement taux'!Q32</f>
        <v>0</v>
      </c>
      <c r="L32" s="332">
        <f t="shared" si="0"/>
        <v>457669.05728950165</v>
      </c>
      <c r="M32" s="332">
        <f>'M) Police'!O32</f>
        <v>55666.729750057522</v>
      </c>
      <c r="N32" s="332">
        <f t="shared" si="1"/>
        <v>513335.78703955916</v>
      </c>
      <c r="P32" s="445"/>
    </row>
    <row r="33" spans="1:16" s="237" customFormat="1" x14ac:dyDescent="0.25">
      <c r="A33" s="234">
        <f>'B) D RI'!A34</f>
        <v>5434</v>
      </c>
      <c r="B33" s="235" t="str">
        <f>'B) D RI'!B34</f>
        <v>Saint-George</v>
      </c>
      <c r="C33" s="402">
        <f>'B) D RI'!S34</f>
        <v>68.5</v>
      </c>
      <c r="D33" s="236">
        <f>'B) D RI'!AR34</f>
        <v>991</v>
      </c>
      <c r="E33" s="243">
        <f>'D) Ecrêtage'!M32</f>
        <v>35895.731094890507</v>
      </c>
      <c r="F33" s="246">
        <f>'E) Fact soc'!G38</f>
        <v>630368.1586157016</v>
      </c>
      <c r="G33" s="246">
        <f>'H) Péréquation directe'!I43</f>
        <v>422174.43813443056</v>
      </c>
      <c r="H33" s="246">
        <f>'I) Dépenses thématiques'!O32</f>
        <v>-70633.678488544814</v>
      </c>
      <c r="I33" s="246">
        <f>'K) Plafonnement aide'!J32</f>
        <v>0</v>
      </c>
      <c r="J33" s="246">
        <f>'J) Plafonnement effort'!I32</f>
        <v>0</v>
      </c>
      <c r="K33" s="246">
        <f>'L) Plafonnement taux'!Q33</f>
        <v>0</v>
      </c>
      <c r="L33" s="332">
        <f t="shared" si="0"/>
        <v>981908.9182615875</v>
      </c>
      <c r="M33" s="332">
        <f>'M) Police'!O33</f>
        <v>111894.84367163663</v>
      </c>
      <c r="N33" s="332">
        <f t="shared" si="1"/>
        <v>1093803.761933224</v>
      </c>
      <c r="P33" s="445"/>
    </row>
    <row r="34" spans="1:16" s="237" customFormat="1" x14ac:dyDescent="0.25">
      <c r="A34" s="234">
        <f>'B) D RI'!A35</f>
        <v>5435</v>
      </c>
      <c r="B34" s="235" t="str">
        <f>'B) D RI'!B35</f>
        <v>Saint-Livres</v>
      </c>
      <c r="C34" s="402">
        <f>'B) D RI'!S35</f>
        <v>69</v>
      </c>
      <c r="D34" s="236">
        <f>'B) D RI'!AR35</f>
        <v>689</v>
      </c>
      <c r="E34" s="243">
        <f>'D) Ecrêtage'!M33</f>
        <v>22398.12956521739</v>
      </c>
      <c r="F34" s="246">
        <f>'E) Fact soc'!G39</f>
        <v>338534.44392400485</v>
      </c>
      <c r="G34" s="246">
        <f>'H) Péréquation directe'!I44</f>
        <v>195858.25398668513</v>
      </c>
      <c r="H34" s="246">
        <f>'I) Dépenses thématiques'!O33</f>
        <v>-85383.381482249228</v>
      </c>
      <c r="I34" s="246">
        <f>'K) Plafonnement aide'!J33</f>
        <v>0</v>
      </c>
      <c r="J34" s="246">
        <f>'J) Plafonnement effort'!I33</f>
        <v>0</v>
      </c>
      <c r="K34" s="246">
        <f>'L) Plafonnement taux'!Q34</f>
        <v>0</v>
      </c>
      <c r="L34" s="332">
        <f t="shared" si="0"/>
        <v>449009.31642844074</v>
      </c>
      <c r="M34" s="332">
        <f>'M) Police'!O34</f>
        <v>70071.398215636116</v>
      </c>
      <c r="N34" s="332">
        <f t="shared" si="1"/>
        <v>519080.71464407688</v>
      </c>
      <c r="P34" s="445"/>
    </row>
    <row r="35" spans="1:16" s="237" customFormat="1" x14ac:dyDescent="0.25">
      <c r="A35" s="234">
        <f>'B) D RI'!A36</f>
        <v>5436</v>
      </c>
      <c r="B35" s="235" t="str">
        <f>'B) D RI'!B36</f>
        <v>Saint-Oyens</v>
      </c>
      <c r="C35" s="402">
        <f>'B) D RI'!S36</f>
        <v>81</v>
      </c>
      <c r="D35" s="236">
        <f>'B) D RI'!AR36</f>
        <v>350</v>
      </c>
      <c r="E35" s="243">
        <f>'D) Ecrêtage'!M34</f>
        <v>10474.604814814815</v>
      </c>
      <c r="F35" s="246">
        <f>'E) Fact soc'!G40</f>
        <v>185866.6092759842</v>
      </c>
      <c r="G35" s="246">
        <f>'H) Péréquation directe'!I45</f>
        <v>29870.509188208409</v>
      </c>
      <c r="H35" s="246">
        <f>'I) Dépenses thématiques'!O34</f>
        <v>-42252.919372041535</v>
      </c>
      <c r="I35" s="246">
        <f>'K) Plafonnement aide'!J34</f>
        <v>0</v>
      </c>
      <c r="J35" s="246">
        <f>'J) Plafonnement effort'!I34</f>
        <v>0</v>
      </c>
      <c r="K35" s="246">
        <f>'L) Plafonnement taux'!Q35</f>
        <v>0</v>
      </c>
      <c r="L35" s="332">
        <f t="shared" si="0"/>
        <v>173484.19909215107</v>
      </c>
      <c r="M35" s="332">
        <f>'M) Police'!O35</f>
        <v>32857.071973652492</v>
      </c>
      <c r="N35" s="332">
        <f t="shared" si="1"/>
        <v>206341.27106580356</v>
      </c>
      <c r="P35" s="445"/>
    </row>
    <row r="36" spans="1:16" s="237" customFormat="1" x14ac:dyDescent="0.25">
      <c r="A36" s="234">
        <f>'B) D RI'!A37</f>
        <v>5437</v>
      </c>
      <c r="B36" s="235" t="str">
        <f>'B) D RI'!B37</f>
        <v>Saubraz</v>
      </c>
      <c r="C36" s="402">
        <f>'B) D RI'!S37</f>
        <v>80</v>
      </c>
      <c r="D36" s="236">
        <f>'B) D RI'!AR37</f>
        <v>420</v>
      </c>
      <c r="E36" s="243">
        <f>'D) Ecrêtage'!M35</f>
        <v>10138.793125</v>
      </c>
      <c r="F36" s="246">
        <f>'E) Fact soc'!G41</f>
        <v>200345.50484690437</v>
      </c>
      <c r="G36" s="246">
        <f>'H) Péréquation directe'!I46</f>
        <v>-67612.243400211126</v>
      </c>
      <c r="H36" s="246">
        <f>'I) Dépenses thématiques'!O35</f>
        <v>-46762.508306100375</v>
      </c>
      <c r="I36" s="246">
        <f>'K) Plafonnement aide'!J35</f>
        <v>0</v>
      </c>
      <c r="J36" s="246">
        <f>'J) Plafonnement effort'!I35</f>
        <v>0</v>
      </c>
      <c r="K36" s="246">
        <f>'L) Plafonnement taux'!Q36</f>
        <v>0</v>
      </c>
      <c r="L36" s="332">
        <f t="shared" si="0"/>
        <v>85970.75314059286</v>
      </c>
      <c r="M36" s="332">
        <f>'M) Police'!O36</f>
        <v>31757.265218348461</v>
      </c>
      <c r="N36" s="332">
        <f t="shared" si="1"/>
        <v>117728.01835894132</v>
      </c>
      <c r="P36" s="445"/>
    </row>
    <row r="37" spans="1:16" s="237" customFormat="1" x14ac:dyDescent="0.25">
      <c r="A37" s="234">
        <f>'B) D RI'!A38</f>
        <v>5451</v>
      </c>
      <c r="B37" s="235" t="str">
        <f>'B) D RI'!B38</f>
        <v>Avenches</v>
      </c>
      <c r="C37" s="402">
        <f>'B) D RI'!S38</f>
        <v>68</v>
      </c>
      <c r="D37" s="236">
        <f>'B) D RI'!AR38</f>
        <v>4129</v>
      </c>
      <c r="E37" s="243">
        <f>'D) Ecrêtage'!M36</f>
        <v>109207.82382352941</v>
      </c>
      <c r="F37" s="246">
        <f>'E) Fact soc'!G42</f>
        <v>2187018.9768558252</v>
      </c>
      <c r="G37" s="246">
        <f>'H) Péréquation directe'!I47</f>
        <v>-664937.89502392919</v>
      </c>
      <c r="H37" s="246">
        <f>'I) Dépenses thématiques'!O36</f>
        <v>-1597487.8545523328</v>
      </c>
      <c r="I37" s="246">
        <f>'K) Plafonnement aide'!J36</f>
        <v>0</v>
      </c>
      <c r="J37" s="246">
        <f>'J) Plafonnement effort'!I36</f>
        <v>0</v>
      </c>
      <c r="K37" s="246">
        <f>'L) Plafonnement taux'!Q37</f>
        <v>0</v>
      </c>
      <c r="L37" s="332">
        <f t="shared" si="0"/>
        <v>-75406.772720436798</v>
      </c>
      <c r="M37" s="332">
        <f>'M) Police'!O37</f>
        <v>331924.64249957871</v>
      </c>
      <c r="N37" s="332">
        <f t="shared" si="1"/>
        <v>256517.86977914191</v>
      </c>
      <c r="P37" s="445"/>
    </row>
    <row r="38" spans="1:16" s="237" customFormat="1" x14ac:dyDescent="0.25">
      <c r="A38" s="234">
        <f>'B) D RI'!A39</f>
        <v>5456</v>
      </c>
      <c r="B38" s="235" t="str">
        <f>'B) D RI'!B39</f>
        <v>Cudrefin</v>
      </c>
      <c r="C38" s="402">
        <f>'B) D RI'!S39</f>
        <v>59</v>
      </c>
      <c r="D38" s="236">
        <f>'B) D RI'!AR39</f>
        <v>1555</v>
      </c>
      <c r="E38" s="243">
        <f>'D) Ecrêtage'!M37</f>
        <v>51373.818644067804</v>
      </c>
      <c r="F38" s="246">
        <f>'E) Fact soc'!G43</f>
        <v>840207.56612322386</v>
      </c>
      <c r="G38" s="246">
        <f>'H) Péréquation directe'!I48</f>
        <v>424149.91072163975</v>
      </c>
      <c r="H38" s="246">
        <f>'I) Dépenses thématiques'!O37</f>
        <v>-287701.98353682383</v>
      </c>
      <c r="I38" s="246">
        <f>'K) Plafonnement aide'!J37</f>
        <v>0</v>
      </c>
      <c r="J38" s="246">
        <f>'J) Plafonnement effort'!I37</f>
        <v>0</v>
      </c>
      <c r="K38" s="246">
        <f>'L) Plafonnement taux'!Q38</f>
        <v>0</v>
      </c>
      <c r="L38" s="332">
        <f t="shared" si="0"/>
        <v>976655.49330803961</v>
      </c>
      <c r="M38" s="332">
        <f>'M) Police'!O38</f>
        <v>158963.21430523583</v>
      </c>
      <c r="N38" s="332">
        <f t="shared" si="1"/>
        <v>1135618.7076132754</v>
      </c>
      <c r="P38" s="445"/>
    </row>
    <row r="39" spans="1:16" s="237" customFormat="1" x14ac:dyDescent="0.25">
      <c r="A39" s="234">
        <f>'B) D RI'!A40</f>
        <v>5458</v>
      </c>
      <c r="B39" s="235" t="str">
        <f>'B) D RI'!B40</f>
        <v>Faoug</v>
      </c>
      <c r="C39" s="402">
        <f>'B) D RI'!S40</f>
        <v>64</v>
      </c>
      <c r="D39" s="236">
        <f>'B) D RI'!AR40</f>
        <v>870</v>
      </c>
      <c r="E39" s="243">
        <f>'D) Ecrêtage'!M38</f>
        <v>31692.092968750003</v>
      </c>
      <c r="F39" s="246">
        <f>'E) Fact soc'!G44</f>
        <v>538626.43139395991</v>
      </c>
      <c r="G39" s="246">
        <f>'H) Péréquation directe'!I49</f>
        <v>393209.06719448941</v>
      </c>
      <c r="H39" s="246">
        <f>'I) Dépenses thématiques'!O38</f>
        <v>-72956.25061278131</v>
      </c>
      <c r="I39" s="246">
        <f>'K) Plafonnement aide'!J38</f>
        <v>0</v>
      </c>
      <c r="J39" s="246">
        <f>'J) Plafonnement effort'!I38</f>
        <v>0</v>
      </c>
      <c r="K39" s="246">
        <f>'L) Plafonnement taux'!Q39</f>
        <v>0</v>
      </c>
      <c r="L39" s="332">
        <f t="shared" si="0"/>
        <v>858879.24797566806</v>
      </c>
      <c r="M39" s="332">
        <f>'M) Police'!O39</f>
        <v>98711.932175834998</v>
      </c>
      <c r="N39" s="332">
        <f t="shared" si="1"/>
        <v>957591.18015150307</v>
      </c>
      <c r="P39" s="445"/>
    </row>
    <row r="40" spans="1:16" s="237" customFormat="1" x14ac:dyDescent="0.25">
      <c r="A40" s="234">
        <f>'B) D RI'!A41</f>
        <v>5464</v>
      </c>
      <c r="B40" s="235" t="str">
        <f>'B) D RI'!B41</f>
        <v>Vully-les-Lacs</v>
      </c>
      <c r="C40" s="402">
        <f>'B) D RI'!S41</f>
        <v>67</v>
      </c>
      <c r="D40" s="236">
        <f>'B) D RI'!AR41</f>
        <v>2935</v>
      </c>
      <c r="E40" s="243">
        <f>'D) Ecrêtage'!M39</f>
        <v>96310.385124378095</v>
      </c>
      <c r="F40" s="246">
        <f>'E) Fact soc'!G45</f>
        <v>1944069.0422891583</v>
      </c>
      <c r="G40" s="246">
        <f>'H) Péréquation directe'!I50</f>
        <v>427157.79620918771</v>
      </c>
      <c r="H40" s="246">
        <f>'I) Dépenses thématiques'!O39</f>
        <v>-518740.02035339788</v>
      </c>
      <c r="I40" s="246">
        <f>'K) Plafonnement aide'!J39</f>
        <v>0</v>
      </c>
      <c r="J40" s="246">
        <f>'J) Plafonnement effort'!I39</f>
        <v>0</v>
      </c>
      <c r="K40" s="246">
        <f>'L) Plafonnement taux'!Q40</f>
        <v>0</v>
      </c>
      <c r="L40" s="332">
        <f t="shared" si="0"/>
        <v>1852486.8181449482</v>
      </c>
      <c r="M40" s="332">
        <f>'M) Police'!O40</f>
        <v>298775.68576677691</v>
      </c>
      <c r="N40" s="332">
        <f t="shared" si="1"/>
        <v>2151262.5039117252</v>
      </c>
      <c r="P40" s="445"/>
    </row>
    <row r="41" spans="1:16" s="237" customFormat="1" x14ac:dyDescent="0.25">
      <c r="A41" s="234">
        <f>'B) D RI'!A42</f>
        <v>5471</v>
      </c>
      <c r="B41" s="235" t="str">
        <f>'B) D RI'!B42</f>
        <v>Bettens</v>
      </c>
      <c r="C41" s="402">
        <f>'B) D RI'!S42</f>
        <v>70</v>
      </c>
      <c r="D41" s="236">
        <f>'B) D RI'!AR42</f>
        <v>584</v>
      </c>
      <c r="E41" s="243">
        <f>'D) Ecrêtage'!M40</f>
        <v>16449.086587301586</v>
      </c>
      <c r="F41" s="246">
        <f>'E) Fact soc'!G46</f>
        <v>269060.82190243527</v>
      </c>
      <c r="G41" s="246">
        <f>'H) Péréquation directe'!I51</f>
        <v>65534.496227548283</v>
      </c>
      <c r="H41" s="246">
        <f>'I) Dépenses thématiques'!O40</f>
        <v>-26198.639096297513</v>
      </c>
      <c r="I41" s="246">
        <f>'K) Plafonnement aide'!J40</f>
        <v>0</v>
      </c>
      <c r="J41" s="246">
        <f>'J) Plafonnement effort'!I40</f>
        <v>0</v>
      </c>
      <c r="K41" s="246">
        <f>'L) Plafonnement taux'!Q41</f>
        <v>0</v>
      </c>
      <c r="L41" s="332">
        <f t="shared" si="0"/>
        <v>308396.67903368606</v>
      </c>
      <c r="M41" s="332">
        <f>'M) Police'!O41</f>
        <v>51296.847785160389</v>
      </c>
      <c r="N41" s="332">
        <f t="shared" si="1"/>
        <v>359693.52681884647</v>
      </c>
      <c r="P41" s="445"/>
    </row>
    <row r="42" spans="1:16" s="237" customFormat="1" x14ac:dyDescent="0.25">
      <c r="A42" s="234">
        <f>'B) D RI'!A43</f>
        <v>5472</v>
      </c>
      <c r="B42" s="235" t="str">
        <f>'B) D RI'!B43</f>
        <v>Bournens</v>
      </c>
      <c r="C42" s="402">
        <f>'B) D RI'!S43</f>
        <v>80</v>
      </c>
      <c r="D42" s="236">
        <f>'B) D RI'!AR43</f>
        <v>370</v>
      </c>
      <c r="E42" s="243">
        <f>'D) Ecrêtage'!M41</f>
        <v>14191.801124999998</v>
      </c>
      <c r="F42" s="246">
        <f>'E) Fact soc'!G47</f>
        <v>263351.50104667601</v>
      </c>
      <c r="G42" s="246">
        <f>'H) Péréquation directe'!I52</f>
        <v>172598.54926765017</v>
      </c>
      <c r="H42" s="246">
        <f>'I) Dépenses thématiques'!O41</f>
        <v>-35414.938149145142</v>
      </c>
      <c r="I42" s="246">
        <f>'K) Plafonnement aide'!J41</f>
        <v>0</v>
      </c>
      <c r="J42" s="246">
        <f>'J) Plafonnement effort'!I41</f>
        <v>0</v>
      </c>
      <c r="K42" s="246">
        <f>'L) Plafonnement taux'!Q42</f>
        <v>0</v>
      </c>
      <c r="L42" s="332">
        <f t="shared" si="0"/>
        <v>400535.11216518102</v>
      </c>
      <c r="M42" s="332">
        <f>'M) Police'!O42</f>
        <v>44788.970030171069</v>
      </c>
      <c r="N42" s="332">
        <f t="shared" si="1"/>
        <v>445324.08219535206</v>
      </c>
      <c r="P42" s="445"/>
    </row>
    <row r="43" spans="1:16" s="237" customFormat="1" x14ac:dyDescent="0.25">
      <c r="A43" s="234">
        <f>'B) D RI'!A44</f>
        <v>5473</v>
      </c>
      <c r="B43" s="235" t="str">
        <f>'B) D RI'!B44</f>
        <v>Boussens</v>
      </c>
      <c r="C43" s="402">
        <f>'B) D RI'!S44</f>
        <v>69</v>
      </c>
      <c r="D43" s="236">
        <f>'B) D RI'!AR44</f>
        <v>980</v>
      </c>
      <c r="E43" s="243">
        <f>'D) Ecrêtage'!M42</f>
        <v>32757.052898550723</v>
      </c>
      <c r="F43" s="246">
        <f>'E) Fact soc'!G48</f>
        <v>537295.81938209338</v>
      </c>
      <c r="G43" s="246">
        <f>'H) Péréquation directe'!I53</f>
        <v>312371.48142519197</v>
      </c>
      <c r="H43" s="246">
        <f>'I) Dépenses thématiques'!O42</f>
        <v>0</v>
      </c>
      <c r="I43" s="246">
        <f>'K) Plafonnement aide'!J42</f>
        <v>0</v>
      </c>
      <c r="J43" s="246">
        <f>'J) Plafonnement effort'!I42</f>
        <v>0</v>
      </c>
      <c r="K43" s="246">
        <f>'L) Plafonnement taux'!Q43</f>
        <v>0</v>
      </c>
      <c r="L43" s="332">
        <f t="shared" si="0"/>
        <v>849667.30080728536</v>
      </c>
      <c r="M43" s="332">
        <f>'M) Police'!O43</f>
        <v>102539.601301626</v>
      </c>
      <c r="N43" s="332">
        <f t="shared" si="1"/>
        <v>952206.90210891131</v>
      </c>
      <c r="P43" s="445"/>
    </row>
    <row r="44" spans="1:16" s="237" customFormat="1" x14ac:dyDescent="0.25">
      <c r="A44" s="234">
        <f>'B) D RI'!A45</f>
        <v>5474</v>
      </c>
      <c r="B44" s="235" t="str">
        <f>'B) D RI'!B45</f>
        <v>La Chaux (Cossonay)</v>
      </c>
      <c r="C44" s="402">
        <f>'B) D RI'!S45</f>
        <v>77</v>
      </c>
      <c r="D44" s="236">
        <f>'B) D RI'!AR45</f>
        <v>421</v>
      </c>
      <c r="E44" s="243">
        <f>'D) Ecrêtage'!M43</f>
        <v>12924.858852813852</v>
      </c>
      <c r="F44" s="246">
        <f>'E) Fact soc'!G49</f>
        <v>240669.13068747448</v>
      </c>
      <c r="G44" s="246">
        <f>'H) Péréquation directe'!I54</f>
        <v>64745.319268580177</v>
      </c>
      <c r="H44" s="246">
        <f>'I) Dépenses thématiques'!O43</f>
        <v>-105129.63629775314</v>
      </c>
      <c r="I44" s="246">
        <f>'K) Plafonnement aide'!J43</f>
        <v>0</v>
      </c>
      <c r="J44" s="246">
        <f>'J) Plafonnement effort'!I43</f>
        <v>0</v>
      </c>
      <c r="K44" s="246">
        <f>'L) Plafonnement taux'!Q44</f>
        <v>0</v>
      </c>
      <c r="L44" s="332">
        <f t="shared" si="0"/>
        <v>200284.81365830154</v>
      </c>
      <c r="M44" s="332">
        <f>'M) Police'!O44</f>
        <v>40679.971577664386</v>
      </c>
      <c r="N44" s="332">
        <f t="shared" si="1"/>
        <v>240964.78523596592</v>
      </c>
      <c r="P44" s="445"/>
    </row>
    <row r="45" spans="1:16" s="237" customFormat="1" x14ac:dyDescent="0.25">
      <c r="A45" s="234">
        <f>'B) D RI'!A46</f>
        <v>5475</v>
      </c>
      <c r="B45" s="235" t="str">
        <f>'B) D RI'!B46</f>
        <v>Chavannes-le-Veyron</v>
      </c>
      <c r="C45" s="402">
        <f>'B) D RI'!S46</f>
        <v>77</v>
      </c>
      <c r="D45" s="236">
        <f>'B) D RI'!AR46</f>
        <v>143</v>
      </c>
      <c r="E45" s="243">
        <f>'D) Ecrêtage'!M44</f>
        <v>2672.7945454545452</v>
      </c>
      <c r="F45" s="246">
        <f>'E) Fact soc'!G50</f>
        <v>73241.627702732832</v>
      </c>
      <c r="G45" s="246">
        <f>'H) Péréquation directe'!I55</f>
        <v>-50574.754008562915</v>
      </c>
      <c r="H45" s="246">
        <f>'I) Dépenses thématiques'!O44</f>
        <v>-46265.944068238816</v>
      </c>
      <c r="I45" s="246">
        <f>'K) Plafonnement aide'!J44</f>
        <v>0</v>
      </c>
      <c r="J45" s="246">
        <f>'J) Plafonnement effort'!I44</f>
        <v>0</v>
      </c>
      <c r="K45" s="246">
        <f>'L) Plafonnement taux'!Q45</f>
        <v>0</v>
      </c>
      <c r="L45" s="332">
        <f t="shared" si="0"/>
        <v>-23599.070374068899</v>
      </c>
      <c r="M45" s="332">
        <f>'M) Police'!O45</f>
        <v>8261.1833789490756</v>
      </c>
      <c r="N45" s="332">
        <f t="shared" si="1"/>
        <v>-15337.886995119823</v>
      </c>
      <c r="P45" s="445"/>
    </row>
    <row r="46" spans="1:16" s="237" customFormat="1" x14ac:dyDescent="0.25">
      <c r="A46" s="234">
        <f>'B) D RI'!A47</f>
        <v>5476</v>
      </c>
      <c r="B46" s="235" t="str">
        <f>'B) D RI'!B47</f>
        <v>Chevilly</v>
      </c>
      <c r="C46" s="402">
        <f>'B) D RI'!S47</f>
        <v>74</v>
      </c>
      <c r="D46" s="236">
        <f>'B) D RI'!AR47</f>
        <v>299</v>
      </c>
      <c r="E46" s="243">
        <f>'D) Ecrêtage'!M45</f>
        <v>10247.952162162162</v>
      </c>
      <c r="F46" s="246">
        <f>'E) Fact soc'!G51</f>
        <v>176985.90068982943</v>
      </c>
      <c r="G46" s="246">
        <f>'H) Péréquation directe'!I56</f>
        <v>96450.201977846154</v>
      </c>
      <c r="H46" s="246">
        <f>'I) Dépenses thématiques'!O45</f>
        <v>-26334.696208708818</v>
      </c>
      <c r="I46" s="246">
        <f>'K) Plafonnement aide'!J45</f>
        <v>0</v>
      </c>
      <c r="J46" s="246">
        <f>'J) Plafonnement effort'!I45</f>
        <v>0</v>
      </c>
      <c r="K46" s="246">
        <f>'L) Plafonnement taux'!Q46</f>
        <v>0</v>
      </c>
      <c r="L46" s="332">
        <f t="shared" si="0"/>
        <v>247101.40645896678</v>
      </c>
      <c r="M46" s="332">
        <f>'M) Police'!O46</f>
        <v>32293.571375271444</v>
      </c>
      <c r="N46" s="332">
        <f t="shared" si="1"/>
        <v>279394.97783423821</v>
      </c>
      <c r="P46" s="445"/>
    </row>
    <row r="47" spans="1:16" s="237" customFormat="1" x14ac:dyDescent="0.25">
      <c r="A47" s="234">
        <f>'B) D RI'!A48</f>
        <v>5477</v>
      </c>
      <c r="B47" s="235" t="str">
        <f>'B) D RI'!B48</f>
        <v>Cossonay</v>
      </c>
      <c r="C47" s="402">
        <f>'B) D RI'!S48</f>
        <v>69.3</v>
      </c>
      <c r="D47" s="236">
        <f>'B) D RI'!AR48</f>
        <v>3632</v>
      </c>
      <c r="E47" s="243">
        <f>'D) Ecrêtage'!M46</f>
        <v>125937.08528138528</v>
      </c>
      <c r="F47" s="246">
        <f>'E) Fact soc'!G52</f>
        <v>2177004.2355464855</v>
      </c>
      <c r="G47" s="246">
        <f>'H) Péréquation directe'!I57</f>
        <v>580288.69996153354</v>
      </c>
      <c r="H47" s="246">
        <f>'I) Dépenses thématiques'!O46</f>
        <v>-617434.36412163312</v>
      </c>
      <c r="I47" s="246">
        <f>'K) Plafonnement aide'!J46</f>
        <v>0</v>
      </c>
      <c r="J47" s="246">
        <f>'J) Plafonnement effort'!I46</f>
        <v>0</v>
      </c>
      <c r="K47" s="246">
        <f>'L) Plafonnement taux'!Q47</f>
        <v>0</v>
      </c>
      <c r="L47" s="332">
        <f t="shared" si="0"/>
        <v>2139858.5713863862</v>
      </c>
      <c r="M47" s="332">
        <f>'M) Police'!O47</f>
        <v>396955.91428931174</v>
      </c>
      <c r="N47" s="332">
        <f t="shared" si="1"/>
        <v>2536814.4856756981</v>
      </c>
      <c r="P47" s="445"/>
    </row>
    <row r="48" spans="1:16" s="237" customFormat="1" x14ac:dyDescent="0.25">
      <c r="A48" s="234">
        <f>'B) D RI'!A49</f>
        <v>5478</v>
      </c>
      <c r="B48" s="235" t="str">
        <f>'B) D RI'!B49</f>
        <v>Cottens</v>
      </c>
      <c r="C48" s="402">
        <f>'B) D RI'!S49</f>
        <v>74</v>
      </c>
      <c r="D48" s="236">
        <f>'B) D RI'!AR49</f>
        <v>483</v>
      </c>
      <c r="E48" s="243">
        <f>'D) Ecrêtage'!M47</f>
        <v>14465.317702702703</v>
      </c>
      <c r="F48" s="246">
        <f>'E) Fact soc'!G53</f>
        <v>222215.44271766313</v>
      </c>
      <c r="G48" s="246">
        <f>'H) Péréquation directe'!I58</f>
        <v>71313.263145698234</v>
      </c>
      <c r="H48" s="246">
        <f>'I) Dépenses thématiques'!O47</f>
        <v>-9740.8814847789545</v>
      </c>
      <c r="I48" s="246">
        <f>'K) Plafonnement aide'!J47</f>
        <v>0</v>
      </c>
      <c r="J48" s="246">
        <f>'J) Plafonnement effort'!I47</f>
        <v>0</v>
      </c>
      <c r="K48" s="246">
        <f>'L) Plafonnement taux'!Q48</f>
        <v>0</v>
      </c>
      <c r="L48" s="332">
        <f t="shared" si="0"/>
        <v>283787.82437858242</v>
      </c>
      <c r="M48" s="332">
        <f>'M) Police'!O48</f>
        <v>45391.35675109076</v>
      </c>
      <c r="N48" s="332">
        <f t="shared" si="1"/>
        <v>329179.18112967315</v>
      </c>
      <c r="P48" s="445"/>
    </row>
    <row r="49" spans="1:16" s="237" customFormat="1" x14ac:dyDescent="0.25">
      <c r="A49" s="234">
        <f>'B) D RI'!A50</f>
        <v>5479</v>
      </c>
      <c r="B49" s="235" t="str">
        <f>'B) D RI'!B50</f>
        <v>Cuarnens</v>
      </c>
      <c r="C49" s="402">
        <f>'B) D RI'!S50</f>
        <v>77</v>
      </c>
      <c r="D49" s="236">
        <f>'B) D RI'!AR50</f>
        <v>481</v>
      </c>
      <c r="E49" s="243">
        <f>'D) Ecrêtage'!M48</f>
        <v>11562.819350649352</v>
      </c>
      <c r="F49" s="246">
        <f>'E) Fact soc'!G54</f>
        <v>220453.51297341031</v>
      </c>
      <c r="G49" s="246">
        <f>'H) Péréquation directe'!I59</f>
        <v>-61414.237690181209</v>
      </c>
      <c r="H49" s="246">
        <f>'I) Dépenses thématiques'!O48</f>
        <v>-236882.0575775021</v>
      </c>
      <c r="I49" s="246">
        <f>'K) Plafonnement aide'!J48</f>
        <v>0</v>
      </c>
      <c r="J49" s="246">
        <f>'J) Plafonnement effort'!I48</f>
        <v>0</v>
      </c>
      <c r="K49" s="246">
        <f>'L) Plafonnement taux'!Q49</f>
        <v>0</v>
      </c>
      <c r="L49" s="332">
        <f t="shared" si="0"/>
        <v>-77842.782294272998</v>
      </c>
      <c r="M49" s="332">
        <f>'M) Police'!O49</f>
        <v>36169.507754907827</v>
      </c>
      <c r="N49" s="332">
        <f t="shared" si="1"/>
        <v>-41673.274539365171</v>
      </c>
      <c r="P49" s="445"/>
    </row>
    <row r="50" spans="1:16" s="237" customFormat="1" x14ac:dyDescent="0.25">
      <c r="A50" s="234">
        <f>'B) D RI'!A51</f>
        <v>5480</v>
      </c>
      <c r="B50" s="235" t="str">
        <f>'B) D RI'!B51</f>
        <v>Daillens</v>
      </c>
      <c r="C50" s="402">
        <f>'B) D RI'!S51</f>
        <v>71</v>
      </c>
      <c r="D50" s="236">
        <f>'B) D RI'!AR51</f>
        <v>958</v>
      </c>
      <c r="E50" s="243">
        <f>'D) Ecrêtage'!M49</f>
        <v>34852.093380281687</v>
      </c>
      <c r="F50" s="246">
        <f>'E) Fact soc'!G55</f>
        <v>607638.33391275525</v>
      </c>
      <c r="G50" s="246">
        <f>'H) Péréquation directe'!I60</f>
        <v>403474.10105978709</v>
      </c>
      <c r="H50" s="246">
        <f>'I) Dépenses thématiques'!O49</f>
        <v>-201308.32518144717</v>
      </c>
      <c r="I50" s="246">
        <f>'K) Plafonnement aide'!J49</f>
        <v>0</v>
      </c>
      <c r="J50" s="246">
        <f>'J) Plafonnement effort'!I49</f>
        <v>0</v>
      </c>
      <c r="K50" s="246">
        <f>'L) Plafonnement taux'!Q50</f>
        <v>0</v>
      </c>
      <c r="L50" s="332">
        <f t="shared" si="0"/>
        <v>809804.10979109514</v>
      </c>
      <c r="M50" s="332">
        <f>'M) Police'!O50</f>
        <v>106509.12488615143</v>
      </c>
      <c r="N50" s="332">
        <f t="shared" si="1"/>
        <v>916313.23467724654</v>
      </c>
      <c r="P50" s="445"/>
    </row>
    <row r="51" spans="1:16" s="237" customFormat="1" x14ac:dyDescent="0.25">
      <c r="A51" s="234">
        <f>'B) D RI'!A52</f>
        <v>5481</v>
      </c>
      <c r="B51" s="235" t="str">
        <f>'B) D RI'!B52</f>
        <v>Dizy</v>
      </c>
      <c r="C51" s="402">
        <f>'B) D RI'!S52</f>
        <v>79</v>
      </c>
      <c r="D51" s="236">
        <f>'B) D RI'!AR52</f>
        <v>222</v>
      </c>
      <c r="E51" s="243">
        <f>'D) Ecrêtage'!M50</f>
        <v>8900.2526582278479</v>
      </c>
      <c r="F51" s="246">
        <f>'E) Fact soc'!G56</f>
        <v>142370.52097895098</v>
      </c>
      <c r="G51" s="246">
        <f>'H) Péréquation directe'!I61</f>
        <v>121124.34412988572</v>
      </c>
      <c r="H51" s="246">
        <f>'I) Dépenses thématiques'!O50</f>
        <v>0</v>
      </c>
      <c r="I51" s="246">
        <f>'K) Plafonnement aide'!J50</f>
        <v>0</v>
      </c>
      <c r="J51" s="246">
        <f>'J) Plafonnement effort'!I50</f>
        <v>0</v>
      </c>
      <c r="K51" s="246">
        <f>'L) Plafonnement taux'!Q51</f>
        <v>0</v>
      </c>
      <c r="L51" s="332">
        <f t="shared" si="0"/>
        <v>263494.86510883668</v>
      </c>
      <c r="M51" s="332">
        <f>'M) Police'!O51</f>
        <v>28310.295076966686</v>
      </c>
      <c r="N51" s="332">
        <f t="shared" si="1"/>
        <v>291805.16018580337</v>
      </c>
      <c r="P51" s="445"/>
    </row>
    <row r="52" spans="1:16" s="237" customFormat="1" x14ac:dyDescent="0.25">
      <c r="A52" s="234">
        <f>'B) D RI'!A53</f>
        <v>5482</v>
      </c>
      <c r="B52" s="235" t="str">
        <f>'B) D RI'!B53</f>
        <v>Eclépens</v>
      </c>
      <c r="C52" s="402">
        <f>'B) D RI'!S53</f>
        <v>46</v>
      </c>
      <c r="D52" s="236">
        <f>'B) D RI'!AR53</f>
        <v>1043</v>
      </c>
      <c r="E52" s="243">
        <f>'D) Ecrêtage'!M51</f>
        <v>26792.007391304349</v>
      </c>
      <c r="F52" s="246">
        <f>'E) Fact soc'!G57</f>
        <v>586004.54927445936</v>
      </c>
      <c r="G52" s="246">
        <f>'H) Péréquation directe'!I62</f>
        <v>221447.97684145957</v>
      </c>
      <c r="H52" s="246">
        <f>'I) Dépenses thématiques'!O51</f>
        <v>-231124.07709399881</v>
      </c>
      <c r="I52" s="246">
        <f>'K) Plafonnement aide'!J51</f>
        <v>0</v>
      </c>
      <c r="J52" s="246">
        <f>'J) Plafonnement effort'!I51</f>
        <v>0</v>
      </c>
      <c r="K52" s="246">
        <f>'L) Plafonnement taux'!Q52</f>
        <v>0</v>
      </c>
      <c r="L52" s="332">
        <f t="shared" si="0"/>
        <v>576328.44902192021</v>
      </c>
      <c r="M52" s="332">
        <f>'M) Police'!O52</f>
        <v>69615.26868606171</v>
      </c>
      <c r="N52" s="332">
        <f t="shared" si="1"/>
        <v>645943.71770798194</v>
      </c>
      <c r="P52" s="445"/>
    </row>
    <row r="53" spans="1:16" s="237" customFormat="1" x14ac:dyDescent="0.25">
      <c r="A53" s="234">
        <f>'B) D RI'!A54</f>
        <v>5483</v>
      </c>
      <c r="B53" s="235" t="str">
        <f>'B) D RI'!B54</f>
        <v>Ferreyres</v>
      </c>
      <c r="C53" s="402">
        <f>'B) D RI'!S54</f>
        <v>76</v>
      </c>
      <c r="D53" s="236">
        <f>'B) D RI'!AR54</f>
        <v>316</v>
      </c>
      <c r="E53" s="243">
        <f>'D) Ecrêtage'!M52</f>
        <v>9773.8555263157887</v>
      </c>
      <c r="F53" s="246">
        <f>'E) Fact soc'!G58</f>
        <v>148195.59035694387</v>
      </c>
      <c r="G53" s="246">
        <f>'H) Péréquation directe'!I63</f>
        <v>54206.278103172328</v>
      </c>
      <c r="H53" s="246">
        <f>'I) Dépenses thématiques'!O52</f>
        <v>-16890.070075408144</v>
      </c>
      <c r="I53" s="246">
        <f>'K) Plafonnement aide'!J52</f>
        <v>0</v>
      </c>
      <c r="J53" s="246">
        <f>'J) Plafonnement effort'!I52</f>
        <v>0</v>
      </c>
      <c r="K53" s="246">
        <f>'L) Plafonnement taux'!Q53</f>
        <v>0</v>
      </c>
      <c r="L53" s="332">
        <f t="shared" si="0"/>
        <v>185511.79838470806</v>
      </c>
      <c r="M53" s="332">
        <f>'M) Police'!O53</f>
        <v>30794.52166493066</v>
      </c>
      <c r="N53" s="332">
        <f t="shared" si="1"/>
        <v>216306.32004963871</v>
      </c>
      <c r="P53" s="445"/>
    </row>
    <row r="54" spans="1:16" s="237" customFormat="1" x14ac:dyDescent="0.25">
      <c r="A54" s="234">
        <f>'B) D RI'!A55</f>
        <v>5484</v>
      </c>
      <c r="B54" s="235" t="str">
        <f>'B) D RI'!B55</f>
        <v>Gollion</v>
      </c>
      <c r="C54" s="402">
        <f>'B) D RI'!S55</f>
        <v>74</v>
      </c>
      <c r="D54" s="236">
        <f>'B) D RI'!AR55</f>
        <v>902</v>
      </c>
      <c r="E54" s="243">
        <f>'D) Ecrêtage'!M53</f>
        <v>29063.721351351356</v>
      </c>
      <c r="F54" s="246">
        <f>'E) Fact soc'!G59</f>
        <v>536593.40092898579</v>
      </c>
      <c r="G54" s="246">
        <f>'H) Péréquation directe'!I64</f>
        <v>216080.57258398825</v>
      </c>
      <c r="H54" s="246">
        <f>'I) Dépenses thématiques'!O53</f>
        <v>-118298.07962986767</v>
      </c>
      <c r="I54" s="246">
        <f>'K) Plafonnement aide'!J53</f>
        <v>0</v>
      </c>
      <c r="J54" s="246">
        <f>'J) Plafonnement effort'!I53</f>
        <v>0</v>
      </c>
      <c r="K54" s="246">
        <f>'L) Plafonnement taux'!Q54</f>
        <v>0</v>
      </c>
      <c r="L54" s="332">
        <f t="shared" si="0"/>
        <v>634375.89388310642</v>
      </c>
      <c r="M54" s="332">
        <f>'M) Police'!O54</f>
        <v>91346.25259051891</v>
      </c>
      <c r="N54" s="332">
        <f t="shared" si="1"/>
        <v>725722.14647362533</v>
      </c>
      <c r="P54" s="445"/>
    </row>
    <row r="55" spans="1:16" s="237" customFormat="1" x14ac:dyDescent="0.25">
      <c r="A55" s="234">
        <f>'B) D RI'!A56</f>
        <v>5485</v>
      </c>
      <c r="B55" s="235" t="str">
        <f>'B) D RI'!B56</f>
        <v>Grancy</v>
      </c>
      <c r="C55" s="402">
        <f>'B) D RI'!S56</f>
        <v>70</v>
      </c>
      <c r="D55" s="236">
        <f>'B) D RI'!AR56</f>
        <v>408</v>
      </c>
      <c r="E55" s="243">
        <f>'D) Ecrêtage'!M54</f>
        <v>15073.947999999999</v>
      </c>
      <c r="F55" s="246">
        <f>'E) Fact soc'!G60</f>
        <v>253167.38847728309</v>
      </c>
      <c r="G55" s="246">
        <f>'H) Péréquation directe'!I65</f>
        <v>182414.76611337552</v>
      </c>
      <c r="H55" s="246">
        <f>'I) Dépenses thématiques'!O54</f>
        <v>-48980.081337270341</v>
      </c>
      <c r="I55" s="246">
        <f>'K) Plafonnement aide'!J54</f>
        <v>0</v>
      </c>
      <c r="J55" s="246">
        <f>'J) Plafonnement effort'!I54</f>
        <v>0</v>
      </c>
      <c r="K55" s="246">
        <f>'L) Plafonnement taux'!Q55</f>
        <v>0</v>
      </c>
      <c r="L55" s="332">
        <f t="shared" si="0"/>
        <v>386602.07325338828</v>
      </c>
      <c r="M55" s="332">
        <f>'M) Police'!O55</f>
        <v>47541.453704277927</v>
      </c>
      <c r="N55" s="332">
        <f t="shared" si="1"/>
        <v>434143.52695766621</v>
      </c>
      <c r="P55" s="445"/>
    </row>
    <row r="56" spans="1:16" s="237" customFormat="1" x14ac:dyDescent="0.25">
      <c r="A56" s="234">
        <f>'B) D RI'!A57</f>
        <v>5486</v>
      </c>
      <c r="B56" s="235" t="str">
        <f>'B) D RI'!B57</f>
        <v>L'Isle</v>
      </c>
      <c r="C56" s="402">
        <f>'B) D RI'!S57</f>
        <v>76</v>
      </c>
      <c r="D56" s="236">
        <f>'B) D RI'!AR57</f>
        <v>1033</v>
      </c>
      <c r="E56" s="243">
        <f>'D) Ecrêtage'!M55</f>
        <v>29834.586052631581</v>
      </c>
      <c r="F56" s="246">
        <f>'E) Fact soc'!G61</f>
        <v>555532.97791399737</v>
      </c>
      <c r="G56" s="246">
        <f>'H) Péréquation directe'!I66</f>
        <v>80947.612602357753</v>
      </c>
      <c r="H56" s="246">
        <f>'I) Dépenses thématiques'!O55</f>
        <v>-302340.99322143767</v>
      </c>
      <c r="I56" s="246">
        <f>'K) Plafonnement aide'!J55</f>
        <v>0</v>
      </c>
      <c r="J56" s="246">
        <f>'J) Plafonnement effort'!I55</f>
        <v>0</v>
      </c>
      <c r="K56" s="246">
        <f>'L) Plafonnement taux'!Q56</f>
        <v>0</v>
      </c>
      <c r="L56" s="332">
        <f t="shared" si="0"/>
        <v>334139.59729491745</v>
      </c>
      <c r="M56" s="332">
        <f>'M) Police'!O56</f>
        <v>93196.153557167869</v>
      </c>
      <c r="N56" s="332">
        <f t="shared" si="1"/>
        <v>427335.7508520853</v>
      </c>
      <c r="P56" s="445"/>
    </row>
    <row r="57" spans="1:16" s="237" customFormat="1" x14ac:dyDescent="0.25">
      <c r="A57" s="234">
        <f>'B) D RI'!A58</f>
        <v>5487</v>
      </c>
      <c r="B57" s="235" t="str">
        <f>'B) D RI'!B58</f>
        <v>Lussery-Villars</v>
      </c>
      <c r="C57" s="402">
        <f>'B) D RI'!S58</f>
        <v>68</v>
      </c>
      <c r="D57" s="236">
        <f>'B) D RI'!AR58</f>
        <v>462</v>
      </c>
      <c r="E57" s="243">
        <f>'D) Ecrêtage'!M56</f>
        <v>13143.798970588234</v>
      </c>
      <c r="F57" s="246">
        <f>'E) Fact soc'!G62</f>
        <v>212958.89429042023</v>
      </c>
      <c r="G57" s="246">
        <f>'H) Péréquation directe'!I67</f>
        <v>64813.454281248851</v>
      </c>
      <c r="H57" s="246">
        <f>'I) Dépenses thématiques'!O56</f>
        <v>-3622.2377590080514</v>
      </c>
      <c r="I57" s="246">
        <f>'K) Plafonnement aide'!J56</f>
        <v>0</v>
      </c>
      <c r="J57" s="246">
        <f>'J) Plafonnement effort'!I56</f>
        <v>0</v>
      </c>
      <c r="K57" s="246">
        <f>'L) Plafonnement taux'!Q57</f>
        <v>0</v>
      </c>
      <c r="L57" s="332">
        <f t="shared" si="0"/>
        <v>274150.11081266101</v>
      </c>
      <c r="M57" s="332">
        <f>'M) Police'!O57</f>
        <v>41071.102166410943</v>
      </c>
      <c r="N57" s="332">
        <f t="shared" si="1"/>
        <v>315221.21297907195</v>
      </c>
      <c r="P57" s="445"/>
    </row>
    <row r="58" spans="1:16" s="237" customFormat="1" x14ac:dyDescent="0.25">
      <c r="A58" s="234">
        <f>'B) D RI'!A59</f>
        <v>5488</v>
      </c>
      <c r="B58" s="235" t="str">
        <f>'B) D RI'!B59</f>
        <v>Mauraz</v>
      </c>
      <c r="C58" s="402">
        <f>'B) D RI'!S59</f>
        <v>74</v>
      </c>
      <c r="D58" s="236">
        <f>'B) D RI'!AR59</f>
        <v>53</v>
      </c>
      <c r="E58" s="243">
        <f>'D) Ecrêtage'!M57</f>
        <v>1604.8968918918922</v>
      </c>
      <c r="F58" s="246">
        <f>'E) Fact soc'!G63</f>
        <v>23534.909649044821</v>
      </c>
      <c r="G58" s="246">
        <f>'H) Péréquation directe'!I68</f>
        <v>8537.2996174699947</v>
      </c>
      <c r="H58" s="246">
        <f>'I) Dépenses thématiques'!O57</f>
        <v>-8053.8451605597511</v>
      </c>
      <c r="I58" s="246">
        <f>'K) Plafonnement aide'!J57</f>
        <v>0</v>
      </c>
      <c r="J58" s="246">
        <f>'J) Plafonnement effort'!I57</f>
        <v>0</v>
      </c>
      <c r="K58" s="246">
        <f>'L) Plafonnement taux'!Q58</f>
        <v>0</v>
      </c>
      <c r="L58" s="332">
        <f t="shared" si="0"/>
        <v>24018.364105955065</v>
      </c>
      <c r="M58" s="332">
        <f>'M) Police'!O58</f>
        <v>5035.6331276714309</v>
      </c>
      <c r="N58" s="332">
        <f t="shared" si="1"/>
        <v>29053.997233626495</v>
      </c>
      <c r="P58" s="445"/>
    </row>
    <row r="59" spans="1:16" s="237" customFormat="1" x14ac:dyDescent="0.25">
      <c r="A59" s="234">
        <f>'B) D RI'!A60</f>
        <v>5489</v>
      </c>
      <c r="B59" s="235" t="str">
        <f>'B) D RI'!B60</f>
        <v>Mex</v>
      </c>
      <c r="C59" s="402">
        <f>'B) D RI'!S60</f>
        <v>61</v>
      </c>
      <c r="D59" s="236">
        <f>'B) D RI'!AR60</f>
        <v>710</v>
      </c>
      <c r="E59" s="243">
        <f>'D) Ecrêtage'!M58</f>
        <v>44353.476729435359</v>
      </c>
      <c r="F59" s="246">
        <f>'E) Fact soc'!G64</f>
        <v>930256.19264927204</v>
      </c>
      <c r="G59" s="246">
        <f>'H) Péréquation directe'!I69</f>
        <v>753166.23406680371</v>
      </c>
      <c r="H59" s="246">
        <f>'I) Dépenses thématiques'!O58</f>
        <v>0</v>
      </c>
      <c r="I59" s="246">
        <f>'K) Plafonnement aide'!J58</f>
        <v>0</v>
      </c>
      <c r="J59" s="246">
        <f>'J) Plafonnement effort'!I58</f>
        <v>0</v>
      </c>
      <c r="K59" s="246">
        <f>'L) Plafonnement taux'!Q59</f>
        <v>0</v>
      </c>
      <c r="L59" s="332">
        <f t="shared" si="0"/>
        <v>1683422.4267160757</v>
      </c>
      <c r="M59" s="332">
        <f>'M) Police'!O59</f>
        <v>118570.92758138091</v>
      </c>
      <c r="N59" s="332">
        <f t="shared" si="1"/>
        <v>1801993.3542974566</v>
      </c>
      <c r="P59" s="445"/>
    </row>
    <row r="60" spans="1:16" s="237" customFormat="1" x14ac:dyDescent="0.25">
      <c r="A60" s="234">
        <f>'B) D RI'!A61</f>
        <v>5490</v>
      </c>
      <c r="B60" s="235" t="str">
        <f>'B) D RI'!B61</f>
        <v>Moiry</v>
      </c>
      <c r="C60" s="402">
        <f>'B) D RI'!S61</f>
        <v>81</v>
      </c>
      <c r="D60" s="236">
        <f>'B) D RI'!AR61</f>
        <v>304</v>
      </c>
      <c r="E60" s="243">
        <f>'D) Ecrêtage'!M59</f>
        <v>7445.9272839506175</v>
      </c>
      <c r="F60" s="246">
        <f>'E) Fact soc'!G65</f>
        <v>125821.13289083086</v>
      </c>
      <c r="G60" s="246">
        <f>'H) Péréquation directe'!I70</f>
        <v>-48033.548242531688</v>
      </c>
      <c r="H60" s="246">
        <f>'I) Dépenses thématiques'!O59</f>
        <v>-28244.555835665917</v>
      </c>
      <c r="I60" s="246">
        <f>'K) Plafonnement aide'!J59</f>
        <v>0</v>
      </c>
      <c r="J60" s="246">
        <f>'J) Plafonnement effort'!I59</f>
        <v>0</v>
      </c>
      <c r="K60" s="246">
        <f>'L) Plafonnement taux'!Q60</f>
        <v>0</v>
      </c>
      <c r="L60" s="332">
        <f t="shared" si="0"/>
        <v>49543.02881263326</v>
      </c>
      <c r="M60" s="332">
        <f>'M) Police'!O60</f>
        <v>23485.474326066636</v>
      </c>
      <c r="N60" s="332">
        <f t="shared" si="1"/>
        <v>73028.503138699889</v>
      </c>
      <c r="P60" s="445"/>
    </row>
    <row r="61" spans="1:16" s="237" customFormat="1" x14ac:dyDescent="0.25">
      <c r="A61" s="234">
        <f>'B) D RI'!A62</f>
        <v>5491</v>
      </c>
      <c r="B61" s="235" t="str">
        <f>'B) D RI'!B62</f>
        <v>Mont-la-Ville</v>
      </c>
      <c r="C61" s="402">
        <f>'B) D RI'!S62</f>
        <v>76</v>
      </c>
      <c r="D61" s="236">
        <f>'B) D RI'!AR62</f>
        <v>402</v>
      </c>
      <c r="E61" s="243">
        <f>'D) Ecrêtage'!M60</f>
        <v>8756.4323684210522</v>
      </c>
      <c r="F61" s="246">
        <f>'E) Fact soc'!G66</f>
        <v>186540.30737409217</v>
      </c>
      <c r="G61" s="246">
        <f>'H) Péréquation directe'!I71</f>
        <v>-84180.308848415589</v>
      </c>
      <c r="H61" s="246">
        <f>'I) Dépenses thématiques'!O60</f>
        <v>-146825.99005329082</v>
      </c>
      <c r="I61" s="246">
        <f>'K) Plafonnement aide'!J60</f>
        <v>0</v>
      </c>
      <c r="J61" s="246">
        <f>'J) Plafonnement effort'!I60</f>
        <v>0</v>
      </c>
      <c r="K61" s="246">
        <f>'L) Plafonnement taux'!Q61</f>
        <v>0</v>
      </c>
      <c r="L61" s="332">
        <f t="shared" si="0"/>
        <v>-44465.991527614242</v>
      </c>
      <c r="M61" s="332">
        <f>'M) Police'!O61</f>
        <v>27079.29438395895</v>
      </c>
      <c r="N61" s="332">
        <f t="shared" si="1"/>
        <v>-17386.697143655292</v>
      </c>
      <c r="P61" s="445"/>
    </row>
    <row r="62" spans="1:16" s="237" customFormat="1" x14ac:dyDescent="0.25">
      <c r="A62" s="234">
        <f>'B) D RI'!A63</f>
        <v>5492</v>
      </c>
      <c r="B62" s="235" t="str">
        <f>'B) D RI'!B63</f>
        <v>Montricher</v>
      </c>
      <c r="C62" s="402">
        <f>'B) D RI'!S63</f>
        <v>64</v>
      </c>
      <c r="D62" s="236">
        <f>'B) D RI'!AR63</f>
        <v>951</v>
      </c>
      <c r="E62" s="243">
        <f>'D) Ecrêtage'!M61</f>
        <v>116722.19002278935</v>
      </c>
      <c r="F62" s="246">
        <f>'E) Fact soc'!G67</f>
        <v>7222366.5564622544</v>
      </c>
      <c r="G62" s="246">
        <f>'H) Péréquation directe'!I72</f>
        <v>2072513.0340471847</v>
      </c>
      <c r="H62" s="246">
        <f>'I) Dépenses thématiques'!O61</f>
        <v>-199435.83543696618</v>
      </c>
      <c r="I62" s="246">
        <f>'K) Plafonnement aide'!J61</f>
        <v>0</v>
      </c>
      <c r="J62" s="246">
        <f>'J) Plafonnement effort'!I61</f>
        <v>0</v>
      </c>
      <c r="K62" s="246">
        <f>'L) Plafonnement taux'!Q62</f>
        <v>0</v>
      </c>
      <c r="L62" s="332">
        <f t="shared" ref="L62:L116" si="2">F62+G62+H62+I62+J62+K62</f>
        <v>9095443.7550724726</v>
      </c>
      <c r="M62" s="332">
        <f>'M) Police'!O62</f>
        <v>232200.91489995184</v>
      </c>
      <c r="N62" s="332">
        <f t="shared" si="1"/>
        <v>9327644.6699724253</v>
      </c>
      <c r="P62" s="445"/>
    </row>
    <row r="63" spans="1:16" s="237" customFormat="1" x14ac:dyDescent="0.25">
      <c r="A63" s="234">
        <f>'B) D RI'!A64</f>
        <v>5493</v>
      </c>
      <c r="B63" s="235" t="str">
        <f>'B) D RI'!B64</f>
        <v>Orny</v>
      </c>
      <c r="C63" s="402">
        <f>'B) D RI'!S64</f>
        <v>73</v>
      </c>
      <c r="D63" s="236">
        <f>'B) D RI'!AR64</f>
        <v>371</v>
      </c>
      <c r="E63" s="243">
        <f>'D) Ecrêtage'!M62</f>
        <v>9079.112581664911</v>
      </c>
      <c r="F63" s="246">
        <f>'E) Fact soc'!G68</f>
        <v>260884.32108993689</v>
      </c>
      <c r="G63" s="246">
        <f>'H) Péréquation directe'!I73</f>
        <v>-23126.106857266772</v>
      </c>
      <c r="H63" s="246">
        <f>'I) Dépenses thématiques'!O62</f>
        <v>-35865.300162809028</v>
      </c>
      <c r="I63" s="246">
        <f>'K) Plafonnement aide'!J62</f>
        <v>0</v>
      </c>
      <c r="J63" s="246">
        <f>'J) Plafonnement effort'!I62</f>
        <v>0</v>
      </c>
      <c r="K63" s="246">
        <f>'L) Plafonnement taux'!Q63</f>
        <v>0</v>
      </c>
      <c r="L63" s="332">
        <f t="shared" si="2"/>
        <v>201892.91406986109</v>
      </c>
      <c r="M63" s="332">
        <f>'M) Police'!O63</f>
        <v>28412.886853316988</v>
      </c>
      <c r="N63" s="332">
        <f t="shared" si="1"/>
        <v>230305.80092317809</v>
      </c>
      <c r="P63" s="445"/>
    </row>
    <row r="64" spans="1:16" s="237" customFormat="1" x14ac:dyDescent="0.25">
      <c r="A64" s="234">
        <f>'B) D RI'!A65</f>
        <v>5494</v>
      </c>
      <c r="B64" s="235" t="str">
        <f>'B) D RI'!B65</f>
        <v>Pampigny</v>
      </c>
      <c r="C64" s="402">
        <f>'B) D RI'!S65</f>
        <v>75</v>
      </c>
      <c r="D64" s="236">
        <f>'B) D RI'!AR65</f>
        <v>1116</v>
      </c>
      <c r="E64" s="243">
        <f>'D) Ecrêtage'!M63</f>
        <v>36797.992425396827</v>
      </c>
      <c r="F64" s="246">
        <f>'E) Fact soc'!G69</f>
        <v>654246.13321545999</v>
      </c>
      <c r="G64" s="246">
        <f>'H) Péréquation directe'!I74</f>
        <v>265291.25997927465</v>
      </c>
      <c r="H64" s="246">
        <f>'I) Dépenses thématiques'!O63</f>
        <v>-267051.81707210816</v>
      </c>
      <c r="I64" s="246">
        <f>'K) Plafonnement aide'!J63</f>
        <v>0</v>
      </c>
      <c r="J64" s="246">
        <f>'J) Plafonnement effort'!I63</f>
        <v>0</v>
      </c>
      <c r="K64" s="246">
        <f>'L) Plafonnement taux'!Q64</f>
        <v>0</v>
      </c>
      <c r="L64" s="332">
        <f t="shared" si="2"/>
        <v>652485.57612262643</v>
      </c>
      <c r="M64" s="332">
        <f>'M) Police'!O64</f>
        <v>115331.1941321241</v>
      </c>
      <c r="N64" s="332">
        <f t="shared" si="1"/>
        <v>767816.7702547505</v>
      </c>
      <c r="P64" s="445"/>
    </row>
    <row r="65" spans="1:16" s="237" customFormat="1" x14ac:dyDescent="0.25">
      <c r="A65" s="234">
        <f>'B) D RI'!A66</f>
        <v>5495</v>
      </c>
      <c r="B65" s="235" t="str">
        <f>'B) D RI'!B66</f>
        <v>Penthalaz</v>
      </c>
      <c r="C65" s="402">
        <f>'B) D RI'!S66</f>
        <v>74</v>
      </c>
      <c r="D65" s="236">
        <f>'B) D RI'!AR66</f>
        <v>3252</v>
      </c>
      <c r="E65" s="243">
        <f>'D) Ecrêtage'!M64</f>
        <v>99436.02810810809</v>
      </c>
      <c r="F65" s="246">
        <f>'E) Fact soc'!G70</f>
        <v>1624062.6224663428</v>
      </c>
      <c r="G65" s="246">
        <f>'H) Péréquation directe'!I75</f>
        <v>-29595.676944161532</v>
      </c>
      <c r="H65" s="246">
        <f>'I) Dépenses thématiques'!O64</f>
        <v>-418095.03411726415</v>
      </c>
      <c r="I65" s="246">
        <f>'K) Plafonnement aide'!J64</f>
        <v>0</v>
      </c>
      <c r="J65" s="246">
        <f>'J) Plafonnement effort'!I64</f>
        <v>0</v>
      </c>
      <c r="K65" s="246">
        <f>'L) Plafonnement taux'!Q65</f>
        <v>0</v>
      </c>
      <c r="L65" s="332">
        <f t="shared" si="2"/>
        <v>1176371.911404917</v>
      </c>
      <c r="M65" s="332">
        <f>'M) Police'!O65</f>
        <v>311048.45276350866</v>
      </c>
      <c r="N65" s="332">
        <f t="shared" si="1"/>
        <v>1487420.3641684256</v>
      </c>
      <c r="P65" s="445"/>
    </row>
    <row r="66" spans="1:16" s="237" customFormat="1" x14ac:dyDescent="0.25">
      <c r="A66" s="234">
        <f>'B) D RI'!A67</f>
        <v>5496</v>
      </c>
      <c r="B66" s="235" t="str">
        <f>'B) D RI'!B67</f>
        <v>Penthaz</v>
      </c>
      <c r="C66" s="402">
        <f>'B) D RI'!S67</f>
        <v>71</v>
      </c>
      <c r="D66" s="236">
        <f>'B) D RI'!AR67</f>
        <v>1703</v>
      </c>
      <c r="E66" s="243">
        <f>'D) Ecrêtage'!M65</f>
        <v>52905.64732394366</v>
      </c>
      <c r="F66" s="246">
        <f>'E) Fact soc'!G71</f>
        <v>856114.63156741764</v>
      </c>
      <c r="G66" s="246">
        <f>'H) Péréquation directe'!I76</f>
        <v>193693.99120843282</v>
      </c>
      <c r="H66" s="246">
        <f>'I) Dépenses thématiques'!O65</f>
        <v>-184482.51985869676</v>
      </c>
      <c r="I66" s="246">
        <f>'K) Plafonnement aide'!J65</f>
        <v>0</v>
      </c>
      <c r="J66" s="246">
        <f>'J) Plafonnement effort'!I65</f>
        <v>0</v>
      </c>
      <c r="K66" s="246">
        <f>'L) Plafonnement taux'!Q66</f>
        <v>0</v>
      </c>
      <c r="L66" s="332">
        <f t="shared" si="2"/>
        <v>865326.10291715362</v>
      </c>
      <c r="M66" s="332">
        <f>'M) Police'!O66</f>
        <v>164993.84648103017</v>
      </c>
      <c r="N66" s="332">
        <f t="shared" si="1"/>
        <v>1030319.9493981837</v>
      </c>
      <c r="P66" s="445"/>
    </row>
    <row r="67" spans="1:16" s="237" customFormat="1" x14ac:dyDescent="0.25">
      <c r="A67" s="234">
        <f>'B) D RI'!A68</f>
        <v>5497</v>
      </c>
      <c r="B67" s="235" t="str">
        <f>'B) D RI'!B68</f>
        <v>Pompaples</v>
      </c>
      <c r="C67" s="402">
        <f>'B) D RI'!S68</f>
        <v>66</v>
      </c>
      <c r="D67" s="236">
        <f>'B) D RI'!AR68</f>
        <v>859</v>
      </c>
      <c r="E67" s="243">
        <f>'D) Ecrêtage'!M66</f>
        <v>22272.608181818188</v>
      </c>
      <c r="F67" s="246">
        <f>'E) Fact soc'!G72</f>
        <v>496808.42848259467</v>
      </c>
      <c r="G67" s="246">
        <f>'H) Péréquation directe'!I77</f>
        <v>57004.361356929585</v>
      </c>
      <c r="H67" s="246">
        <f>'I) Dépenses thématiques'!O66</f>
        <v>-163373.83378127136</v>
      </c>
      <c r="I67" s="246">
        <f>'K) Plafonnement aide'!J66</f>
        <v>0</v>
      </c>
      <c r="J67" s="246">
        <f>'J) Plafonnement effort'!I66</f>
        <v>0</v>
      </c>
      <c r="K67" s="246">
        <f>'L) Plafonnement taux'!Q67</f>
        <v>0</v>
      </c>
      <c r="L67" s="332">
        <f t="shared" si="2"/>
        <v>390438.95605825295</v>
      </c>
      <c r="M67" s="332">
        <f>'M) Police'!O67</f>
        <v>69173.440489780827</v>
      </c>
      <c r="N67" s="332">
        <f t="shared" si="1"/>
        <v>459612.39654803381</v>
      </c>
      <c r="P67" s="445"/>
    </row>
    <row r="68" spans="1:16" s="237" customFormat="1" x14ac:dyDescent="0.25">
      <c r="A68" s="234">
        <f>'B) D RI'!A69</f>
        <v>5498</v>
      </c>
      <c r="B68" s="235" t="str">
        <f>'B) D RI'!B69</f>
        <v>La Sarraz</v>
      </c>
      <c r="C68" s="402">
        <f>'B) D RI'!S69</f>
        <v>66</v>
      </c>
      <c r="D68" s="236">
        <f>'B) D RI'!AR69</f>
        <v>2567</v>
      </c>
      <c r="E68" s="243">
        <f>'D) Ecrêtage'!M67</f>
        <v>73804.61909090908</v>
      </c>
      <c r="F68" s="246">
        <f>'E) Fact soc'!G73</f>
        <v>1256089.0301383671</v>
      </c>
      <c r="G68" s="246">
        <f>'H) Péréquation directe'!I78</f>
        <v>44745.522488095099</v>
      </c>
      <c r="H68" s="246">
        <f>'I) Dépenses thématiques'!O67</f>
        <v>-591975.97959203867</v>
      </c>
      <c r="I68" s="246">
        <f>'K) Plafonnement aide'!J67</f>
        <v>0</v>
      </c>
      <c r="J68" s="246">
        <f>'J) Plafonnement effort'!I67</f>
        <v>0</v>
      </c>
      <c r="K68" s="246">
        <f>'L) Plafonnement taux'!Q68</f>
        <v>0</v>
      </c>
      <c r="L68" s="332">
        <f t="shared" si="2"/>
        <v>708858.57303442352</v>
      </c>
      <c r="M68" s="332">
        <f>'M) Police'!O68</f>
        <v>230847.4836579439</v>
      </c>
      <c r="N68" s="332">
        <f t="shared" si="1"/>
        <v>939706.05669236742</v>
      </c>
      <c r="P68" s="445"/>
    </row>
    <row r="69" spans="1:16" s="237" customFormat="1" x14ac:dyDescent="0.25">
      <c r="A69" s="234">
        <f>'B) D RI'!A70</f>
        <v>5499</v>
      </c>
      <c r="B69" s="235" t="str">
        <f>'B) D RI'!B70</f>
        <v>Senarclens</v>
      </c>
      <c r="C69" s="402">
        <f>'B) D RI'!S70</f>
        <v>68.5</v>
      </c>
      <c r="D69" s="236">
        <f>'B) D RI'!AR70</f>
        <v>459</v>
      </c>
      <c r="E69" s="243">
        <f>'D) Ecrêtage'!M68</f>
        <v>18585.936788321167</v>
      </c>
      <c r="F69" s="246">
        <f>'E) Fact soc'!G74</f>
        <v>330885.17243505386</v>
      </c>
      <c r="G69" s="246">
        <f>'H) Péréquation directe'!I79</f>
        <v>268675.63469527173</v>
      </c>
      <c r="H69" s="246">
        <f>'I) Dépenses thématiques'!O68</f>
        <v>-86979.684000491936</v>
      </c>
      <c r="I69" s="246">
        <f>'K) Plafonnement aide'!J68</f>
        <v>0</v>
      </c>
      <c r="J69" s="246">
        <f>'J) Plafonnement effort'!I68</f>
        <v>0</v>
      </c>
      <c r="K69" s="246">
        <f>'L) Plafonnement taux'!Q69</f>
        <v>0</v>
      </c>
      <c r="L69" s="332">
        <f t="shared" si="2"/>
        <v>512581.12312983366</v>
      </c>
      <c r="M69" s="332">
        <f>'M) Police'!O69</f>
        <v>58550.740695506749</v>
      </c>
      <c r="N69" s="332">
        <f t="shared" si="1"/>
        <v>571131.86382534041</v>
      </c>
      <c r="P69" s="445"/>
    </row>
    <row r="70" spans="1:16" s="237" customFormat="1" x14ac:dyDescent="0.25">
      <c r="A70" s="234">
        <f>'B) D RI'!A71</f>
        <v>5500</v>
      </c>
      <c r="B70" s="235" t="str">
        <f>'B) D RI'!B71</f>
        <v>Sévery</v>
      </c>
      <c r="C70" s="402">
        <f>'B) D RI'!S71</f>
        <v>76</v>
      </c>
      <c r="D70" s="236">
        <f>'B) D RI'!AR71</f>
        <v>243</v>
      </c>
      <c r="E70" s="243">
        <f>'D) Ecrêtage'!M69</f>
        <v>8028.7526973684207</v>
      </c>
      <c r="F70" s="246">
        <f>'E) Fact soc'!G75</f>
        <v>124941.18455190274</v>
      </c>
      <c r="G70" s="246">
        <f>'H) Péréquation directe'!I80</f>
        <v>63037.856671033776</v>
      </c>
      <c r="H70" s="246">
        <f>'I) Dépenses thématiques'!O69</f>
        <v>-11733.137408145687</v>
      </c>
      <c r="I70" s="246">
        <f>'K) Plafonnement aide'!J69</f>
        <v>0</v>
      </c>
      <c r="J70" s="246">
        <f>'J) Plafonnement effort'!I69</f>
        <v>0</v>
      </c>
      <c r="K70" s="246">
        <f>'L) Plafonnement taux'!Q70</f>
        <v>0</v>
      </c>
      <c r="L70" s="332">
        <f t="shared" si="2"/>
        <v>176245.90381479086</v>
      </c>
      <c r="M70" s="332">
        <f>'M) Police'!O70</f>
        <v>25296.864685149078</v>
      </c>
      <c r="N70" s="332">
        <f t="shared" si="1"/>
        <v>201542.76849993994</v>
      </c>
      <c r="P70" s="445"/>
    </row>
    <row r="71" spans="1:16" s="237" customFormat="1" x14ac:dyDescent="0.25">
      <c r="A71" s="234">
        <f>'B) D RI'!A72</f>
        <v>5501</v>
      </c>
      <c r="B71" s="235" t="str">
        <f>'B) D RI'!B72</f>
        <v>Sullens</v>
      </c>
      <c r="C71" s="402">
        <f>'B) D RI'!S72</f>
        <v>70</v>
      </c>
      <c r="D71" s="236">
        <f>'B) D RI'!AR72</f>
        <v>978</v>
      </c>
      <c r="E71" s="243">
        <f>'D) Ecrêtage'!M70</f>
        <v>35737.650142857143</v>
      </c>
      <c r="F71" s="246">
        <f>'E) Fact soc'!G76</f>
        <v>696402.65042549814</v>
      </c>
      <c r="G71" s="246">
        <f>'H) Péréquation directe'!I81</f>
        <v>422174.02061149327</v>
      </c>
      <c r="H71" s="246">
        <f>'I) Dépenses thématiques'!O70</f>
        <v>-13521.282512898993</v>
      </c>
      <c r="I71" s="246">
        <f>'K) Plafonnement aide'!J70</f>
        <v>0</v>
      </c>
      <c r="J71" s="246">
        <f>'J) Plafonnement effort'!I70</f>
        <v>0</v>
      </c>
      <c r="K71" s="246">
        <f>'L) Plafonnement taux'!Q71</f>
        <v>0</v>
      </c>
      <c r="L71" s="332">
        <f t="shared" si="2"/>
        <v>1105055.3885240923</v>
      </c>
      <c r="M71" s="332">
        <f>'M) Police'!O71</f>
        <v>112013.05358121527</v>
      </c>
      <c r="N71" s="332">
        <f t="shared" ref="N71:N134" si="3">L71+M71</f>
        <v>1217068.4421053075</v>
      </c>
      <c r="P71" s="445"/>
    </row>
    <row r="72" spans="1:16" s="237" customFormat="1" x14ac:dyDescent="0.25">
      <c r="A72" s="234">
        <f>'B) D RI'!A73</f>
        <v>5503</v>
      </c>
      <c r="B72" s="235" t="str">
        <f>'B) D RI'!B73</f>
        <v>Vufflens-la-Ville</v>
      </c>
      <c r="C72" s="402">
        <f>'B) D RI'!S73</f>
        <v>67</v>
      </c>
      <c r="D72" s="236">
        <f>'B) D RI'!AR73</f>
        <v>1252</v>
      </c>
      <c r="E72" s="243">
        <f>'D) Ecrêtage'!M71</f>
        <v>64927.66542288557</v>
      </c>
      <c r="F72" s="246">
        <f>'E) Fact soc'!G77</f>
        <v>1266974.0707375889</v>
      </c>
      <c r="G72" s="246">
        <f>'H) Péréquation directe'!I82</f>
        <v>1019457.9725154684</v>
      </c>
      <c r="H72" s="246">
        <f>'I) Dépenses thématiques'!O71</f>
        <v>0</v>
      </c>
      <c r="I72" s="246">
        <f>'K) Plafonnement aide'!J71</f>
        <v>0</v>
      </c>
      <c r="J72" s="246">
        <f>'J) Plafonnement effort'!I71</f>
        <v>0</v>
      </c>
      <c r="K72" s="246">
        <f>'L) Plafonnement taux'!Q72</f>
        <v>0</v>
      </c>
      <c r="L72" s="332">
        <f t="shared" si="2"/>
        <v>2286432.0432530572</v>
      </c>
      <c r="M72" s="332">
        <f>'M) Police'!O72</f>
        <v>192076.67539080424</v>
      </c>
      <c r="N72" s="332">
        <f t="shared" si="3"/>
        <v>2478508.7186438614</v>
      </c>
      <c r="P72" s="445"/>
    </row>
    <row r="73" spans="1:16" s="237" customFormat="1" x14ac:dyDescent="0.25">
      <c r="A73" s="234">
        <f>'B) D RI'!A74</f>
        <v>5511</v>
      </c>
      <c r="B73" s="235" t="str">
        <f>'B) D RI'!B74</f>
        <v>Assens</v>
      </c>
      <c r="C73" s="402">
        <f>'B) D RI'!S74</f>
        <v>70</v>
      </c>
      <c r="D73" s="236">
        <f>'B) D RI'!AR74</f>
        <v>1060</v>
      </c>
      <c r="E73" s="243">
        <f>'D) Ecrêtage'!M72</f>
        <v>39993.346428571429</v>
      </c>
      <c r="F73" s="246">
        <f>'E) Fact soc'!G78</f>
        <v>682496.29125793558</v>
      </c>
      <c r="G73" s="246">
        <f>'H) Péréquation directe'!I83</f>
        <v>490814.46107305773</v>
      </c>
      <c r="H73" s="246">
        <f>'I) Dépenses thématiques'!O72</f>
        <v>-280386.66864513664</v>
      </c>
      <c r="I73" s="246">
        <f>'K) Plafonnement aide'!J72</f>
        <v>0</v>
      </c>
      <c r="J73" s="246">
        <f>'J) Plafonnement effort'!I72</f>
        <v>0</v>
      </c>
      <c r="K73" s="246">
        <f>'L) Plafonnement taux'!Q73</f>
        <v>0</v>
      </c>
      <c r="L73" s="332">
        <f t="shared" si="2"/>
        <v>892924.08368585666</v>
      </c>
      <c r="M73" s="332">
        <f>'M) Police'!O73</f>
        <v>125064.09689503952</v>
      </c>
      <c r="N73" s="332">
        <f t="shared" si="3"/>
        <v>1017988.1805808962</v>
      </c>
      <c r="P73" s="445"/>
    </row>
    <row r="74" spans="1:16" s="237" customFormat="1" x14ac:dyDescent="0.25">
      <c r="A74" s="234">
        <f>'B) D RI'!A75</f>
        <v>5512</v>
      </c>
      <c r="B74" s="235" t="str">
        <f>'B) D RI'!B75</f>
        <v>Bercher</v>
      </c>
      <c r="C74" s="402">
        <f>'B) D RI'!S75</f>
        <v>79</v>
      </c>
      <c r="D74" s="236">
        <f>'B) D RI'!AR75</f>
        <v>1157</v>
      </c>
      <c r="E74" s="243">
        <f>'D) Ecrêtage'!M73</f>
        <v>35096.262278481016</v>
      </c>
      <c r="F74" s="246">
        <f>'E) Fact soc'!G79</f>
        <v>670002.75338133168</v>
      </c>
      <c r="G74" s="246">
        <f>'H) Péréquation directe'!I84</f>
        <v>101464.76588756265</v>
      </c>
      <c r="H74" s="246">
        <f>'I) Dépenses thématiques'!O73</f>
        <v>-143677.9244712239</v>
      </c>
      <c r="I74" s="246">
        <f>'K) Plafonnement aide'!J73</f>
        <v>0</v>
      </c>
      <c r="J74" s="246">
        <f>'J) Plafonnement effort'!I73</f>
        <v>0</v>
      </c>
      <c r="K74" s="246">
        <f>'L) Plafonnement taux'!Q74</f>
        <v>0</v>
      </c>
      <c r="L74" s="332">
        <f t="shared" si="2"/>
        <v>627789.59479767038</v>
      </c>
      <c r="M74" s="332">
        <f>'M) Police'!O74</f>
        <v>109334.87068595167</v>
      </c>
      <c r="N74" s="332">
        <f t="shared" si="3"/>
        <v>737124.46548362204</v>
      </c>
      <c r="P74" s="445"/>
    </row>
    <row r="75" spans="1:16" s="237" customFormat="1" x14ac:dyDescent="0.25">
      <c r="A75" s="234">
        <f>'B) D RI'!A76</f>
        <v>5513</v>
      </c>
      <c r="B75" s="235" t="str">
        <f>'B) D RI'!B76</f>
        <v>Bioley-Orjulaz</v>
      </c>
      <c r="C75" s="402">
        <f>'B) D RI'!S76</f>
        <v>66</v>
      </c>
      <c r="D75" s="236">
        <f>'B) D RI'!AR76</f>
        <v>483</v>
      </c>
      <c r="E75" s="243">
        <f>'D) Ecrêtage'!M74</f>
        <v>22441.228030303031</v>
      </c>
      <c r="F75" s="246">
        <f>'E) Fact soc'!G80</f>
        <v>377534.28365774103</v>
      </c>
      <c r="G75" s="246">
        <f>'H) Péréquation directe'!I85</f>
        <v>368872.1224138547</v>
      </c>
      <c r="H75" s="246">
        <f>'I) Dépenses thématiques'!O74</f>
        <v>-7090.025809056433</v>
      </c>
      <c r="I75" s="246">
        <f>'K) Plafonnement aide'!J74</f>
        <v>0</v>
      </c>
      <c r="J75" s="246">
        <f>'J) Plafonnement effort'!I74</f>
        <v>0</v>
      </c>
      <c r="K75" s="246">
        <f>'L) Plafonnement taux'!Q75</f>
        <v>0</v>
      </c>
      <c r="L75" s="332">
        <f t="shared" si="2"/>
        <v>739316.38026253926</v>
      </c>
      <c r="M75" s="332">
        <f>'M) Police'!O75</f>
        <v>70519.397671006562</v>
      </c>
      <c r="N75" s="332">
        <f t="shared" si="3"/>
        <v>809835.77793354588</v>
      </c>
      <c r="P75" s="445"/>
    </row>
    <row r="76" spans="1:16" s="237" customFormat="1" x14ac:dyDescent="0.25">
      <c r="A76" s="234">
        <f>'B) D RI'!A77</f>
        <v>5514</v>
      </c>
      <c r="B76" s="235" t="str">
        <f>'B) D RI'!B77</f>
        <v>Bottens</v>
      </c>
      <c r="C76" s="402">
        <f>'B) D RI'!S77</f>
        <v>69</v>
      </c>
      <c r="D76" s="236">
        <f>'B) D RI'!AR77</f>
        <v>1240</v>
      </c>
      <c r="E76" s="243">
        <f>'D) Ecrêtage'!M75</f>
        <v>40579.944927536235</v>
      </c>
      <c r="F76" s="246">
        <f>'E) Fact soc'!G81</f>
        <v>724968.33809498046</v>
      </c>
      <c r="G76" s="246">
        <f>'H) Péréquation directe'!I86</f>
        <v>303474.49553197733</v>
      </c>
      <c r="H76" s="246">
        <f>'I) Dépenses thématiques'!O75</f>
        <v>-19232.124558996733</v>
      </c>
      <c r="I76" s="246">
        <f>'K) Plafonnement aide'!J75</f>
        <v>0</v>
      </c>
      <c r="J76" s="246">
        <f>'J) Plafonnement effort'!I75</f>
        <v>0</v>
      </c>
      <c r="K76" s="246">
        <f>'L) Plafonnement taux'!Q76</f>
        <v>0</v>
      </c>
      <c r="L76" s="332">
        <f t="shared" si="2"/>
        <v>1009210.7090679611</v>
      </c>
      <c r="M76" s="332">
        <f>'M) Police'!O76</f>
        <v>126800.15881647624</v>
      </c>
      <c r="N76" s="332">
        <f t="shared" si="3"/>
        <v>1136010.8678844373</v>
      </c>
      <c r="P76" s="445"/>
    </row>
    <row r="77" spans="1:16" s="237" customFormat="1" x14ac:dyDescent="0.25">
      <c r="A77" s="234">
        <f>'B) D RI'!A78</f>
        <v>5515</v>
      </c>
      <c r="B77" s="235" t="str">
        <f>'B) D RI'!B78</f>
        <v>Bretigny-sur-Morrens</v>
      </c>
      <c r="C77" s="402">
        <f>'B) D RI'!S78</f>
        <v>73</v>
      </c>
      <c r="D77" s="236">
        <f>'B) D RI'!AR78</f>
        <v>817</v>
      </c>
      <c r="E77" s="243">
        <f>'D) Ecrêtage'!M76</f>
        <v>25654.980410958906</v>
      </c>
      <c r="F77" s="246">
        <f>'E) Fact soc'!G82</f>
        <v>417632.97355097625</v>
      </c>
      <c r="G77" s="246">
        <f>'H) Péréquation directe'!I87</f>
        <v>174716.43902042025</v>
      </c>
      <c r="H77" s="246">
        <f>'I) Dépenses thématiques'!O76</f>
        <v>-49679.004865575916</v>
      </c>
      <c r="I77" s="246">
        <f>'K) Plafonnement aide'!J76</f>
        <v>0</v>
      </c>
      <c r="J77" s="246">
        <f>'J) Plafonnement effort'!I76</f>
        <v>0</v>
      </c>
      <c r="K77" s="246">
        <f>'L) Plafonnement taux'!Q77</f>
        <v>0</v>
      </c>
      <c r="L77" s="332">
        <f t="shared" si="2"/>
        <v>542670.40770582051</v>
      </c>
      <c r="M77" s="332">
        <f>'M) Police'!O77</f>
        <v>80317.877336042438</v>
      </c>
      <c r="N77" s="332">
        <f t="shared" si="3"/>
        <v>622988.28504186298</v>
      </c>
      <c r="P77" s="445"/>
    </row>
    <row r="78" spans="1:16" s="237" customFormat="1" x14ac:dyDescent="0.25">
      <c r="A78" s="234">
        <f>'B) D RI'!A79</f>
        <v>5516</v>
      </c>
      <c r="B78" s="235" t="str">
        <f>'B) D RI'!B79</f>
        <v>Cugy</v>
      </c>
      <c r="C78" s="402">
        <f>'B) D RI'!S79</f>
        <v>70</v>
      </c>
      <c r="D78" s="236">
        <f>'B) D RI'!AR79</f>
        <v>2739</v>
      </c>
      <c r="E78" s="243">
        <f>'D) Ecrêtage'!M77</f>
        <v>107712.55485714282</v>
      </c>
      <c r="F78" s="246">
        <f>'E) Fact soc'!G83</f>
        <v>1818313.2640333571</v>
      </c>
      <c r="G78" s="246">
        <f>'H) Péréquation directe'!I88</f>
        <v>1044562.7025552617</v>
      </c>
      <c r="H78" s="246">
        <f>'I) Dépenses thématiques'!O77</f>
        <v>-165277.47943572095</v>
      </c>
      <c r="I78" s="246">
        <f>'K) Plafonnement aide'!J77</f>
        <v>0</v>
      </c>
      <c r="J78" s="246">
        <f>'J) Plafonnement effort'!I77</f>
        <v>0</v>
      </c>
      <c r="K78" s="246">
        <f>'L) Plafonnement taux'!Q78</f>
        <v>0</v>
      </c>
      <c r="L78" s="332">
        <f t="shared" si="2"/>
        <v>2697598.4871528978</v>
      </c>
      <c r="M78" s="332">
        <f>'M) Police'!O78</f>
        <v>336622.06382121891</v>
      </c>
      <c r="N78" s="332">
        <f t="shared" si="3"/>
        <v>3034220.5509741167</v>
      </c>
      <c r="P78" s="445"/>
    </row>
    <row r="79" spans="1:16" s="237" customFormat="1" x14ac:dyDescent="0.25">
      <c r="A79" s="234">
        <f>'B) D RI'!A80</f>
        <v>5518</v>
      </c>
      <c r="B79" s="235" t="str">
        <f>'B) D RI'!B80</f>
        <v>Echallens</v>
      </c>
      <c r="C79" s="402">
        <f>'B) D RI'!S80</f>
        <v>74</v>
      </c>
      <c r="D79" s="236">
        <f>'B) D RI'!AR80</f>
        <v>5677</v>
      </c>
      <c r="E79" s="243">
        <f>'D) Ecrêtage'!M78</f>
        <v>187267.45324324328</v>
      </c>
      <c r="F79" s="246">
        <f>'E) Fact soc'!G84</f>
        <v>3441249.5336546232</v>
      </c>
      <c r="G79" s="246">
        <f>'H) Péréquation directe'!I89</f>
        <v>-79667.218280845787</v>
      </c>
      <c r="H79" s="246">
        <f>'I) Dépenses thématiques'!O78</f>
        <v>-825775.7831053104</v>
      </c>
      <c r="I79" s="246">
        <f>'K) Plafonnement aide'!J78</f>
        <v>0</v>
      </c>
      <c r="J79" s="246">
        <f>'J) Plafonnement effort'!I78</f>
        <v>0</v>
      </c>
      <c r="K79" s="246">
        <f>'L) Plafonnement taux'!Q79</f>
        <v>0</v>
      </c>
      <c r="L79" s="332">
        <f t="shared" si="2"/>
        <v>2535806.5322684669</v>
      </c>
      <c r="M79" s="332">
        <f>'M) Police'!O79</f>
        <v>587731.11099319439</v>
      </c>
      <c r="N79" s="332">
        <f t="shared" si="3"/>
        <v>3123537.6432616613</v>
      </c>
      <c r="P79" s="445"/>
    </row>
    <row r="80" spans="1:16" s="237" customFormat="1" x14ac:dyDescent="0.25">
      <c r="A80" s="234">
        <f>'B) D RI'!A81</f>
        <v>5520</v>
      </c>
      <c r="B80" s="235" t="str">
        <f>'B) D RI'!B81</f>
        <v>Essertines-sur-Yverdon</v>
      </c>
      <c r="C80" s="402">
        <f>'B) D RI'!S81</f>
        <v>73</v>
      </c>
      <c r="D80" s="236">
        <f>'B) D RI'!AR81</f>
        <v>943</v>
      </c>
      <c r="E80" s="243">
        <f>'D) Ecrêtage'!M79</f>
        <v>28096.496575342466</v>
      </c>
      <c r="F80" s="246">
        <f>'E) Fact soc'!G85</f>
        <v>472563.81396375911</v>
      </c>
      <c r="G80" s="246">
        <f>'H) Péréquation directe'!I90</f>
        <v>141275.9487929084</v>
      </c>
      <c r="H80" s="246">
        <f>'I) Dépenses thématiques'!O79</f>
        <v>-104994.52547243529</v>
      </c>
      <c r="I80" s="246">
        <f>'K) Plafonnement aide'!J79</f>
        <v>0</v>
      </c>
      <c r="J80" s="246">
        <f>'J) Plafonnement effort'!I79</f>
        <v>0</v>
      </c>
      <c r="K80" s="246">
        <f>'L) Plafonnement taux'!Q80</f>
        <v>0</v>
      </c>
      <c r="L80" s="332">
        <f t="shared" si="2"/>
        <v>508845.23728423228</v>
      </c>
      <c r="M80" s="332">
        <f>'M) Police'!O80</f>
        <v>87604.581166920558</v>
      </c>
      <c r="N80" s="332">
        <f t="shared" si="3"/>
        <v>596449.81845115288</v>
      </c>
      <c r="P80" s="445"/>
    </row>
    <row r="81" spans="1:16" s="237" customFormat="1" x14ac:dyDescent="0.25">
      <c r="A81" s="234">
        <f>'B) D RI'!A82</f>
        <v>5521</v>
      </c>
      <c r="B81" s="235" t="str">
        <f>'B) D RI'!B82</f>
        <v>Etagnières</v>
      </c>
      <c r="C81" s="402">
        <f>'B) D RI'!S82</f>
        <v>73</v>
      </c>
      <c r="D81" s="236">
        <f>'B) D RI'!AR82</f>
        <v>1118</v>
      </c>
      <c r="E81" s="243">
        <f>'D) Ecrêtage'!M80</f>
        <v>40658.047260273968</v>
      </c>
      <c r="F81" s="246">
        <f>'E) Fact soc'!G86</f>
        <v>650937.64984690363</v>
      </c>
      <c r="G81" s="246">
        <f>'H) Péréquation directe'!I91</f>
        <v>431255.72623667994</v>
      </c>
      <c r="H81" s="246">
        <f>'I) Dépenses thématiques'!O80</f>
        <v>-16045.335590464922</v>
      </c>
      <c r="I81" s="246">
        <f>'K) Plafonnement aide'!J80</f>
        <v>0</v>
      </c>
      <c r="J81" s="246">
        <f>'J) Plafonnement effort'!I80</f>
        <v>0</v>
      </c>
      <c r="K81" s="246">
        <f>'L) Plafonnement taux'!Q81</f>
        <v>0</v>
      </c>
      <c r="L81" s="332">
        <f t="shared" si="2"/>
        <v>1066148.0404931186</v>
      </c>
      <c r="M81" s="332">
        <f>'M) Police'!O81</f>
        <v>126788.18631831865</v>
      </c>
      <c r="N81" s="332">
        <f t="shared" si="3"/>
        <v>1192936.2268114372</v>
      </c>
      <c r="P81" s="445"/>
    </row>
    <row r="82" spans="1:16" s="237" customFormat="1" x14ac:dyDescent="0.25">
      <c r="A82" s="234">
        <f>'B) D RI'!A83</f>
        <v>5522</v>
      </c>
      <c r="B82" s="235" t="str">
        <f>'B) D RI'!B83</f>
        <v>Fey</v>
      </c>
      <c r="C82" s="402">
        <f>'B) D RI'!S83</f>
        <v>75</v>
      </c>
      <c r="D82" s="236">
        <f>'B) D RI'!AR83</f>
        <v>696</v>
      </c>
      <c r="E82" s="243">
        <f>'D) Ecrêtage'!M81</f>
        <v>19109.159333333333</v>
      </c>
      <c r="F82" s="246">
        <f>'E) Fact soc'!G87</f>
        <v>358789.99657673563</v>
      </c>
      <c r="G82" s="246">
        <f>'H) Péréquation directe'!I92</f>
        <v>25683.654755207361</v>
      </c>
      <c r="H82" s="246">
        <f>'I) Dépenses thématiques'!O81</f>
        <v>-78373.950814729993</v>
      </c>
      <c r="I82" s="246">
        <f>'K) Plafonnement aide'!J81</f>
        <v>0</v>
      </c>
      <c r="J82" s="246">
        <f>'J) Plafonnement effort'!I81</f>
        <v>0</v>
      </c>
      <c r="K82" s="246">
        <f>'L) Plafonnement taux'!Q82</f>
        <v>0</v>
      </c>
      <c r="L82" s="332">
        <f t="shared" si="2"/>
        <v>306099.70051721297</v>
      </c>
      <c r="M82" s="332">
        <f>'M) Police'!O82</f>
        <v>59604.429695303988</v>
      </c>
      <c r="N82" s="332">
        <f t="shared" si="3"/>
        <v>365704.13021251699</v>
      </c>
      <c r="P82" s="445"/>
    </row>
    <row r="83" spans="1:16" s="237" customFormat="1" x14ac:dyDescent="0.25">
      <c r="A83" s="234">
        <f>'B) D RI'!A84</f>
        <v>5523</v>
      </c>
      <c r="B83" s="235" t="str">
        <f>'B) D RI'!B84</f>
        <v>Froideville</v>
      </c>
      <c r="C83" s="402">
        <f>'B) D RI'!S84</f>
        <v>76</v>
      </c>
      <c r="D83" s="236">
        <f>'B) D RI'!AR84</f>
        <v>2459</v>
      </c>
      <c r="E83" s="243">
        <f>'D) Ecrêtage'!M82</f>
        <v>77198.057236842113</v>
      </c>
      <c r="F83" s="246">
        <f>'E) Fact soc'!G88</f>
        <v>1435532.2056483715</v>
      </c>
      <c r="G83" s="246">
        <f>'H) Péréquation directe'!I93</f>
        <v>109732.10193249257</v>
      </c>
      <c r="H83" s="246">
        <f>'I) Dépenses thématiques'!O82</f>
        <v>-154807.30596700363</v>
      </c>
      <c r="I83" s="246">
        <f>'K) Plafonnement aide'!J82</f>
        <v>0</v>
      </c>
      <c r="J83" s="246">
        <f>'J) Plafonnement effort'!I82</f>
        <v>0</v>
      </c>
      <c r="K83" s="246">
        <f>'L) Plafonnement taux'!Q83</f>
        <v>0</v>
      </c>
      <c r="L83" s="332">
        <f t="shared" si="2"/>
        <v>1390457.0016138605</v>
      </c>
      <c r="M83" s="332">
        <f>'M) Police'!O83</f>
        <v>240473.56190772491</v>
      </c>
      <c r="N83" s="332">
        <f t="shared" si="3"/>
        <v>1630930.5635215854</v>
      </c>
      <c r="P83" s="445"/>
    </row>
    <row r="84" spans="1:16" s="237" customFormat="1" x14ac:dyDescent="0.25">
      <c r="A84" s="234">
        <f>'B) D RI'!A85</f>
        <v>5527</v>
      </c>
      <c r="B84" s="235" t="str">
        <f>'B) D RI'!B85</f>
        <v>Morrens</v>
      </c>
      <c r="C84" s="402">
        <f>'B) D RI'!S85</f>
        <v>71</v>
      </c>
      <c r="D84" s="236">
        <f>'B) D RI'!AR85</f>
        <v>1074</v>
      </c>
      <c r="E84" s="243">
        <f>'D) Ecrêtage'!M83</f>
        <v>37560.717323943667</v>
      </c>
      <c r="F84" s="246">
        <f>'E) Fact soc'!G89</f>
        <v>587368.1795746428</v>
      </c>
      <c r="G84" s="246">
        <f>'H) Péréquation directe'!I94</f>
        <v>375587.14502660686</v>
      </c>
      <c r="H84" s="246">
        <f>'I) Dépenses thématiques'!O83</f>
        <v>-11898.38402200537</v>
      </c>
      <c r="I84" s="246">
        <f>'K) Plafonnement aide'!J83</f>
        <v>0</v>
      </c>
      <c r="J84" s="246">
        <f>'J) Plafonnement effort'!I83</f>
        <v>0</v>
      </c>
      <c r="K84" s="246">
        <f>'L) Plafonnement taux'!Q84</f>
        <v>0</v>
      </c>
      <c r="L84" s="332">
        <f t="shared" si="2"/>
        <v>951056.94057924428</v>
      </c>
      <c r="M84" s="332">
        <f>'M) Police'!O84</f>
        <v>117287.7325377817</v>
      </c>
      <c r="N84" s="332">
        <f t="shared" si="3"/>
        <v>1068344.673117026</v>
      </c>
      <c r="P84" s="445"/>
    </row>
    <row r="85" spans="1:16" s="237" customFormat="1" x14ac:dyDescent="0.25">
      <c r="A85" s="234">
        <f>'B) D RI'!A86</f>
        <v>5529</v>
      </c>
      <c r="B85" s="235" t="str">
        <f>'B) D RI'!B86</f>
        <v>Oulens-sous-Echallens</v>
      </c>
      <c r="C85" s="402">
        <f>'B) D RI'!S86</f>
        <v>71</v>
      </c>
      <c r="D85" s="236">
        <f>'B) D RI'!AR86</f>
        <v>560</v>
      </c>
      <c r="E85" s="243">
        <f>'D) Ecrêtage'!M84</f>
        <v>19874.862394366199</v>
      </c>
      <c r="F85" s="246">
        <f>'E) Fact soc'!G90</f>
        <v>328535.22101260204</v>
      </c>
      <c r="G85" s="246">
        <f>'H) Péréquation directe'!I95</f>
        <v>216576.94980072087</v>
      </c>
      <c r="H85" s="246">
        <f>'I) Dépenses thématiques'!O84</f>
        <v>-124269.30134244272</v>
      </c>
      <c r="I85" s="246">
        <f>'K) Plafonnement aide'!J84</f>
        <v>0</v>
      </c>
      <c r="J85" s="246">
        <f>'J) Plafonnement effort'!I84</f>
        <v>0</v>
      </c>
      <c r="K85" s="246">
        <f>'L) Plafonnement taux'!Q85</f>
        <v>0</v>
      </c>
      <c r="L85" s="332">
        <f t="shared" si="2"/>
        <v>420842.86947088013</v>
      </c>
      <c r="M85" s="332">
        <f>'M) Police'!O85</f>
        <v>62265.789529706366</v>
      </c>
      <c r="N85" s="332">
        <f t="shared" si="3"/>
        <v>483108.65900058649</v>
      </c>
      <c r="P85" s="445"/>
    </row>
    <row r="86" spans="1:16" s="237" customFormat="1" x14ac:dyDescent="0.25">
      <c r="A86" s="234">
        <f>'B) D RI'!A87</f>
        <v>5530</v>
      </c>
      <c r="B86" s="235" t="str">
        <f>'B) D RI'!B87</f>
        <v>Pailly</v>
      </c>
      <c r="C86" s="402">
        <f>'B) D RI'!S87</f>
        <v>77.5</v>
      </c>
      <c r="D86" s="236">
        <f>'B) D RI'!AR87</f>
        <v>534</v>
      </c>
      <c r="E86" s="243">
        <f>'D) Ecrêtage'!M85</f>
        <v>15272.027655913982</v>
      </c>
      <c r="F86" s="246">
        <f>'E) Fact soc'!G91</f>
        <v>229881.44014776353</v>
      </c>
      <c r="G86" s="246">
        <f>'H) Péréquation directe'!I96</f>
        <v>32160.078954456927</v>
      </c>
      <c r="H86" s="246">
        <f>'I) Dépenses thématiques'!O85</f>
        <v>-357557.80592638586</v>
      </c>
      <c r="I86" s="246">
        <f>'K) Plafonnement aide'!J85</f>
        <v>0</v>
      </c>
      <c r="J86" s="246">
        <f>'J) Plafonnement effort'!I85</f>
        <v>0</v>
      </c>
      <c r="K86" s="246">
        <f>'L) Plafonnement taux'!Q86</f>
        <v>0</v>
      </c>
      <c r="L86" s="332">
        <f t="shared" si="2"/>
        <v>-95516.286824165407</v>
      </c>
      <c r="M86" s="332">
        <f>'M) Police'!O86</f>
        <v>47748.064969562227</v>
      </c>
      <c r="N86" s="332">
        <f t="shared" si="3"/>
        <v>-47768.22185460318</v>
      </c>
      <c r="P86" s="445"/>
    </row>
    <row r="87" spans="1:16" s="237" customFormat="1" x14ac:dyDescent="0.25">
      <c r="A87" s="234">
        <f>'B) D RI'!A88</f>
        <v>5531</v>
      </c>
      <c r="B87" s="235" t="str">
        <f>'B) D RI'!B88</f>
        <v>Penthéréaz</v>
      </c>
      <c r="C87" s="402">
        <f>'B) D RI'!S88</f>
        <v>78</v>
      </c>
      <c r="D87" s="236">
        <f>'B) D RI'!AR88</f>
        <v>411</v>
      </c>
      <c r="E87" s="243">
        <f>'D) Ecrêtage'!M86</f>
        <v>12101.700128205126</v>
      </c>
      <c r="F87" s="246">
        <f>'E) Fact soc'!G92</f>
        <v>205639.71628255345</v>
      </c>
      <c r="G87" s="246">
        <f>'H) Péréquation directe'!I97</f>
        <v>37667.385632518475</v>
      </c>
      <c r="H87" s="246">
        <f>'I) Dépenses thématiques'!O86</f>
        <v>-71713.40528984605</v>
      </c>
      <c r="I87" s="246">
        <f>'K) Plafonnement aide'!J86</f>
        <v>0</v>
      </c>
      <c r="J87" s="246">
        <f>'J) Plafonnement effort'!I86</f>
        <v>0</v>
      </c>
      <c r="K87" s="246">
        <f>'L) Plafonnement taux'!Q87</f>
        <v>0</v>
      </c>
      <c r="L87" s="332">
        <f t="shared" si="2"/>
        <v>171593.69662522589</v>
      </c>
      <c r="M87" s="332">
        <f>'M) Police'!O87</f>
        <v>37922.592110233069</v>
      </c>
      <c r="N87" s="332">
        <f t="shared" si="3"/>
        <v>209516.28873545895</v>
      </c>
      <c r="P87" s="445"/>
    </row>
    <row r="88" spans="1:16" s="237" customFormat="1" x14ac:dyDescent="0.25">
      <c r="A88" s="234">
        <f>'B) D RI'!A89</f>
        <v>5533</v>
      </c>
      <c r="B88" s="235" t="str">
        <f>'B) D RI'!B89</f>
        <v>Poliez-Pittet</v>
      </c>
      <c r="C88" s="402">
        <f>'B) D RI'!S89</f>
        <v>71</v>
      </c>
      <c r="D88" s="236">
        <f>'B) D RI'!AR89</f>
        <v>844</v>
      </c>
      <c r="E88" s="243">
        <f>'D) Ecrêtage'!M87</f>
        <v>27045.170985915491</v>
      </c>
      <c r="F88" s="246">
        <f>'E) Fact soc'!G93</f>
        <v>421130.03590350604</v>
      </c>
      <c r="G88" s="246">
        <f>'H) Péréquation directe'!I98</f>
        <v>213813.79970184981</v>
      </c>
      <c r="H88" s="246">
        <f>'I) Dépenses thématiques'!O87</f>
        <v>-34853.400293185652</v>
      </c>
      <c r="I88" s="246">
        <f>'K) Plafonnement aide'!J87</f>
        <v>0</v>
      </c>
      <c r="J88" s="246">
        <f>'J) Plafonnement effort'!I87</f>
        <v>0</v>
      </c>
      <c r="K88" s="246">
        <f>'L) Plafonnement taux'!Q88</f>
        <v>0</v>
      </c>
      <c r="L88" s="332">
        <f t="shared" si="2"/>
        <v>600090.4353121703</v>
      </c>
      <c r="M88" s="332">
        <f>'M) Police'!O88</f>
        <v>84930.589080921403</v>
      </c>
      <c r="N88" s="332">
        <f t="shared" si="3"/>
        <v>685021.02439309168</v>
      </c>
      <c r="P88" s="445"/>
    </row>
    <row r="89" spans="1:16" s="237" customFormat="1" x14ac:dyDescent="0.25">
      <c r="A89" s="234">
        <f>'B) D RI'!A90</f>
        <v>5534</v>
      </c>
      <c r="B89" s="235" t="str">
        <f>'B) D RI'!B90</f>
        <v>Rueyres</v>
      </c>
      <c r="C89" s="402">
        <f>'B) D RI'!S90</f>
        <v>73</v>
      </c>
      <c r="D89" s="236">
        <f>'B) D RI'!AR90</f>
        <v>271</v>
      </c>
      <c r="E89" s="243">
        <f>'D) Ecrêtage'!M88</f>
        <v>10934.157945205479</v>
      </c>
      <c r="F89" s="246">
        <f>'E) Fact soc'!G94</f>
        <v>302543.56728676002</v>
      </c>
      <c r="G89" s="246">
        <f>'H) Péréquation directe'!I99</f>
        <v>154581.26872095402</v>
      </c>
      <c r="H89" s="246">
        <f>'I) Dépenses thématiques'!O88</f>
        <v>-47885.046464572108</v>
      </c>
      <c r="I89" s="246">
        <f>'K) Plafonnement aide'!J88</f>
        <v>0</v>
      </c>
      <c r="J89" s="246">
        <f>'J) Plafonnement effort'!I88</f>
        <v>0</v>
      </c>
      <c r="K89" s="246">
        <f>'L) Plafonnement taux'!Q89</f>
        <v>0</v>
      </c>
      <c r="L89" s="332">
        <f t="shared" si="2"/>
        <v>409239.78954314196</v>
      </c>
      <c r="M89" s="332">
        <f>'M) Police'!O89</f>
        <v>33904.172146546836</v>
      </c>
      <c r="N89" s="332">
        <f t="shared" si="3"/>
        <v>443143.96168968879</v>
      </c>
      <c r="P89" s="445"/>
    </row>
    <row r="90" spans="1:16" s="237" customFormat="1" x14ac:dyDescent="0.25">
      <c r="A90" s="234">
        <f>'B) D RI'!A91</f>
        <v>5535</v>
      </c>
      <c r="B90" s="235" t="str">
        <f>'B) D RI'!B91</f>
        <v>Saint-Barthélemy</v>
      </c>
      <c r="C90" s="402">
        <f>'B) D RI'!S91</f>
        <v>75</v>
      </c>
      <c r="D90" s="236">
        <f>'B) D RI'!AR91</f>
        <v>777</v>
      </c>
      <c r="E90" s="243">
        <f>'D) Ecrêtage'!M89</f>
        <v>20697.547200000001</v>
      </c>
      <c r="F90" s="246">
        <f>'E) Fact soc'!G95</f>
        <v>324623.60066248768</v>
      </c>
      <c r="G90" s="246">
        <f>'H) Péréquation directe'!I100</f>
        <v>2590.9535439647152</v>
      </c>
      <c r="H90" s="246">
        <f>'I) Dépenses thématiques'!O89</f>
        <v>0</v>
      </c>
      <c r="I90" s="246">
        <f>'K) Plafonnement aide'!J89</f>
        <v>0</v>
      </c>
      <c r="J90" s="246">
        <f>'J) Plafonnement effort'!I89</f>
        <v>0</v>
      </c>
      <c r="K90" s="246">
        <f>'L) Plafonnement taux'!Q90</f>
        <v>0</v>
      </c>
      <c r="L90" s="332">
        <f t="shared" si="2"/>
        <v>327214.55420645239</v>
      </c>
      <c r="M90" s="332">
        <f>'M) Police'!O90</f>
        <v>64394.023425582578</v>
      </c>
      <c r="N90" s="332">
        <f t="shared" si="3"/>
        <v>391608.57763203495</v>
      </c>
      <c r="P90" s="445"/>
    </row>
    <row r="91" spans="1:16" s="237" customFormat="1" x14ac:dyDescent="0.25">
      <c r="A91" s="234">
        <f>'B) D RI'!A92</f>
        <v>5537</v>
      </c>
      <c r="B91" s="235" t="str">
        <f>'B) D RI'!B92</f>
        <v>Villars-le-Terroir</v>
      </c>
      <c r="C91" s="402">
        <f>'B) D RI'!S92</f>
        <v>73</v>
      </c>
      <c r="D91" s="236">
        <f>'B) D RI'!AR92</f>
        <v>1066</v>
      </c>
      <c r="E91" s="243">
        <f>'D) Ecrêtage'!M90</f>
        <v>30041.138287671231</v>
      </c>
      <c r="F91" s="246">
        <f>'E) Fact soc'!G96</f>
        <v>498949.95518880559</v>
      </c>
      <c r="G91" s="246">
        <f>'H) Péréquation directe'!I101</f>
        <v>74877.139702536108</v>
      </c>
      <c r="H91" s="246">
        <f>'I) Dépenses thématiques'!O90</f>
        <v>-85138.950401932205</v>
      </c>
      <c r="I91" s="246">
        <f>'K) Plafonnement aide'!J90</f>
        <v>0</v>
      </c>
      <c r="J91" s="246">
        <f>'J) Plafonnement effort'!I90</f>
        <v>0</v>
      </c>
      <c r="K91" s="246">
        <f>'L) Plafonnement taux'!Q91</f>
        <v>0</v>
      </c>
      <c r="L91" s="332">
        <f t="shared" si="2"/>
        <v>488688.1444894094</v>
      </c>
      <c r="M91" s="332">
        <f>'M) Police'!O91</f>
        <v>93169.789217956801</v>
      </c>
      <c r="N91" s="332">
        <f t="shared" si="3"/>
        <v>581857.93370736623</v>
      </c>
      <c r="P91" s="445"/>
    </row>
    <row r="92" spans="1:16" s="237" customFormat="1" x14ac:dyDescent="0.25">
      <c r="A92" s="234">
        <f>'B) D RI'!A93</f>
        <v>5539</v>
      </c>
      <c r="B92" s="235" t="str">
        <f>'B) D RI'!B93</f>
        <v>Vuarrens</v>
      </c>
      <c r="C92" s="402">
        <f>'B) D RI'!S93</f>
        <v>75</v>
      </c>
      <c r="D92" s="236">
        <f>'B) D RI'!AR93</f>
        <v>993</v>
      </c>
      <c r="E92" s="243">
        <f>'D) Ecrêtage'!M91</f>
        <v>22727.031566666661</v>
      </c>
      <c r="F92" s="246">
        <f>'E) Fact soc'!G97</f>
        <v>382540.63166212547</v>
      </c>
      <c r="G92" s="246">
        <f>'H) Péréquation directe'!I102</f>
        <v>-149532.31938950834</v>
      </c>
      <c r="H92" s="246">
        <f>'I) Dépenses thématiques'!O91</f>
        <v>-300133.05130564823</v>
      </c>
      <c r="I92" s="246">
        <f>'K) Plafonnement aide'!J91</f>
        <v>0</v>
      </c>
      <c r="J92" s="246">
        <f>'J) Plafonnement effort'!I91</f>
        <v>0</v>
      </c>
      <c r="K92" s="246">
        <f>'L) Plafonnement taux'!Q92</f>
        <v>0</v>
      </c>
      <c r="L92" s="332">
        <f t="shared" si="2"/>
        <v>-67124.739033031103</v>
      </c>
      <c r="M92" s="332">
        <f>'M) Police'!O92</f>
        <v>70093.265128655767</v>
      </c>
      <c r="N92" s="332">
        <f t="shared" si="3"/>
        <v>2968.5260956246639</v>
      </c>
      <c r="P92" s="445"/>
    </row>
    <row r="93" spans="1:16" s="237" customFormat="1" x14ac:dyDescent="0.25">
      <c r="A93" s="234">
        <f>'B) D RI'!A94</f>
        <v>5540</v>
      </c>
      <c r="B93" s="235" t="str">
        <f>'B) D RI'!B94</f>
        <v>Montilliez</v>
      </c>
      <c r="C93" s="402">
        <f>'B) D RI'!S94</f>
        <v>74</v>
      </c>
      <c r="D93" s="236">
        <f>'B) D RI'!AR94</f>
        <v>1698</v>
      </c>
      <c r="E93" s="243">
        <f>'D) Ecrêtage'!M92</f>
        <v>54875.674391891895</v>
      </c>
      <c r="F93" s="246">
        <f>'E) Fact soc'!G98</f>
        <v>944309.37974519865</v>
      </c>
      <c r="G93" s="246">
        <f>'H) Péréquation directe'!I103</f>
        <v>241346.66054881364</v>
      </c>
      <c r="H93" s="246">
        <f>'I) Dépenses thématiques'!O92</f>
        <v>-188297.78429232925</v>
      </c>
      <c r="I93" s="246">
        <f>'K) Plafonnement aide'!J92</f>
        <v>0</v>
      </c>
      <c r="J93" s="246">
        <f>'J) Plafonnement effort'!I92</f>
        <v>0</v>
      </c>
      <c r="K93" s="246">
        <f>'L) Plafonnement taux'!Q93</f>
        <v>0</v>
      </c>
      <c r="L93" s="332">
        <f>F93+G93+H93+I93+J93+K93</f>
        <v>997358.25600168307</v>
      </c>
      <c r="M93" s="332">
        <f>'M) Police'!O93</f>
        <v>171897.1542602313</v>
      </c>
      <c r="N93" s="332">
        <f t="shared" si="3"/>
        <v>1169255.4102619144</v>
      </c>
      <c r="P93" s="445"/>
    </row>
    <row r="94" spans="1:16" s="237" customFormat="1" x14ac:dyDescent="0.25">
      <c r="A94" s="234">
        <f>'B) D RI'!A95</f>
        <v>5541</v>
      </c>
      <c r="B94" s="235" t="str">
        <f>'B) D RI'!B95</f>
        <v>Goumoëns</v>
      </c>
      <c r="C94" s="402">
        <f>'B) D RI'!S95</f>
        <v>77</v>
      </c>
      <c r="D94" s="236">
        <f>'B) D RI'!AR95</f>
        <v>1051</v>
      </c>
      <c r="E94" s="243">
        <f>'D) Ecrêtage'!M93</f>
        <v>32498.070519480509</v>
      </c>
      <c r="F94" s="246">
        <f>'E) Fact soc'!G99</f>
        <v>654305.40355389169</v>
      </c>
      <c r="G94" s="246">
        <f>'H) Péréquation directe'!I104</f>
        <v>158864.19833818584</v>
      </c>
      <c r="H94" s="246">
        <f>'I) Dépenses thématiques'!O93</f>
        <v>-70161.926767647732</v>
      </c>
      <c r="I94" s="246">
        <f>'K) Plafonnement aide'!J93</f>
        <v>0</v>
      </c>
      <c r="J94" s="246">
        <f>'J) Plafonnement effort'!I93</f>
        <v>0</v>
      </c>
      <c r="K94" s="246">
        <f>'L) Plafonnement taux'!Q94</f>
        <v>0</v>
      </c>
      <c r="L94" s="332">
        <f>F94+G94+H94+I94+J94+K94</f>
        <v>743007.67512442986</v>
      </c>
      <c r="M94" s="332">
        <f>'M) Police'!O94</f>
        <v>101960.60954804608</v>
      </c>
      <c r="N94" s="332">
        <f t="shared" si="3"/>
        <v>844968.28467247589</v>
      </c>
      <c r="P94" s="445"/>
    </row>
    <row r="95" spans="1:16" s="237" customFormat="1" x14ac:dyDescent="0.25">
      <c r="A95" s="234">
        <f>'B) D RI'!A96</f>
        <v>5551</v>
      </c>
      <c r="B95" s="235" t="str">
        <f>'B) D RI'!B96</f>
        <v>Bonvillars</v>
      </c>
      <c r="C95" s="402">
        <f>'B) D RI'!S96</f>
        <v>55</v>
      </c>
      <c r="D95" s="236">
        <f>'B) D RI'!AR96</f>
        <v>495</v>
      </c>
      <c r="E95" s="243">
        <f>'D) Ecrêtage'!M94</f>
        <v>19291.965896103895</v>
      </c>
      <c r="F95" s="246">
        <f>'E) Fact soc'!G100</f>
        <v>303105.02693229367</v>
      </c>
      <c r="G95" s="246">
        <f>'H) Péréquation directe'!I105</f>
        <v>278593.02483708359</v>
      </c>
      <c r="H95" s="246">
        <f>'I) Dépenses thématiques'!O94</f>
        <v>-65527.792655603364</v>
      </c>
      <c r="I95" s="246">
        <f>'K) Plafonnement aide'!J94</f>
        <v>0</v>
      </c>
      <c r="J95" s="246">
        <f>'J) Plafonnement effort'!I94</f>
        <v>0</v>
      </c>
      <c r="K95" s="246">
        <f>'L) Plafonnement taux'!Q95</f>
        <v>0</v>
      </c>
      <c r="L95" s="332">
        <f t="shared" si="2"/>
        <v>516170.25911377382</v>
      </c>
      <c r="M95" s="332">
        <f>'M) Police'!O95</f>
        <v>58884.69109940304</v>
      </c>
      <c r="N95" s="332">
        <f t="shared" si="3"/>
        <v>575054.9502131769</v>
      </c>
      <c r="P95" s="445"/>
    </row>
    <row r="96" spans="1:16" s="237" customFormat="1" x14ac:dyDescent="0.25">
      <c r="A96" s="234">
        <f>'B) D RI'!A97</f>
        <v>5552</v>
      </c>
      <c r="B96" s="235" t="str">
        <f>'B) D RI'!B97</f>
        <v>Bullet</v>
      </c>
      <c r="C96" s="402">
        <f>'B) D RI'!S97</f>
        <v>70</v>
      </c>
      <c r="D96" s="236">
        <f>'B) D RI'!AR97</f>
        <v>629</v>
      </c>
      <c r="E96" s="243">
        <f>'D) Ecrêtage'!M95</f>
        <v>15735.537571428569</v>
      </c>
      <c r="F96" s="246">
        <f>'E) Fact soc'!G101</f>
        <v>323372.16718541773</v>
      </c>
      <c r="G96" s="246">
        <f>'H) Péréquation directe'!I106</f>
        <v>-4976.8424975384842</v>
      </c>
      <c r="H96" s="246">
        <f>'I) Dépenses thématiques'!O95</f>
        <v>-183675.94738939119</v>
      </c>
      <c r="I96" s="246">
        <f>'K) Plafonnement aide'!J95</f>
        <v>0</v>
      </c>
      <c r="J96" s="246">
        <f>'J) Plafonnement effort'!I95</f>
        <v>0</v>
      </c>
      <c r="K96" s="246">
        <f>'L) Plafonnement taux'!Q96</f>
        <v>0</v>
      </c>
      <c r="L96" s="332">
        <f t="shared" si="2"/>
        <v>134719.37729848805</v>
      </c>
      <c r="M96" s="332">
        <f>'M) Police'!O96</f>
        <v>48514.975585754917</v>
      </c>
      <c r="N96" s="332">
        <f t="shared" si="3"/>
        <v>183234.35288424295</v>
      </c>
      <c r="P96" s="445"/>
    </row>
    <row r="97" spans="1:16" s="237" customFormat="1" x14ac:dyDescent="0.25">
      <c r="A97" s="234">
        <f>'B) D RI'!A98</f>
        <v>5553</v>
      </c>
      <c r="B97" s="235" t="str">
        <f>'B) D RI'!B98</f>
        <v>Champagne</v>
      </c>
      <c r="C97" s="402">
        <f>'B) D RI'!S98</f>
        <v>63</v>
      </c>
      <c r="D97" s="236">
        <f>'B) D RI'!AR98</f>
        <v>1027</v>
      </c>
      <c r="E97" s="243">
        <f>'D) Ecrêtage'!M96</f>
        <v>33369.783650793652</v>
      </c>
      <c r="F97" s="246">
        <f>'E) Fact soc'!G102</f>
        <v>653508.84100566665</v>
      </c>
      <c r="G97" s="246">
        <f>'H) Péréquation directe'!I107</f>
        <v>322396.13807739853</v>
      </c>
      <c r="H97" s="246">
        <f>'I) Dépenses thématiques'!O96</f>
        <v>-329582.26666990406</v>
      </c>
      <c r="I97" s="246">
        <f>'K) Plafonnement aide'!J96</f>
        <v>0</v>
      </c>
      <c r="J97" s="246">
        <f>'J) Plafonnement effort'!I96</f>
        <v>0</v>
      </c>
      <c r="K97" s="246">
        <f>'L) Plafonnement taux'!Q97</f>
        <v>0</v>
      </c>
      <c r="L97" s="332">
        <f t="shared" si="2"/>
        <v>646322.71241316106</v>
      </c>
      <c r="M97" s="332">
        <f>'M) Police'!O97</f>
        <v>103061.24582495402</v>
      </c>
      <c r="N97" s="332">
        <f t="shared" si="3"/>
        <v>749383.95823811507</v>
      </c>
      <c r="P97" s="445"/>
    </row>
    <row r="98" spans="1:16" s="237" customFormat="1" x14ac:dyDescent="0.25">
      <c r="A98" s="234">
        <f>'B) D RI'!A99</f>
        <v>5554</v>
      </c>
      <c r="B98" s="235" t="str">
        <f>'B) D RI'!B99</f>
        <v>Concise</v>
      </c>
      <c r="C98" s="402">
        <f>'B) D RI'!S99</f>
        <v>75</v>
      </c>
      <c r="D98" s="236">
        <f>'B) D RI'!AR99</f>
        <v>960</v>
      </c>
      <c r="E98" s="243">
        <f>'D) Ecrêtage'!M97</f>
        <v>28986.7088</v>
      </c>
      <c r="F98" s="246">
        <f>'E) Fact soc'!G103</f>
        <v>502053.16020774131</v>
      </c>
      <c r="G98" s="246">
        <f>'H) Péréquation directe'!I108</f>
        <v>143329.58550371107</v>
      </c>
      <c r="H98" s="246">
        <f>'I) Dépenses thématiques'!O97</f>
        <v>-98669.502448462634</v>
      </c>
      <c r="I98" s="246">
        <f>'K) Plafonnement aide'!J97</f>
        <v>0</v>
      </c>
      <c r="J98" s="246">
        <f>'J) Plafonnement effort'!I97</f>
        <v>0</v>
      </c>
      <c r="K98" s="246">
        <f>'L) Plafonnement taux'!Q98</f>
        <v>0</v>
      </c>
      <c r="L98" s="332">
        <f t="shared" si="2"/>
        <v>546713.24326298968</v>
      </c>
      <c r="M98" s="332">
        <f>'M) Police'!O98</f>
        <v>90531.249232231334</v>
      </c>
      <c r="N98" s="332">
        <f t="shared" si="3"/>
        <v>637244.49249522097</v>
      </c>
      <c r="P98" s="445"/>
    </row>
    <row r="99" spans="1:16" s="237" customFormat="1" x14ac:dyDescent="0.25">
      <c r="A99" s="234">
        <f>'B) D RI'!A100</f>
        <v>5555</v>
      </c>
      <c r="B99" s="235" t="str">
        <f>'B) D RI'!B100</f>
        <v>Corcelles-près-Concise</v>
      </c>
      <c r="C99" s="402">
        <f>'B) D RI'!S100</f>
        <v>71</v>
      </c>
      <c r="D99" s="236">
        <f>'B) D RI'!AR100</f>
        <v>379</v>
      </c>
      <c r="E99" s="243">
        <f>'D) Ecrêtage'!M98</f>
        <v>11040.372394366199</v>
      </c>
      <c r="F99" s="246">
        <f>'E) Fact soc'!G104</f>
        <v>203259.73240392149</v>
      </c>
      <c r="G99" s="246">
        <f>'H) Péréquation directe'!I109</f>
        <v>53269.939986362646</v>
      </c>
      <c r="H99" s="246">
        <f>'I) Dépenses thématiques'!O98</f>
        <v>-97855.831154028667</v>
      </c>
      <c r="I99" s="246">
        <f>'K) Plafonnement aide'!J98</f>
        <v>0</v>
      </c>
      <c r="J99" s="246">
        <f>'J) Plafonnement effort'!I98</f>
        <v>0</v>
      </c>
      <c r="K99" s="246">
        <f>'L) Plafonnement taux'!Q99</f>
        <v>0</v>
      </c>
      <c r="L99" s="332">
        <f t="shared" si="2"/>
        <v>158673.84123625548</v>
      </c>
      <c r="M99" s="332">
        <f>'M) Police'!O99</f>
        <v>34095.415069977033</v>
      </c>
      <c r="N99" s="332">
        <f t="shared" si="3"/>
        <v>192769.25630623251</v>
      </c>
      <c r="P99" s="445"/>
    </row>
    <row r="100" spans="1:16" s="237" customFormat="1" x14ac:dyDescent="0.25">
      <c r="A100" s="234">
        <f>'B) D RI'!A101</f>
        <v>5556</v>
      </c>
      <c r="B100" s="235" t="str">
        <f>'B) D RI'!B101</f>
        <v>Fiez</v>
      </c>
      <c r="C100" s="402">
        <f>'B) D RI'!S101</f>
        <v>69</v>
      </c>
      <c r="D100" s="236">
        <f>'B) D RI'!AR101</f>
        <v>427</v>
      </c>
      <c r="E100" s="243">
        <f>'D) Ecrêtage'!M99</f>
        <v>12472.754202898552</v>
      </c>
      <c r="F100" s="246">
        <f>'E) Fact soc'!G105</f>
        <v>207831.82045070457</v>
      </c>
      <c r="G100" s="246">
        <f>'H) Péréquation directe'!I110</f>
        <v>68449.91217691591</v>
      </c>
      <c r="H100" s="246">
        <f>'I) Dépenses thématiques'!O99</f>
        <v>-37262.331186045354</v>
      </c>
      <c r="I100" s="246">
        <f>'K) Plafonnement aide'!J99</f>
        <v>0</v>
      </c>
      <c r="J100" s="246">
        <f>'J) Plafonnement effort'!I99</f>
        <v>0</v>
      </c>
      <c r="K100" s="246">
        <f>'L) Plafonnement taux'!Q100</f>
        <v>0</v>
      </c>
      <c r="L100" s="332">
        <f t="shared" si="2"/>
        <v>239019.40144157509</v>
      </c>
      <c r="M100" s="332">
        <f>'M) Police'!O100</f>
        <v>39034.588315969624</v>
      </c>
      <c r="N100" s="332">
        <f t="shared" si="3"/>
        <v>278053.98975754471</v>
      </c>
      <c r="P100" s="445"/>
    </row>
    <row r="101" spans="1:16" s="237" customFormat="1" x14ac:dyDescent="0.25">
      <c r="A101" s="234">
        <f>'B) D RI'!A102</f>
        <v>5557</v>
      </c>
      <c r="B101" s="235" t="str">
        <f>'B) D RI'!B102</f>
        <v>Fontaines-sur-Grandson</v>
      </c>
      <c r="C101" s="402">
        <f>'B) D RI'!S102</f>
        <v>69</v>
      </c>
      <c r="D101" s="236">
        <f>'B) D RI'!AR102</f>
        <v>200</v>
      </c>
      <c r="E101" s="243">
        <f>'D) Ecrêtage'!M100</f>
        <v>4030.2872463768117</v>
      </c>
      <c r="F101" s="246">
        <f>'E) Fact soc'!G106</f>
        <v>76680.734135617327</v>
      </c>
      <c r="G101" s="246">
        <f>'H) Péréquation directe'!I111</f>
        <v>-36037.122752782991</v>
      </c>
      <c r="H101" s="246">
        <f>'I) Dépenses thématiques'!O100</f>
        <v>-34754.906451877527</v>
      </c>
      <c r="I101" s="246">
        <f>'K) Plafonnement aide'!J100</f>
        <v>0</v>
      </c>
      <c r="J101" s="246">
        <f>'J) Plafonnement effort'!I100</f>
        <v>0</v>
      </c>
      <c r="K101" s="246">
        <f>'L) Plafonnement taux'!Q101</f>
        <v>0</v>
      </c>
      <c r="L101" s="332">
        <f t="shared" si="2"/>
        <v>5888.7049309568101</v>
      </c>
      <c r="M101" s="332">
        <f>'M) Police'!O101</f>
        <v>12340.244769022484</v>
      </c>
      <c r="N101" s="332">
        <f t="shared" si="3"/>
        <v>18228.949699979294</v>
      </c>
      <c r="P101" s="445"/>
    </row>
    <row r="102" spans="1:16" s="237" customFormat="1" x14ac:dyDescent="0.25">
      <c r="A102" s="234">
        <f>'B) D RI'!A103</f>
        <v>5559</v>
      </c>
      <c r="B102" s="235" t="str">
        <f>'B) D RI'!B103</f>
        <v>Giez</v>
      </c>
      <c r="C102" s="402">
        <f>'B) D RI'!S103</f>
        <v>66</v>
      </c>
      <c r="D102" s="236">
        <f>'B) D RI'!AR103</f>
        <v>408</v>
      </c>
      <c r="E102" s="243">
        <f>'D) Ecrêtage'!M101</f>
        <v>18149.138484848489</v>
      </c>
      <c r="F102" s="246">
        <f>'E) Fact soc'!G107</f>
        <v>433746.4261541235</v>
      </c>
      <c r="G102" s="246">
        <f>'H) Péréquation directe'!I112</f>
        <v>296608.62528361665</v>
      </c>
      <c r="H102" s="246">
        <f>'I) Dépenses thématiques'!O101</f>
        <v>0</v>
      </c>
      <c r="I102" s="246">
        <f>'K) Plafonnement aide'!J101</f>
        <v>0</v>
      </c>
      <c r="J102" s="246">
        <f>'J) Plafonnement effort'!I101</f>
        <v>0</v>
      </c>
      <c r="K102" s="246">
        <f>'L) Plafonnement taux'!Q102</f>
        <v>0</v>
      </c>
      <c r="L102" s="332">
        <f t="shared" si="2"/>
        <v>730355.05143774021</v>
      </c>
      <c r="M102" s="332">
        <f>'M) Police'!O102</f>
        <v>56912.8861782206</v>
      </c>
      <c r="N102" s="332">
        <f t="shared" si="3"/>
        <v>787267.93761596084</v>
      </c>
      <c r="P102" s="445"/>
    </row>
    <row r="103" spans="1:16" s="237" customFormat="1" x14ac:dyDescent="0.25">
      <c r="A103" s="234">
        <f>'B) D RI'!A104</f>
        <v>5560</v>
      </c>
      <c r="B103" s="235" t="str">
        <f>'B) D RI'!B104</f>
        <v>Grandevent</v>
      </c>
      <c r="C103" s="402">
        <f>'B) D RI'!S104</f>
        <v>68</v>
      </c>
      <c r="D103" s="236">
        <f>'B) D RI'!AR104</f>
        <v>232</v>
      </c>
      <c r="E103" s="243">
        <f>'D) Ecrêtage'!M102</f>
        <v>6446.6273529411765</v>
      </c>
      <c r="F103" s="246">
        <f>'E) Fact soc'!G108</f>
        <v>100472.61183010944</v>
      </c>
      <c r="G103" s="246">
        <f>'H) Péréquation directe'!I113</f>
        <v>26853.267775875953</v>
      </c>
      <c r="H103" s="246">
        <f>'I) Dépenses thématiques'!O102</f>
        <v>-18063.950634282297</v>
      </c>
      <c r="I103" s="246">
        <f>'K) Plafonnement aide'!J102</f>
        <v>0</v>
      </c>
      <c r="J103" s="246">
        <f>'J) Plafonnement effort'!I102</f>
        <v>0</v>
      </c>
      <c r="K103" s="246">
        <f>'L) Plafonnement taux'!Q103</f>
        <v>0</v>
      </c>
      <c r="L103" s="332">
        <f t="shared" si="2"/>
        <v>109261.92897170309</v>
      </c>
      <c r="M103" s="332">
        <f>'M) Police'!O103</f>
        <v>19968.536784223354</v>
      </c>
      <c r="N103" s="332">
        <f t="shared" si="3"/>
        <v>129230.46575592645</v>
      </c>
      <c r="P103" s="445"/>
    </row>
    <row r="104" spans="1:16" s="237" customFormat="1" x14ac:dyDescent="0.25">
      <c r="A104" s="234">
        <f>'B) D RI'!A105</f>
        <v>5561</v>
      </c>
      <c r="B104" s="235" t="str">
        <f>'B) D RI'!B105</f>
        <v>Grandson</v>
      </c>
      <c r="C104" s="402">
        <f>'B) D RI'!S105</f>
        <v>69</v>
      </c>
      <c r="D104" s="236">
        <f>'B) D RI'!AR105</f>
        <v>3313</v>
      </c>
      <c r="E104" s="243">
        <f>'D) Ecrêtage'!M103</f>
        <v>115170.40130434782</v>
      </c>
      <c r="F104" s="246">
        <f>'E) Fact soc'!G109</f>
        <v>2130045.2847449514</v>
      </c>
      <c r="G104" s="246">
        <f>'H) Péréquation directe'!I114</f>
        <v>606178.67284437502</v>
      </c>
      <c r="H104" s="246">
        <f>'I) Dépenses thématiques'!O103</f>
        <v>-725026.37683179392</v>
      </c>
      <c r="I104" s="246">
        <f>'K) Plafonnement aide'!J103</f>
        <v>0</v>
      </c>
      <c r="J104" s="246">
        <f>'J) Plafonnement effort'!I103</f>
        <v>0</v>
      </c>
      <c r="K104" s="246">
        <f>'L) Plafonnement taux'!Q104</f>
        <v>0</v>
      </c>
      <c r="L104" s="332">
        <f t="shared" si="2"/>
        <v>2011197.5807575325</v>
      </c>
      <c r="M104" s="332">
        <f>'M) Police'!O104</f>
        <v>361118.55059431348</v>
      </c>
      <c r="N104" s="332">
        <f t="shared" si="3"/>
        <v>2372316.1313518458</v>
      </c>
      <c r="P104" s="445"/>
    </row>
    <row r="105" spans="1:16" s="237" customFormat="1" x14ac:dyDescent="0.25">
      <c r="A105" s="234">
        <f>'B) D RI'!A106</f>
        <v>5562</v>
      </c>
      <c r="B105" s="235" t="str">
        <f>'B) D RI'!B106</f>
        <v>Mauborget</v>
      </c>
      <c r="C105" s="402">
        <f>'B) D RI'!S106</f>
        <v>70</v>
      </c>
      <c r="D105" s="236">
        <f>'B) D RI'!AR106</f>
        <v>123</v>
      </c>
      <c r="E105" s="243">
        <f>'D) Ecrêtage'!M104</f>
        <v>3662.5545714285713</v>
      </c>
      <c r="F105" s="246">
        <f>'E) Fact soc'!G110</f>
        <v>61733.751425373994</v>
      </c>
      <c r="G105" s="246">
        <f>'H) Péréquation directe'!I115</f>
        <v>21358.885791821202</v>
      </c>
      <c r="H105" s="246">
        <f>'I) Dépenses thématiques'!O104</f>
        <v>-19275.697598514766</v>
      </c>
      <c r="I105" s="246">
        <f>'K) Plafonnement aide'!J104</f>
        <v>0</v>
      </c>
      <c r="J105" s="246">
        <f>'J) Plafonnement effort'!I104</f>
        <v>0</v>
      </c>
      <c r="K105" s="246">
        <f>'L) Plafonnement taux'!Q105</f>
        <v>0</v>
      </c>
      <c r="L105" s="332">
        <f t="shared" si="2"/>
        <v>63816.93961868043</v>
      </c>
      <c r="M105" s="332">
        <f>'M) Police'!O105</f>
        <v>11144.944494430707</v>
      </c>
      <c r="N105" s="332">
        <f t="shared" si="3"/>
        <v>74961.88411311114</v>
      </c>
      <c r="P105" s="445"/>
    </row>
    <row r="106" spans="1:16" s="237" customFormat="1" x14ac:dyDescent="0.25">
      <c r="A106" s="234">
        <f>'B) D RI'!A107</f>
        <v>5563</v>
      </c>
      <c r="B106" s="235" t="str">
        <f>'B) D RI'!B107</f>
        <v>Mutrux</v>
      </c>
      <c r="C106" s="402">
        <f>'B) D RI'!S107</f>
        <v>78.5</v>
      </c>
      <c r="D106" s="236">
        <f>'B) D RI'!AR107</f>
        <v>162</v>
      </c>
      <c r="E106" s="243">
        <f>'D) Ecrêtage'!M105</f>
        <v>4275.1686624203812</v>
      </c>
      <c r="F106" s="246">
        <f>'E) Fact soc'!G111</f>
        <v>76108.817277359136</v>
      </c>
      <c r="G106" s="246">
        <f>'H) Péréquation directe'!I116</f>
        <v>-7266.0655563485925</v>
      </c>
      <c r="H106" s="246">
        <f>'I) Dépenses thématiques'!O105</f>
        <v>-21000.163039358304</v>
      </c>
      <c r="I106" s="246">
        <f>'K) Plafonnement aide'!J105</f>
        <v>0</v>
      </c>
      <c r="J106" s="246">
        <f>'J) Plafonnement effort'!I105</f>
        <v>0</v>
      </c>
      <c r="K106" s="246">
        <f>'L) Plafonnement taux'!Q106</f>
        <v>0</v>
      </c>
      <c r="L106" s="332">
        <f t="shared" si="2"/>
        <v>47842.58868165224</v>
      </c>
      <c r="M106" s="332">
        <f>'M) Police'!O106</f>
        <v>13509.261761791584</v>
      </c>
      <c r="N106" s="332">
        <f t="shared" si="3"/>
        <v>61351.850443443822</v>
      </c>
      <c r="P106" s="445"/>
    </row>
    <row r="107" spans="1:16" s="237" customFormat="1" x14ac:dyDescent="0.25">
      <c r="A107" s="234">
        <f>'B) D RI'!A108</f>
        <v>5564</v>
      </c>
      <c r="B107" s="235" t="str">
        <f>'B) D RI'!B108</f>
        <v>Novalles</v>
      </c>
      <c r="C107" s="402">
        <f>'B) D RI'!S108</f>
        <v>76</v>
      </c>
      <c r="D107" s="236">
        <f>'B) D RI'!AR108</f>
        <v>101</v>
      </c>
      <c r="E107" s="243">
        <f>'D) Ecrêtage'!M106</f>
        <v>2063.0078618421053</v>
      </c>
      <c r="F107" s="246">
        <f>'E) Fact soc'!G112</f>
        <v>45222.974188640379</v>
      </c>
      <c r="G107" s="246">
        <f>'H) Péréquation directe'!I117</f>
        <v>-26854.549637302262</v>
      </c>
      <c r="H107" s="246">
        <f>'I) Dépenses thématiques'!O106</f>
        <v>-9427.4148153849164</v>
      </c>
      <c r="I107" s="246">
        <f>'K) Plafonnement aide'!J106</f>
        <v>0</v>
      </c>
      <c r="J107" s="246">
        <f>'J) Plafonnement effort'!I106</f>
        <v>0</v>
      </c>
      <c r="K107" s="246">
        <f>'L) Plafonnement taux'!Q107</f>
        <v>0</v>
      </c>
      <c r="L107" s="332">
        <f t="shared" si="2"/>
        <v>8941.009735953201</v>
      </c>
      <c r="M107" s="332">
        <f>'M) Police'!O107</f>
        <v>6444.6273665983226</v>
      </c>
      <c r="N107" s="332">
        <f t="shared" si="3"/>
        <v>15385.637102551524</v>
      </c>
      <c r="P107" s="445"/>
    </row>
    <row r="108" spans="1:16" s="237" customFormat="1" x14ac:dyDescent="0.25">
      <c r="A108" s="234">
        <f>'B) D RI'!A109</f>
        <v>5565</v>
      </c>
      <c r="B108" s="235" t="str">
        <f>'B) D RI'!B109</f>
        <v>Onnens</v>
      </c>
      <c r="C108" s="402">
        <f>'B) D RI'!S109</f>
        <v>65</v>
      </c>
      <c r="D108" s="236">
        <f>'B) D RI'!AR109</f>
        <v>500</v>
      </c>
      <c r="E108" s="243">
        <f>'D) Ecrêtage'!M107</f>
        <v>17902.806410256413</v>
      </c>
      <c r="F108" s="246">
        <f>'E) Fact soc'!G113</f>
        <v>280196.99992122973</v>
      </c>
      <c r="G108" s="246">
        <f>'H) Péréquation directe'!I118</f>
        <v>212981.03877158332</v>
      </c>
      <c r="H108" s="246">
        <f>'I) Dépenses thématiques'!O107</f>
        <v>-57441.547614720308</v>
      </c>
      <c r="I108" s="246">
        <f>'K) Plafonnement aide'!J107</f>
        <v>0</v>
      </c>
      <c r="J108" s="246">
        <f>'J) Plafonnement effort'!I107</f>
        <v>0</v>
      </c>
      <c r="K108" s="246">
        <f>'L) Plafonnement taux'!Q108</f>
        <v>0</v>
      </c>
      <c r="L108" s="332">
        <f t="shared" si="2"/>
        <v>435736.49107809272</v>
      </c>
      <c r="M108" s="332">
        <f>'M) Police'!O108</f>
        <v>54520.55147457523</v>
      </c>
      <c r="N108" s="332">
        <f t="shared" si="3"/>
        <v>490257.04255266796</v>
      </c>
      <c r="P108" s="445"/>
    </row>
    <row r="109" spans="1:16" s="237" customFormat="1" x14ac:dyDescent="0.25">
      <c r="A109" s="234">
        <f>'B) D RI'!A110</f>
        <v>5566</v>
      </c>
      <c r="B109" s="235" t="str">
        <f>'B) D RI'!B110</f>
        <v>Provence</v>
      </c>
      <c r="C109" s="402">
        <f>'B) D RI'!S110</f>
        <v>81</v>
      </c>
      <c r="D109" s="236">
        <f>'B) D RI'!AR110</f>
        <v>390</v>
      </c>
      <c r="E109" s="243">
        <f>'D) Ecrêtage'!M108</f>
        <v>8605.0976954732487</v>
      </c>
      <c r="F109" s="246">
        <f>'E) Fact soc'!G114</f>
        <v>173945.73456972721</v>
      </c>
      <c r="G109" s="246">
        <f>'H) Péréquation directe'!I119</f>
        <v>-104040.09941466263</v>
      </c>
      <c r="H109" s="246">
        <f>'I) Dépenses thématiques'!O108</f>
        <v>-124606.39380641292</v>
      </c>
      <c r="I109" s="246">
        <f>'K) Plafonnement aide'!J108</f>
        <v>0</v>
      </c>
      <c r="J109" s="246">
        <f>'J) Plafonnement effort'!I108</f>
        <v>0</v>
      </c>
      <c r="K109" s="246">
        <f>'L) Plafonnement taux'!Q109</f>
        <v>0</v>
      </c>
      <c r="L109" s="332">
        <f t="shared" si="2"/>
        <v>-54700.75865134834</v>
      </c>
      <c r="M109" s="332">
        <f>'M) Police'!O109</f>
        <v>26919.629067575635</v>
      </c>
      <c r="N109" s="332">
        <f t="shared" si="3"/>
        <v>-27781.129583772705</v>
      </c>
      <c r="P109" s="445"/>
    </row>
    <row r="110" spans="1:16" s="237" customFormat="1" x14ac:dyDescent="0.25">
      <c r="A110" s="234">
        <f>'B) D RI'!A111</f>
        <v>5568</v>
      </c>
      <c r="B110" s="235" t="str">
        <f>'B) D RI'!B111</f>
        <v>Sainte-Croix</v>
      </c>
      <c r="C110" s="402">
        <f>'B) D RI'!S111</f>
        <v>70</v>
      </c>
      <c r="D110" s="236">
        <f>'B) D RI'!AR111</f>
        <v>4851</v>
      </c>
      <c r="E110" s="243">
        <f>'D) Ecrêtage'!M109</f>
        <v>96229.339714285714</v>
      </c>
      <c r="F110" s="246">
        <f>'E) Fact soc'!G115</f>
        <v>2289364.9719642568</v>
      </c>
      <c r="G110" s="246">
        <f>'H) Péréquation directe'!I120</f>
        <v>-2219711.6106971907</v>
      </c>
      <c r="H110" s="246">
        <f>'I) Dépenses thématiques'!O109</f>
        <v>-987572.66365847469</v>
      </c>
      <c r="I110" s="246">
        <f>'K) Plafonnement aide'!J109</f>
        <v>0</v>
      </c>
      <c r="J110" s="246">
        <f>'J) Plafonnement effort'!I109</f>
        <v>0</v>
      </c>
      <c r="K110" s="246">
        <f>'L) Plafonnement taux'!Q110</f>
        <v>0</v>
      </c>
      <c r="L110" s="332">
        <f t="shared" si="2"/>
        <v>-917919.30239140859</v>
      </c>
      <c r="M110" s="332">
        <f>'M) Police'!O110</f>
        <v>299189.17546856531</v>
      </c>
      <c r="N110" s="332">
        <f t="shared" si="3"/>
        <v>-618730.12692284328</v>
      </c>
      <c r="P110" s="445"/>
    </row>
    <row r="111" spans="1:16" s="237" customFormat="1" x14ac:dyDescent="0.25">
      <c r="A111" s="234">
        <f>'B) D RI'!A112</f>
        <v>5571</v>
      </c>
      <c r="B111" s="235" t="str">
        <f>'B) D RI'!B112</f>
        <v>Tévenon</v>
      </c>
      <c r="C111" s="402">
        <f>'B) D RI'!S112</f>
        <v>73</v>
      </c>
      <c r="D111" s="236">
        <f>'B) D RI'!AR112</f>
        <v>791</v>
      </c>
      <c r="E111" s="243">
        <f>'D) Ecrêtage'!M110</f>
        <v>20963.465799086756</v>
      </c>
      <c r="F111" s="246">
        <f>'E) Fact soc'!G116</f>
        <v>505579.61725337786</v>
      </c>
      <c r="G111" s="246">
        <f>'H) Péréquation directe'!I121</f>
        <v>14707.97067063814</v>
      </c>
      <c r="H111" s="246">
        <f>'I) Dépenses thématiques'!O110</f>
        <v>-126882.81744033775</v>
      </c>
      <c r="I111" s="246">
        <f>'K) Plafonnement aide'!J110</f>
        <v>0</v>
      </c>
      <c r="J111" s="246">
        <f>'J) Plafonnement effort'!I110</f>
        <v>0</v>
      </c>
      <c r="K111" s="246">
        <f>'L) Plafonnement taux'!Q111</f>
        <v>0</v>
      </c>
      <c r="L111" s="332">
        <f t="shared" si="2"/>
        <v>393404.77048367827</v>
      </c>
      <c r="M111" s="332">
        <f>'M) Police'!O111</f>
        <v>64992.652522058575</v>
      </c>
      <c r="N111" s="332">
        <f t="shared" si="3"/>
        <v>458397.42300573684</v>
      </c>
      <c r="P111" s="445"/>
    </row>
    <row r="112" spans="1:16" s="237" customFormat="1" x14ac:dyDescent="0.25">
      <c r="A112" s="234">
        <f>'B) D RI'!A113</f>
        <v>5581</v>
      </c>
      <c r="B112" s="235" t="str">
        <f>'B) D RI'!B113</f>
        <v>Belmont-sur-Lausanne</v>
      </c>
      <c r="C112" s="402">
        <f>'B) D RI'!S113</f>
        <v>69.5</v>
      </c>
      <c r="D112" s="236">
        <f>'B) D RI'!AR113</f>
        <v>3564</v>
      </c>
      <c r="E112" s="243">
        <f>'D) Ecrêtage'!M111</f>
        <v>187042.91923261393</v>
      </c>
      <c r="F112" s="246">
        <f>'E) Fact soc'!G117</f>
        <v>3066152.9387613223</v>
      </c>
      <c r="G112" s="246">
        <f>'H) Péréquation directe'!I122</f>
        <v>2404611.3963152943</v>
      </c>
      <c r="H112" s="246">
        <f>'I) Dépenses thématiques'!O111</f>
        <v>-582158.63657443889</v>
      </c>
      <c r="I112" s="246">
        <f>'K) Plafonnement aide'!J111</f>
        <v>0</v>
      </c>
      <c r="J112" s="246">
        <f>'J) Plafonnement effort'!I111</f>
        <v>0</v>
      </c>
      <c r="K112" s="246">
        <f>'L) Plafonnement taux'!Q112</f>
        <v>0</v>
      </c>
      <c r="L112" s="332">
        <f t="shared" si="2"/>
        <v>4888605.6985021783</v>
      </c>
      <c r="M112" s="332">
        <f>'M) Police'!O112</f>
        <v>239484.6713147588</v>
      </c>
      <c r="N112" s="332">
        <f t="shared" si="3"/>
        <v>5128090.3698169375</v>
      </c>
      <c r="P112" s="445"/>
    </row>
    <row r="113" spans="1:16" s="237" customFormat="1" x14ac:dyDescent="0.25">
      <c r="A113" s="234">
        <f>'B) D RI'!A114</f>
        <v>5582</v>
      </c>
      <c r="B113" s="235" t="str">
        <f>'B) D RI'!B114</f>
        <v>Cheseaux-sur-Lausanne</v>
      </c>
      <c r="C113" s="402">
        <f>'B) D RI'!S114</f>
        <v>74.5</v>
      </c>
      <c r="D113" s="236">
        <f>'B) D RI'!AR114</f>
        <v>4347</v>
      </c>
      <c r="E113" s="243">
        <f>'D) Ecrêtage'!M112</f>
        <v>203617.184295302</v>
      </c>
      <c r="F113" s="246">
        <f>'E) Fact soc'!G118</f>
        <v>3436447.2175521576</v>
      </c>
      <c r="G113" s="246">
        <f>'H) Péréquation directe'!I123</f>
        <v>2326231.0251927385</v>
      </c>
      <c r="H113" s="246">
        <f>'I) Dépenses thématiques'!O112</f>
        <v>-58754.679881718737</v>
      </c>
      <c r="I113" s="246">
        <f>'K) Plafonnement aide'!J112</f>
        <v>0</v>
      </c>
      <c r="J113" s="246">
        <f>'J) Plafonnement effort'!I112</f>
        <v>0</v>
      </c>
      <c r="K113" s="246">
        <f>'L) Plafonnement taux'!Q113</f>
        <v>0</v>
      </c>
      <c r="L113" s="332">
        <f t="shared" si="2"/>
        <v>5703923.5628631776</v>
      </c>
      <c r="M113" s="332">
        <f>'M) Police'!O113</f>
        <v>638968.02024598664</v>
      </c>
      <c r="N113" s="332">
        <f t="shared" si="3"/>
        <v>6342891.5831091646</v>
      </c>
      <c r="P113" s="445"/>
    </row>
    <row r="114" spans="1:16" s="237" customFormat="1" x14ac:dyDescent="0.25">
      <c r="A114" s="234">
        <f>'B) D RI'!A115</f>
        <v>5583</v>
      </c>
      <c r="B114" s="235" t="str">
        <f>'B) D RI'!B115</f>
        <v>Crissier</v>
      </c>
      <c r="C114" s="402">
        <f>'B) D RI'!S115</f>
        <v>65</v>
      </c>
      <c r="D114" s="236">
        <f>'B) D RI'!AR115</f>
        <v>7636</v>
      </c>
      <c r="E114" s="243">
        <f>'D) Ecrêtage'!M113</f>
        <v>311741.22092307697</v>
      </c>
      <c r="F114" s="246">
        <f>'E) Fact soc'!G119</f>
        <v>5412402.4601610294</v>
      </c>
      <c r="G114" s="246">
        <f>'H) Péréquation directe'!I124</f>
        <v>2030097.6073900289</v>
      </c>
      <c r="H114" s="246">
        <f>'I) Dépenses thématiques'!O113</f>
        <v>-2099796.7350216894</v>
      </c>
      <c r="I114" s="246">
        <f>'K) Plafonnement aide'!J113</f>
        <v>0</v>
      </c>
      <c r="J114" s="246">
        <f>'J) Plafonnement effort'!I113</f>
        <v>0</v>
      </c>
      <c r="K114" s="246">
        <f>'L) Plafonnement taux'!Q114</f>
        <v>0</v>
      </c>
      <c r="L114" s="332">
        <f t="shared" si="2"/>
        <v>5342703.3325293679</v>
      </c>
      <c r="M114" s="332">
        <f>'M) Police'!O114</f>
        <v>399144.98840331938</v>
      </c>
      <c r="N114" s="332">
        <f t="shared" si="3"/>
        <v>5741848.3209326873</v>
      </c>
      <c r="P114" s="445"/>
    </row>
    <row r="115" spans="1:16" s="237" customFormat="1" x14ac:dyDescent="0.25">
      <c r="A115" s="234">
        <f>'B) D RI'!A116</f>
        <v>5584</v>
      </c>
      <c r="B115" s="235" t="str">
        <f>'B) D RI'!B116</f>
        <v>Epalinges</v>
      </c>
      <c r="C115" s="402">
        <f>'B) D RI'!S116</f>
        <v>66</v>
      </c>
      <c r="D115" s="236">
        <f>'B) D RI'!AR116</f>
        <v>9297</v>
      </c>
      <c r="E115" s="243">
        <f>'D) Ecrêtage'!M114</f>
        <v>455692.51</v>
      </c>
      <c r="F115" s="246">
        <f>'E) Fact soc'!G120</f>
        <v>8945706.7505870461</v>
      </c>
      <c r="G115" s="246">
        <f>'H) Péréquation directe'!I125</f>
        <v>4067561.2083194777</v>
      </c>
      <c r="H115" s="246">
        <f>'I) Dépenses thématiques'!O114</f>
        <v>-2900481.4737923509</v>
      </c>
      <c r="I115" s="246">
        <f>'K) Plafonnement aide'!J114</f>
        <v>0</v>
      </c>
      <c r="J115" s="246">
        <f>'J) Plafonnement effort'!I114</f>
        <v>0</v>
      </c>
      <c r="K115" s="246">
        <f>'L) Plafonnement taux'!Q115</f>
        <v>0</v>
      </c>
      <c r="L115" s="332">
        <f t="shared" si="2"/>
        <v>10112786.485114172</v>
      </c>
      <c r="M115" s="332">
        <f>'M) Police'!O115</f>
        <v>1392451.6696078116</v>
      </c>
      <c r="N115" s="332">
        <f t="shared" si="3"/>
        <v>11505238.154721983</v>
      </c>
      <c r="P115" s="445"/>
    </row>
    <row r="116" spans="1:16" s="237" customFormat="1" x14ac:dyDescent="0.25">
      <c r="A116" s="234">
        <f>'B) D RI'!A117</f>
        <v>5585</v>
      </c>
      <c r="B116" s="235" t="str">
        <f>'B) D RI'!B117</f>
        <v>Jouxtens-Mézery</v>
      </c>
      <c r="C116" s="402">
        <f>'B) D RI'!S117</f>
        <v>53</v>
      </c>
      <c r="D116" s="236">
        <f>'B) D RI'!AR117</f>
        <v>1448</v>
      </c>
      <c r="E116" s="243">
        <f>'D) Ecrêtage'!M115</f>
        <v>141606.14993641613</v>
      </c>
      <c r="F116" s="246">
        <f>'E) Fact soc'!G121</f>
        <v>5866842.8831952624</v>
      </c>
      <c r="G116" s="246">
        <f>'H) Péréquation directe'!I126</f>
        <v>2374917.5545980511</v>
      </c>
      <c r="H116" s="246">
        <f>'I) Dépenses thématiques'!O115</f>
        <v>0</v>
      </c>
      <c r="I116" s="246">
        <f>'K) Plafonnement aide'!J115</f>
        <v>0</v>
      </c>
      <c r="J116" s="246">
        <f>'J) Plafonnement effort'!I115</f>
        <v>0</v>
      </c>
      <c r="K116" s="246">
        <f>'L) Plafonnement taux'!Q116</f>
        <v>0</v>
      </c>
      <c r="L116" s="332">
        <f t="shared" si="2"/>
        <v>8241760.4377933135</v>
      </c>
      <c r="M116" s="332">
        <f>'M) Police'!O116</f>
        <v>307309.01983580698</v>
      </c>
      <c r="N116" s="332">
        <f t="shared" si="3"/>
        <v>8549069.45762912</v>
      </c>
      <c r="P116" s="445"/>
    </row>
    <row r="117" spans="1:16" s="237" customFormat="1" x14ac:dyDescent="0.25">
      <c r="A117" s="234">
        <f>'B) D RI'!A118</f>
        <v>5586</v>
      </c>
      <c r="B117" s="235" t="str">
        <f>'B) D RI'!B118</f>
        <v>Lausanne</v>
      </c>
      <c r="C117" s="402">
        <f>'B) D RI'!S118</f>
        <v>79</v>
      </c>
      <c r="D117" s="236">
        <f>'B) D RI'!AR118</f>
        <v>137053</v>
      </c>
      <c r="E117" s="243">
        <f>'D) Ecrêtage'!M116</f>
        <v>6075429.3645991571</v>
      </c>
      <c r="F117" s="246">
        <f>'E) Fact soc'!G122</f>
        <v>104785082.45929937</v>
      </c>
      <c r="G117" s="246">
        <f>'H) Péréquation directe'!I127</f>
        <v>-23208045.405927896</v>
      </c>
      <c r="H117" s="246">
        <f>'I) Dépenses thématiques'!O116</f>
        <v>-43784293.723999262</v>
      </c>
      <c r="I117" s="246">
        <f>'K) Plafonnement aide'!J116</f>
        <v>0</v>
      </c>
      <c r="J117" s="246">
        <f>'J) Plafonnement effort'!I116</f>
        <v>0</v>
      </c>
      <c r="K117" s="246">
        <f>'L) Plafonnement taux'!Q117</f>
        <v>0</v>
      </c>
      <c r="L117" s="332">
        <f t="shared" ref="L117:L170" si="4">F117+G117+H117+I117+J117+K117</f>
        <v>37792743.329372212</v>
      </c>
      <c r="M117" s="332">
        <f>'M) Police'!O117</f>
        <v>7778814.6723031113</v>
      </c>
      <c r="N117" s="332">
        <f t="shared" si="3"/>
        <v>45571558.001675323</v>
      </c>
      <c r="P117" s="445"/>
    </row>
    <row r="118" spans="1:16" s="237" customFormat="1" x14ac:dyDescent="0.25">
      <c r="A118" s="234">
        <f>'B) D RI'!A119</f>
        <v>5587</v>
      </c>
      <c r="B118" s="235" t="str">
        <f>'B) D RI'!B119</f>
        <v>Le Mont-sur-Lausanne</v>
      </c>
      <c r="C118" s="402">
        <f>'B) D RI'!S119</f>
        <v>75</v>
      </c>
      <c r="D118" s="236">
        <f>'B) D RI'!AR119</f>
        <v>7881</v>
      </c>
      <c r="E118" s="243">
        <f>'D) Ecrêtage'!M117</f>
        <v>413343.80273333337</v>
      </c>
      <c r="F118" s="246">
        <f>'E) Fact soc'!G123</f>
        <v>7161514.2582862731</v>
      </c>
      <c r="G118" s="246">
        <f>'H) Péréquation directe'!I128</f>
        <v>4192439.9735663934</v>
      </c>
      <c r="H118" s="246">
        <f>'I) Dépenses thématiques'!O117</f>
        <v>-2102552.4714376</v>
      </c>
      <c r="I118" s="246">
        <f>'K) Plafonnement aide'!J117</f>
        <v>0</v>
      </c>
      <c r="J118" s="246">
        <f>'J) Plafonnement effort'!I117</f>
        <v>0</v>
      </c>
      <c r="K118" s="246">
        <f>'L) Plafonnement taux'!Q118</f>
        <v>0</v>
      </c>
      <c r="L118" s="332">
        <f t="shared" si="4"/>
        <v>9251401.760415066</v>
      </c>
      <c r="M118" s="332">
        <f>'M) Police'!O118</f>
        <v>1215013.7204627353</v>
      </c>
      <c r="N118" s="332">
        <f t="shared" si="3"/>
        <v>10466415.480877802</v>
      </c>
      <c r="P118" s="445"/>
    </row>
    <row r="119" spans="1:16" s="237" customFormat="1" x14ac:dyDescent="0.25">
      <c r="A119" s="234">
        <f>'B) D RI'!A120</f>
        <v>5588</v>
      </c>
      <c r="B119" s="235" t="str">
        <f>'B) D RI'!B120</f>
        <v>Paudex</v>
      </c>
      <c r="C119" s="402">
        <f>'B) D RI'!S120</f>
        <v>61.5</v>
      </c>
      <c r="D119" s="236">
        <f>'B) D RI'!AR120</f>
        <v>1473</v>
      </c>
      <c r="E119" s="243">
        <f>'D) Ecrêtage'!M118</f>
        <v>124239.86682322888</v>
      </c>
      <c r="F119" s="246">
        <f>'E) Fact soc'!G124</f>
        <v>4301496.733174446</v>
      </c>
      <c r="G119" s="246">
        <f>'H) Péréquation directe'!I129</f>
        <v>2043986.0070339909</v>
      </c>
      <c r="H119" s="246">
        <f>'I) Dépenses thématiques'!O118</f>
        <v>0</v>
      </c>
      <c r="I119" s="246">
        <f>'K) Plafonnement aide'!J118</f>
        <v>0</v>
      </c>
      <c r="J119" s="246">
        <f>'J) Plafonnement effort'!I118</f>
        <v>0</v>
      </c>
      <c r="K119" s="246">
        <f>'L) Plafonnement taux'!Q119</f>
        <v>0</v>
      </c>
      <c r="L119" s="332">
        <f t="shared" si="4"/>
        <v>6345482.7402084367</v>
      </c>
      <c r="M119" s="332">
        <f>'M) Police'!O119</f>
        <v>159073.34954149052</v>
      </c>
      <c r="N119" s="332">
        <f t="shared" si="3"/>
        <v>6504556.0897499276</v>
      </c>
      <c r="P119" s="445"/>
    </row>
    <row r="120" spans="1:16" s="237" customFormat="1" x14ac:dyDescent="0.25">
      <c r="A120" s="234">
        <f>'B) D RI'!A121</f>
        <v>5589</v>
      </c>
      <c r="B120" s="235" t="str">
        <f>'B) D RI'!B121</f>
        <v>Prilly</v>
      </c>
      <c r="C120" s="402">
        <f>'B) D RI'!S121</f>
        <v>73.5</v>
      </c>
      <c r="D120" s="236">
        <f>'B) D RI'!AR121</f>
        <v>11871</v>
      </c>
      <c r="E120" s="243">
        <f>'D) Ecrêtage'!M119</f>
        <v>437574.2323809524</v>
      </c>
      <c r="F120" s="246">
        <f>'E) Fact soc'!G125</f>
        <v>8004548.6016607322</v>
      </c>
      <c r="G120" s="246">
        <f>'H) Péréquation directe'!I130</f>
        <v>-279927.00781867001</v>
      </c>
      <c r="H120" s="246">
        <f>'I) Dépenses thématiques'!O119</f>
        <v>-1766159.0472670179</v>
      </c>
      <c r="I120" s="246">
        <f>'K) Plafonnement aide'!J119</f>
        <v>0</v>
      </c>
      <c r="J120" s="246">
        <f>'J) Plafonnement effort'!I119</f>
        <v>0</v>
      </c>
      <c r="K120" s="246">
        <f>'L) Plafonnement taux'!Q120</f>
        <v>0</v>
      </c>
      <c r="L120" s="332">
        <f t="shared" si="4"/>
        <v>5958462.5465750443</v>
      </c>
      <c r="M120" s="332">
        <f>'M) Police'!O120</f>
        <v>560258.15704488882</v>
      </c>
      <c r="N120" s="332">
        <f t="shared" si="3"/>
        <v>6518720.7036199328</v>
      </c>
      <c r="P120" s="445"/>
    </row>
    <row r="121" spans="1:16" s="237" customFormat="1" x14ac:dyDescent="0.25">
      <c r="A121" s="234">
        <f>'B) D RI'!A122</f>
        <v>5590</v>
      </c>
      <c r="B121" s="235" t="str">
        <f>'B) D RI'!B122</f>
        <v>Pully</v>
      </c>
      <c r="C121" s="402">
        <f>'B) D RI'!S122</f>
        <v>61</v>
      </c>
      <c r="D121" s="236">
        <f>'B) D RI'!AR122</f>
        <v>17979</v>
      </c>
      <c r="E121" s="243">
        <f>'D) Ecrêtage'!M120</f>
        <v>1257122.2124035268</v>
      </c>
      <c r="F121" s="246">
        <f>'E) Fact soc'!G126</f>
        <v>32460078.318529837</v>
      </c>
      <c r="G121" s="246">
        <f>'H) Péréquation directe'!I131</f>
        <v>10634645.834953278</v>
      </c>
      <c r="H121" s="246">
        <f>'I) Dépenses thématiques'!O120</f>
        <v>-1752569.415581303</v>
      </c>
      <c r="I121" s="246">
        <f>'K) Plafonnement aide'!J120</f>
        <v>0</v>
      </c>
      <c r="J121" s="246">
        <f>'J) Plafonnement effort'!I120</f>
        <v>0</v>
      </c>
      <c r="K121" s="246">
        <f>'L) Plafonnement taux'!Q121</f>
        <v>0</v>
      </c>
      <c r="L121" s="332">
        <f t="shared" si="4"/>
        <v>41342154.737901814</v>
      </c>
      <c r="M121" s="332">
        <f>'M) Police'!O121</f>
        <v>1609585.1212925578</v>
      </c>
      <c r="N121" s="332">
        <f t="shared" si="3"/>
        <v>42951739.859194376</v>
      </c>
      <c r="P121" s="445"/>
    </row>
    <row r="122" spans="1:16" s="237" customFormat="1" x14ac:dyDescent="0.25">
      <c r="A122" s="234">
        <f>'B) D RI'!A123</f>
        <v>5591</v>
      </c>
      <c r="B122" s="235" t="str">
        <f>'B) D RI'!B123</f>
        <v>Renens</v>
      </c>
      <c r="C122" s="402">
        <f>'B) D RI'!S123</f>
        <v>78.5</v>
      </c>
      <c r="D122" s="236">
        <f>'B) D RI'!AR123</f>
        <v>20323</v>
      </c>
      <c r="E122" s="243">
        <f>'D) Ecrêtage'!M121</f>
        <v>529647.11015468603</v>
      </c>
      <c r="F122" s="246">
        <f>'E) Fact soc'!G127</f>
        <v>9457393.5236131288</v>
      </c>
      <c r="G122" s="246">
        <f>'H) Péréquation directe'!I132</f>
        <v>-14319253.896160448</v>
      </c>
      <c r="H122" s="246">
        <f>'I) Dépenses thématiques'!O121</f>
        <v>-5277672.6101298863</v>
      </c>
      <c r="I122" s="246">
        <f>'K) Plafonnement aide'!J121</f>
        <v>1948801.2666965448</v>
      </c>
      <c r="J122" s="246">
        <f>'J) Plafonnement effort'!I121</f>
        <v>0</v>
      </c>
      <c r="K122" s="246">
        <f>'L) Plafonnement taux'!Q122</f>
        <v>0</v>
      </c>
      <c r="L122" s="332">
        <f t="shared" si="4"/>
        <v>-8190731.715980662</v>
      </c>
      <c r="M122" s="332">
        <f>'M) Police'!O122</f>
        <v>678145.76787299104</v>
      </c>
      <c r="N122" s="332">
        <f t="shared" si="3"/>
        <v>-7512585.948107671</v>
      </c>
      <c r="P122" s="445"/>
    </row>
    <row r="123" spans="1:16" s="237" customFormat="1" x14ac:dyDescent="0.25">
      <c r="A123" s="234">
        <f>'B) D RI'!A124</f>
        <v>5592</v>
      </c>
      <c r="B123" s="235" t="str">
        <f>'B) D RI'!B124</f>
        <v>Romanel-sur-Lausanne</v>
      </c>
      <c r="C123" s="402">
        <f>'B) D RI'!S124</f>
        <v>70</v>
      </c>
      <c r="D123" s="236">
        <f>'B) D RI'!AR124</f>
        <v>3352</v>
      </c>
      <c r="E123" s="243">
        <f>'D) Ecrêtage'!M122</f>
        <v>116555.94314285714</v>
      </c>
      <c r="F123" s="246">
        <f>'E) Fact soc'!G128</f>
        <v>1905616.5159938911</v>
      </c>
      <c r="G123" s="246">
        <f>'H) Péréquation directe'!I133</f>
        <v>588949.13980885781</v>
      </c>
      <c r="H123" s="246">
        <f>'I) Dépenses thématiques'!O122</f>
        <v>-188028.2733953995</v>
      </c>
      <c r="I123" s="246">
        <f>'K) Plafonnement aide'!J122</f>
        <v>0</v>
      </c>
      <c r="J123" s="246">
        <f>'J) Plafonnement effort'!I122</f>
        <v>0</v>
      </c>
      <c r="K123" s="246">
        <f>'L) Plafonnement taux'!Q123</f>
        <v>0</v>
      </c>
      <c r="L123" s="332">
        <f t="shared" si="4"/>
        <v>2306537.3824073495</v>
      </c>
      <c r="M123" s="332">
        <f>'M) Police'!O123</f>
        <v>356917.69874020212</v>
      </c>
      <c r="N123" s="332">
        <f t="shared" si="3"/>
        <v>2663455.0811475515</v>
      </c>
      <c r="P123" s="445"/>
    </row>
    <row r="124" spans="1:16" s="237" customFormat="1" x14ac:dyDescent="0.25">
      <c r="A124" s="234">
        <f>'B) D RI'!A125</f>
        <v>5601</v>
      </c>
      <c r="B124" s="235" t="str">
        <f>'B) D RI'!B125</f>
        <v>Chexbres</v>
      </c>
      <c r="C124" s="402">
        <f>'B) D RI'!S125</f>
        <v>64</v>
      </c>
      <c r="D124" s="236">
        <f>'B) D RI'!AR125</f>
        <v>2235</v>
      </c>
      <c r="E124" s="243">
        <f>'D) Ecrêtage'!M123</f>
        <v>99746.160000000018</v>
      </c>
      <c r="F124" s="246">
        <f>'E) Fact soc'!G129</f>
        <v>1740305.1021120269</v>
      </c>
      <c r="G124" s="246">
        <f>'H) Péréquation directe'!I134</f>
        <v>1326458.0849147965</v>
      </c>
      <c r="H124" s="246">
        <f>'I) Dépenses thématiques'!O123</f>
        <v>-199359.26961909203</v>
      </c>
      <c r="I124" s="246">
        <f>'K) Plafonnement aide'!J123</f>
        <v>0</v>
      </c>
      <c r="J124" s="246">
        <f>'J) Plafonnement effort'!I123</f>
        <v>0</v>
      </c>
      <c r="K124" s="246">
        <f>'L) Plafonnement taux'!Q124</f>
        <v>0</v>
      </c>
      <c r="L124" s="332">
        <f t="shared" si="4"/>
        <v>2867403.9174077315</v>
      </c>
      <c r="M124" s="332">
        <f>'M) Police'!O124</f>
        <v>127712.27288642609</v>
      </c>
      <c r="N124" s="332">
        <f t="shared" si="3"/>
        <v>2995116.1902941577</v>
      </c>
      <c r="P124" s="445"/>
    </row>
    <row r="125" spans="1:16" s="237" customFormat="1" x14ac:dyDescent="0.25">
      <c r="A125" s="234">
        <f>'B) D RI'!A126</f>
        <v>5604</v>
      </c>
      <c r="B125" s="235" t="str">
        <f>'B) D RI'!B126</f>
        <v>Forel (Lavaux)</v>
      </c>
      <c r="C125" s="402">
        <f>'B) D RI'!S126</f>
        <v>68</v>
      </c>
      <c r="D125" s="236">
        <f>'B) D RI'!AR126</f>
        <v>2066</v>
      </c>
      <c r="E125" s="243">
        <f>'D) Ecrêtage'!M124</f>
        <v>71240.347352941171</v>
      </c>
      <c r="F125" s="246">
        <f>'E) Fact soc'!G130</f>
        <v>1195024.0983284514</v>
      </c>
      <c r="G125" s="246">
        <f>'H) Péréquation directe'!I135</f>
        <v>488714.46608475875</v>
      </c>
      <c r="H125" s="246">
        <f>'I) Dépenses thématiques'!O124</f>
        <v>-255255.02102474545</v>
      </c>
      <c r="I125" s="246">
        <f>'K) Plafonnement aide'!J124</f>
        <v>0</v>
      </c>
      <c r="J125" s="246">
        <f>'J) Plafonnement effort'!I124</f>
        <v>0</v>
      </c>
      <c r="K125" s="246">
        <f>'L) Plafonnement taux'!Q125</f>
        <v>0</v>
      </c>
      <c r="L125" s="332">
        <f t="shared" si="4"/>
        <v>1428483.5433884647</v>
      </c>
      <c r="M125" s="332">
        <f>'M) Police'!O125</f>
        <v>222868.87171918838</v>
      </c>
      <c r="N125" s="332">
        <f t="shared" si="3"/>
        <v>1651352.415107653</v>
      </c>
      <c r="P125" s="445"/>
    </row>
    <row r="126" spans="1:16" s="237" customFormat="1" x14ac:dyDescent="0.25">
      <c r="A126" s="234">
        <f>'B) D RI'!A127</f>
        <v>5606</v>
      </c>
      <c r="B126" s="235" t="str">
        <f>'B) D RI'!B127</f>
        <v>Lutry</v>
      </c>
      <c r="C126" s="402">
        <f>'B) D RI'!S127</f>
        <v>55.5</v>
      </c>
      <c r="D126" s="236">
        <f>'B) D RI'!AR127</f>
        <v>9888</v>
      </c>
      <c r="E126" s="243">
        <f>'D) Ecrêtage'!M125</f>
        <v>685132.52802278637</v>
      </c>
      <c r="F126" s="246">
        <f>'E) Fact soc'!G131</f>
        <v>18102782.835126642</v>
      </c>
      <c r="G126" s="246">
        <f>'H) Péréquation directe'!I136</f>
        <v>7830515.8923098547</v>
      </c>
      <c r="H126" s="246">
        <f>'I) Dépenses thématiques'!O125</f>
        <v>-2179809.0892831595</v>
      </c>
      <c r="I126" s="246">
        <f>'K) Plafonnement aide'!J125</f>
        <v>0</v>
      </c>
      <c r="J126" s="246">
        <f>'J) Plafonnement effort'!I125</f>
        <v>0</v>
      </c>
      <c r="K126" s="246">
        <f>'L) Plafonnement taux'!Q126</f>
        <v>0</v>
      </c>
      <c r="L126" s="332">
        <f t="shared" si="4"/>
        <v>23753489.638153337</v>
      </c>
      <c r="M126" s="332">
        <f>'M) Police'!O126</f>
        <v>877225.07194475504</v>
      </c>
      <c r="N126" s="332">
        <f t="shared" si="3"/>
        <v>24630714.710098092</v>
      </c>
      <c r="P126" s="445"/>
    </row>
    <row r="127" spans="1:16" s="237" customFormat="1" x14ac:dyDescent="0.25">
      <c r="A127" s="234">
        <f>'B) D RI'!A128</f>
        <v>5607</v>
      </c>
      <c r="B127" s="235" t="str">
        <f>'B) D RI'!B128</f>
        <v>Puidoux</v>
      </c>
      <c r="C127" s="402">
        <f>'B) D RI'!S128</f>
        <v>70</v>
      </c>
      <c r="D127" s="236">
        <f>'B) D RI'!AR128</f>
        <v>2874</v>
      </c>
      <c r="E127" s="243">
        <f>'D) Ecrêtage'!M126</f>
        <v>97147.534937888209</v>
      </c>
      <c r="F127" s="246">
        <f>'E) Fact soc'!G132</f>
        <v>1854265.6931383321</v>
      </c>
      <c r="G127" s="246">
        <f>'H) Péréquation directe'!I137</f>
        <v>478428.88895653258</v>
      </c>
      <c r="H127" s="246">
        <f>'I) Dépenses thématiques'!O126</f>
        <v>-799779.48758549709</v>
      </c>
      <c r="I127" s="246">
        <f>'K) Plafonnement aide'!J126</f>
        <v>0</v>
      </c>
      <c r="J127" s="246">
        <f>'J) Plafonnement effort'!I126</f>
        <v>0</v>
      </c>
      <c r="K127" s="246">
        <f>'L) Plafonnement taux'!Q127</f>
        <v>0</v>
      </c>
      <c r="L127" s="332">
        <f t="shared" si="4"/>
        <v>1532915.0945093678</v>
      </c>
      <c r="M127" s="332">
        <f>'M) Police'!O127</f>
        <v>124385.06396869001</v>
      </c>
      <c r="N127" s="332">
        <f t="shared" si="3"/>
        <v>1657300.1584780579</v>
      </c>
      <c r="P127" s="445"/>
    </row>
    <row r="128" spans="1:16" s="237" customFormat="1" x14ac:dyDescent="0.25">
      <c r="A128" s="234">
        <f>'B) D RI'!A129</f>
        <v>5609</v>
      </c>
      <c r="B128" s="235" t="str">
        <f>'B) D RI'!B129</f>
        <v>Rivaz</v>
      </c>
      <c r="C128" s="402">
        <f>'B) D RI'!S129</f>
        <v>63.5</v>
      </c>
      <c r="D128" s="236">
        <f>'B) D RI'!AR129</f>
        <v>357</v>
      </c>
      <c r="E128" s="243">
        <f>'D) Ecrêtage'!M127</f>
        <v>16888.91165354331</v>
      </c>
      <c r="F128" s="246">
        <f>'E) Fact soc'!G133</f>
        <v>435371.65895584645</v>
      </c>
      <c r="G128" s="246">
        <f>'H) Péréquation directe'!I138</f>
        <v>278247.958713884</v>
      </c>
      <c r="H128" s="246">
        <f>'I) Dépenses thématiques'!O127</f>
        <v>-69740.003102515475</v>
      </c>
      <c r="I128" s="246">
        <f>'K) Plafonnement aide'!J127</f>
        <v>0</v>
      </c>
      <c r="J128" s="246">
        <f>'J) Plafonnement effort'!I127</f>
        <v>0</v>
      </c>
      <c r="K128" s="246">
        <f>'L) Plafonnement taux'!Q128</f>
        <v>0</v>
      </c>
      <c r="L128" s="332">
        <f t="shared" si="4"/>
        <v>643879.61456721497</v>
      </c>
      <c r="M128" s="332">
        <f>'M) Police'!O128</f>
        <v>21624.103563004977</v>
      </c>
      <c r="N128" s="332">
        <f t="shared" si="3"/>
        <v>665503.71813021996</v>
      </c>
      <c r="P128" s="445"/>
    </row>
    <row r="129" spans="1:16" s="237" customFormat="1" x14ac:dyDescent="0.25">
      <c r="A129" s="234">
        <f>'B) D RI'!A130</f>
        <v>5610</v>
      </c>
      <c r="B129" s="235" t="str">
        <f>'B) D RI'!B130</f>
        <v>St-Saphorin (Lavaux)</v>
      </c>
      <c r="C129" s="402">
        <f>'B) D RI'!S130</f>
        <v>67</v>
      </c>
      <c r="D129" s="236">
        <f>'B) D RI'!AR130</f>
        <v>398</v>
      </c>
      <c r="E129" s="243">
        <f>'D) Ecrêtage'!M128</f>
        <v>20007.714179104478</v>
      </c>
      <c r="F129" s="246">
        <f>'E) Fact soc'!G134</f>
        <v>366099.11766394204</v>
      </c>
      <c r="G129" s="246">
        <f>'H) Péréquation directe'!I139</f>
        <v>332088.26861445239</v>
      </c>
      <c r="H129" s="246">
        <f>'I) Dépenses thématiques'!O128</f>
        <v>-78922.726153382973</v>
      </c>
      <c r="I129" s="246">
        <f>'K) Plafonnement aide'!J128</f>
        <v>0</v>
      </c>
      <c r="J129" s="246">
        <f>'J) Plafonnement effort'!I128</f>
        <v>0</v>
      </c>
      <c r="K129" s="246">
        <f>'L) Plafonnement taux'!Q129</f>
        <v>0</v>
      </c>
      <c r="L129" s="332">
        <f t="shared" si="4"/>
        <v>619264.66012501135</v>
      </c>
      <c r="M129" s="332">
        <f>'M) Police'!O129</f>
        <v>25617.333570288894</v>
      </c>
      <c r="N129" s="332">
        <f t="shared" si="3"/>
        <v>644881.99369530019</v>
      </c>
      <c r="P129" s="445"/>
    </row>
    <row r="130" spans="1:16" s="237" customFormat="1" x14ac:dyDescent="0.25">
      <c r="A130" s="234">
        <f>'B) D RI'!A131</f>
        <v>5611</v>
      </c>
      <c r="B130" s="235" t="str">
        <f>'B) D RI'!B131</f>
        <v>Savigny</v>
      </c>
      <c r="C130" s="402">
        <f>'B) D RI'!S131</f>
        <v>69</v>
      </c>
      <c r="D130" s="236">
        <f>'B) D RI'!AR131</f>
        <v>3276</v>
      </c>
      <c r="E130" s="243">
        <f>'D) Ecrêtage'!M129</f>
        <v>115537.42516908211</v>
      </c>
      <c r="F130" s="246">
        <f>'E) Fact soc'!G135</f>
        <v>1990068.1831523408</v>
      </c>
      <c r="G130" s="246">
        <f>'H) Péréquation directe'!I140</f>
        <v>669257.18116601044</v>
      </c>
      <c r="H130" s="246">
        <f>'I) Dépenses thématiques'!O129</f>
        <v>-439243.50464733585</v>
      </c>
      <c r="I130" s="246">
        <f>'K) Plafonnement aide'!J129</f>
        <v>0</v>
      </c>
      <c r="J130" s="246">
        <f>'J) Plafonnement effort'!I129</f>
        <v>0</v>
      </c>
      <c r="K130" s="246">
        <f>'L) Plafonnement taux'!Q130</f>
        <v>0</v>
      </c>
      <c r="L130" s="332">
        <f t="shared" si="4"/>
        <v>2220081.8596710153</v>
      </c>
      <c r="M130" s="332">
        <f>'M) Police'!O130</f>
        <v>147930.97971680158</v>
      </c>
      <c r="N130" s="332">
        <f t="shared" si="3"/>
        <v>2368012.8393878168</v>
      </c>
      <c r="P130" s="445"/>
    </row>
    <row r="131" spans="1:16" s="237" customFormat="1" x14ac:dyDescent="0.25">
      <c r="A131" s="234">
        <f>'B) D RI'!A132</f>
        <v>5613</v>
      </c>
      <c r="B131" s="235" t="str">
        <f>'B) D RI'!B132</f>
        <v>Bourg-en-Lavaux</v>
      </c>
      <c r="C131" s="402">
        <f>'B) D RI'!S132</f>
        <v>61</v>
      </c>
      <c r="D131" s="236">
        <f>'B) D RI'!AR132</f>
        <v>5296</v>
      </c>
      <c r="E131" s="243">
        <f>'D) Ecrêtage'!M130</f>
        <v>300134.21856717777</v>
      </c>
      <c r="F131" s="246">
        <f>'E) Fact soc'!G136</f>
        <v>5437657.0556849344</v>
      </c>
      <c r="G131" s="246">
        <f>'H) Péréquation directe'!I141</f>
        <v>3620512.5544747398</v>
      </c>
      <c r="H131" s="246">
        <f>'I) Dépenses thématiques'!O130</f>
        <v>-266142.42215085705</v>
      </c>
      <c r="I131" s="246">
        <f>'K) Plafonnement aide'!J130</f>
        <v>0</v>
      </c>
      <c r="J131" s="246">
        <f>'J) Plafonnement effort'!I130</f>
        <v>0</v>
      </c>
      <c r="K131" s="246">
        <f>'L) Plafonnement taux'!Q131</f>
        <v>0</v>
      </c>
      <c r="L131" s="332">
        <f t="shared" si="4"/>
        <v>8792027.1880088169</v>
      </c>
      <c r="M131" s="332">
        <f>'M) Police'!O131</f>
        <v>384283.69798101153</v>
      </c>
      <c r="N131" s="332">
        <f t="shared" si="3"/>
        <v>9176310.885989828</v>
      </c>
      <c r="P131" s="445"/>
    </row>
    <row r="132" spans="1:16" s="237" customFormat="1" x14ac:dyDescent="0.25">
      <c r="A132" s="234">
        <f>'B) D RI'!A133</f>
        <v>5621</v>
      </c>
      <c r="B132" s="235" t="str">
        <f>'B) D RI'!B133</f>
        <v>Aclens</v>
      </c>
      <c r="C132" s="402">
        <f>'B) D RI'!S133</f>
        <v>62</v>
      </c>
      <c r="D132" s="236">
        <f>'B) D RI'!AR133</f>
        <v>521</v>
      </c>
      <c r="E132" s="243">
        <f>'D) Ecrêtage'!M131</f>
        <v>26820.105850439882</v>
      </c>
      <c r="F132" s="246">
        <f>'E) Fact soc'!G137</f>
        <v>478650.60236326372</v>
      </c>
      <c r="G132" s="246">
        <f>'H) Péréquation directe'!I142</f>
        <v>446394.23014159611</v>
      </c>
      <c r="H132" s="246">
        <f>'I) Dépenses thématiques'!O131</f>
        <v>-30554.898509917428</v>
      </c>
      <c r="I132" s="246">
        <f>'K) Plafonnement aide'!J131</f>
        <v>0</v>
      </c>
      <c r="J132" s="246">
        <f>'J) Plafonnement effort'!I131</f>
        <v>0</v>
      </c>
      <c r="K132" s="246">
        <f>'L) Plafonnement taux'!Q132</f>
        <v>0</v>
      </c>
      <c r="L132" s="332">
        <f t="shared" si="4"/>
        <v>894489.93399494246</v>
      </c>
      <c r="M132" s="332">
        <f>'M) Police'!O132</f>
        <v>78522.163464521218</v>
      </c>
      <c r="N132" s="332">
        <f t="shared" si="3"/>
        <v>973012.09745946364</v>
      </c>
      <c r="P132" s="445"/>
    </row>
    <row r="133" spans="1:16" s="237" customFormat="1" x14ac:dyDescent="0.25">
      <c r="A133" s="234">
        <f>'B) D RI'!A134</f>
        <v>5622</v>
      </c>
      <c r="B133" s="235" t="str">
        <f>'B) D RI'!B134</f>
        <v>Bremblens</v>
      </c>
      <c r="C133" s="402">
        <f>'B) D RI'!S134</f>
        <v>66</v>
      </c>
      <c r="D133" s="236">
        <f>'B) D RI'!AR134</f>
        <v>516</v>
      </c>
      <c r="E133" s="243">
        <f>'D) Ecrêtage'!M132</f>
        <v>31335.32030656391</v>
      </c>
      <c r="F133" s="246">
        <f>'E) Fact soc'!G138</f>
        <v>700802.40086912399</v>
      </c>
      <c r="G133" s="246">
        <f>'H) Péréquation directe'!I143</f>
        <v>530686.07703772665</v>
      </c>
      <c r="H133" s="246">
        <f>'I) Dépenses thématiques'!O132</f>
        <v>0</v>
      </c>
      <c r="I133" s="246">
        <f>'K) Plafonnement aide'!J132</f>
        <v>0</v>
      </c>
      <c r="J133" s="246">
        <f>'J) Plafonnement effort'!I132</f>
        <v>0</v>
      </c>
      <c r="K133" s="246">
        <f>'L) Plafonnement taux'!Q133</f>
        <v>0</v>
      </c>
      <c r="L133" s="332">
        <f t="shared" si="4"/>
        <v>1231488.4779068506</v>
      </c>
      <c r="M133" s="332">
        <f>'M) Police'!O133</f>
        <v>85021.571034546258</v>
      </c>
      <c r="N133" s="332">
        <f t="shared" si="3"/>
        <v>1316510.0489413969</v>
      </c>
      <c r="P133" s="445"/>
    </row>
    <row r="134" spans="1:16" s="237" customFormat="1" x14ac:dyDescent="0.25">
      <c r="A134" s="234">
        <f>'B) D RI'!A135</f>
        <v>5623</v>
      </c>
      <c r="B134" s="235" t="str">
        <f>'B) D RI'!B135</f>
        <v>Buchillon</v>
      </c>
      <c r="C134" s="402">
        <f>'B) D RI'!S135</f>
        <v>53</v>
      </c>
      <c r="D134" s="236">
        <f>'B) D RI'!AR135</f>
        <v>609</v>
      </c>
      <c r="E134" s="243">
        <f>'D) Ecrêtage'!M133</f>
        <v>58516.615294914322</v>
      </c>
      <c r="F134" s="246">
        <f>'E) Fact soc'!G139</f>
        <v>3092006.7232575761</v>
      </c>
      <c r="G134" s="246">
        <f>'H) Péréquation directe'!I144</f>
        <v>1025980.881406717</v>
      </c>
      <c r="H134" s="246">
        <f>'I) Dépenses thématiques'!O133</f>
        <v>0</v>
      </c>
      <c r="I134" s="246">
        <f>'K) Plafonnement aide'!J133</f>
        <v>0</v>
      </c>
      <c r="J134" s="246">
        <f>'J) Plafonnement effort'!I133</f>
        <v>0</v>
      </c>
      <c r="K134" s="246">
        <f>'L) Plafonnement taux'!Q134</f>
        <v>0</v>
      </c>
      <c r="L134" s="332">
        <f t="shared" si="4"/>
        <v>4117987.6046642931</v>
      </c>
      <c r="M134" s="332">
        <f>'M) Police'!O134</f>
        <v>74923.084166188564</v>
      </c>
      <c r="N134" s="332">
        <f t="shared" si="3"/>
        <v>4192910.6888304818</v>
      </c>
      <c r="P134" s="445"/>
    </row>
    <row r="135" spans="1:16" s="237" customFormat="1" x14ac:dyDescent="0.25">
      <c r="A135" s="234">
        <f>'B) D RI'!A136</f>
        <v>5624</v>
      </c>
      <c r="B135" s="235" t="str">
        <f>'B) D RI'!B136</f>
        <v>Bussigny</v>
      </c>
      <c r="C135" s="402">
        <f>'B) D RI'!S136</f>
        <v>62</v>
      </c>
      <c r="D135" s="236">
        <f>'B) D RI'!AR136</f>
        <v>8227</v>
      </c>
      <c r="E135" s="243">
        <f>'D) Ecrêtage'!M134</f>
        <v>334130.13322580641</v>
      </c>
      <c r="F135" s="246">
        <f>'E) Fact soc'!G140</f>
        <v>5927614.0381183214</v>
      </c>
      <c r="G135" s="246">
        <f>'H) Péréquation directe'!I145</f>
        <v>2077631.559969753</v>
      </c>
      <c r="H135" s="246">
        <f>'I) Dépenses thématiques'!O134</f>
        <v>-910881.20465691248</v>
      </c>
      <c r="I135" s="246">
        <f>'K) Plafonnement aide'!J134</f>
        <v>0</v>
      </c>
      <c r="J135" s="246">
        <f>'J) Plafonnement effort'!I134</f>
        <v>0</v>
      </c>
      <c r="K135" s="246">
        <f>'L) Plafonnement taux'!Q135</f>
        <v>0</v>
      </c>
      <c r="L135" s="332">
        <f t="shared" si="4"/>
        <v>7094364.3934311625</v>
      </c>
      <c r="M135" s="332">
        <f>'M) Police'!O135</f>
        <v>427811.1433473939</v>
      </c>
      <c r="N135" s="332">
        <f t="shared" ref="N135:N198" si="5">L135+M135</f>
        <v>7522175.5367785562</v>
      </c>
      <c r="P135" s="445"/>
    </row>
    <row r="136" spans="1:16" s="237" customFormat="1" x14ac:dyDescent="0.25">
      <c r="A136" s="234">
        <f>'B) D RI'!A137</f>
        <v>5625</v>
      </c>
      <c r="B136" s="235" t="str">
        <f>'B) D RI'!B137</f>
        <v>Bussy-Chardonney</v>
      </c>
      <c r="C136" s="402">
        <f>'B) D RI'!S137</f>
        <v>78</v>
      </c>
      <c r="D136" s="236">
        <f>'B) D RI'!AR137</f>
        <v>369</v>
      </c>
      <c r="E136" s="243">
        <f>'D) Ecrêtage'!M135</f>
        <v>13745.926324786325</v>
      </c>
      <c r="F136" s="246">
        <f>'E) Fact soc'!G141</f>
        <v>258507.9730494869</v>
      </c>
      <c r="G136" s="246">
        <f>'H) Péréquation directe'!I146</f>
        <v>157334.39734810751</v>
      </c>
      <c r="H136" s="246">
        <f>'I) Dépenses thématiques'!O135</f>
        <v>-45448.321200483173</v>
      </c>
      <c r="I136" s="246">
        <f>'K) Plafonnement aide'!J135</f>
        <v>0</v>
      </c>
      <c r="J136" s="246">
        <f>'J) Plafonnement effort'!I135</f>
        <v>0</v>
      </c>
      <c r="K136" s="246">
        <f>'L) Plafonnement taux'!Q136</f>
        <v>0</v>
      </c>
      <c r="L136" s="332">
        <f t="shared" si="4"/>
        <v>370394.04919711122</v>
      </c>
      <c r="M136" s="332">
        <f>'M) Police'!O136</f>
        <v>42769.664910596788</v>
      </c>
      <c r="N136" s="332">
        <f t="shared" si="5"/>
        <v>413163.71410770802</v>
      </c>
      <c r="P136" s="445"/>
    </row>
    <row r="137" spans="1:16" s="237" customFormat="1" x14ac:dyDescent="0.25">
      <c r="A137" s="234">
        <f>'B) D RI'!A138</f>
        <v>5627</v>
      </c>
      <c r="B137" s="235" t="str">
        <f>'B) D RI'!B138</f>
        <v>Chavannes-près-Renens</v>
      </c>
      <c r="C137" s="402">
        <f>'B) D RI'!S138</f>
        <v>79</v>
      </c>
      <c r="D137" s="236">
        <f>'B) D RI'!AR138</f>
        <v>7543</v>
      </c>
      <c r="E137" s="243">
        <f>'D) Ecrêtage'!M136</f>
        <v>171770.86046413501</v>
      </c>
      <c r="F137" s="246">
        <f>'E) Fact soc'!G142</f>
        <v>2918091.4873653054</v>
      </c>
      <c r="G137" s="246">
        <f>'H) Péréquation directe'!I147</f>
        <v>-4102725.0684742504</v>
      </c>
      <c r="H137" s="246">
        <f>'I) Dépenses thématiques'!O136</f>
        <v>-1275488.132739987</v>
      </c>
      <c r="I137" s="246">
        <f>'K) Plafonnement aide'!J136</f>
        <v>239893.84855620281</v>
      </c>
      <c r="J137" s="246">
        <f>'J) Plafonnement effort'!I136</f>
        <v>0</v>
      </c>
      <c r="K137" s="246">
        <f>'L) Plafonnement taux'!Q137</f>
        <v>0</v>
      </c>
      <c r="L137" s="332">
        <f t="shared" si="4"/>
        <v>-2220227.8652927289</v>
      </c>
      <c r="M137" s="332">
        <f>'M) Police'!O137</f>
        <v>219930.74225144932</v>
      </c>
      <c r="N137" s="332">
        <f t="shared" si="5"/>
        <v>-2000297.1230412796</v>
      </c>
      <c r="P137" s="445"/>
    </row>
    <row r="138" spans="1:16" s="237" customFormat="1" x14ac:dyDescent="0.25">
      <c r="A138" s="234">
        <f>'B) D RI'!A139</f>
        <v>5628</v>
      </c>
      <c r="B138" s="235" t="str">
        <f>'B) D RI'!B139</f>
        <v>Chigny</v>
      </c>
      <c r="C138" s="402">
        <f>'B) D RI'!S139</f>
        <v>62</v>
      </c>
      <c r="D138" s="236">
        <f>'B) D RI'!AR139</f>
        <v>343</v>
      </c>
      <c r="E138" s="243">
        <f>'D) Ecrêtage'!M137</f>
        <v>19317.272281276957</v>
      </c>
      <c r="F138" s="246">
        <f>'E) Fact soc'!G143</f>
        <v>328680.33188870654</v>
      </c>
      <c r="G138" s="246">
        <f>'H) Péréquation directe'!I148</f>
        <v>324696.73605052283</v>
      </c>
      <c r="H138" s="246">
        <f>'I) Dépenses thématiques'!O137</f>
        <v>0</v>
      </c>
      <c r="I138" s="246">
        <f>'K) Plafonnement aide'!J137</f>
        <v>0</v>
      </c>
      <c r="J138" s="246">
        <f>'J) Plafonnement effort'!I137</f>
        <v>0</v>
      </c>
      <c r="K138" s="246">
        <f>'L) Plafonnement taux'!Q138</f>
        <v>0</v>
      </c>
      <c r="L138" s="332">
        <f t="shared" si="4"/>
        <v>653377.06793922931</v>
      </c>
      <c r="M138" s="332">
        <f>'M) Police'!O138</f>
        <v>54580.079294201816</v>
      </c>
      <c r="N138" s="332">
        <f t="shared" si="5"/>
        <v>707957.14723343111</v>
      </c>
      <c r="P138" s="445"/>
    </row>
    <row r="139" spans="1:16" s="237" customFormat="1" x14ac:dyDescent="0.25">
      <c r="A139" s="234">
        <f>'B) D RI'!A140</f>
        <v>5629</v>
      </c>
      <c r="B139" s="235" t="str">
        <f>'B) D RI'!B140</f>
        <v>Clarmont</v>
      </c>
      <c r="C139" s="402">
        <f>'B) D RI'!S140</f>
        <v>75</v>
      </c>
      <c r="D139" s="236">
        <f>'B) D RI'!AR140</f>
        <v>175</v>
      </c>
      <c r="E139" s="243">
        <f>'D) Ecrêtage'!M138</f>
        <v>7536.1791999999996</v>
      </c>
      <c r="F139" s="246">
        <f>'E) Fact soc'!G144</f>
        <v>151586.70144397212</v>
      </c>
      <c r="G139" s="246">
        <f>'H) Péréquation directe'!I149</f>
        <v>118555.36664385213</v>
      </c>
      <c r="H139" s="246">
        <f>'I) Dépenses thématiques'!O138</f>
        <v>-59390.101050389007</v>
      </c>
      <c r="I139" s="246">
        <f>'K) Plafonnement aide'!J138</f>
        <v>0</v>
      </c>
      <c r="J139" s="246">
        <f>'J) Plafonnement effort'!I138</f>
        <v>0</v>
      </c>
      <c r="K139" s="246">
        <f>'L) Plafonnement taux'!Q139</f>
        <v>0</v>
      </c>
      <c r="L139" s="332">
        <f t="shared" si="4"/>
        <v>210751.96703743527</v>
      </c>
      <c r="M139" s="332">
        <f>'M) Police'!O139</f>
        <v>23757.314802292058</v>
      </c>
      <c r="N139" s="332">
        <f t="shared" si="5"/>
        <v>234509.28183972734</v>
      </c>
      <c r="P139" s="445"/>
    </row>
    <row r="140" spans="1:16" s="237" customFormat="1" x14ac:dyDescent="0.25">
      <c r="A140" s="234">
        <f>'B) D RI'!A141</f>
        <v>5631</v>
      </c>
      <c r="B140" s="235" t="str">
        <f>'B) D RI'!B141</f>
        <v>Denens</v>
      </c>
      <c r="C140" s="402">
        <f>'B) D RI'!S141</f>
        <v>68</v>
      </c>
      <c r="D140" s="236">
        <f>'B) D RI'!AR141</f>
        <v>769</v>
      </c>
      <c r="E140" s="243">
        <f>'D) Ecrêtage'!M139</f>
        <v>42221.936176470583</v>
      </c>
      <c r="F140" s="246">
        <f>'E) Fact soc'!G145</f>
        <v>922232.00561254937</v>
      </c>
      <c r="G140" s="246">
        <f>'H) Péréquation directe'!I150</f>
        <v>707789.58809879678</v>
      </c>
      <c r="H140" s="246">
        <f>'I) Dépenses thématiques'!O139</f>
        <v>0</v>
      </c>
      <c r="I140" s="246">
        <f>'K) Plafonnement aide'!J139</f>
        <v>0</v>
      </c>
      <c r="J140" s="246">
        <f>'J) Plafonnement effort'!I139</f>
        <v>0</v>
      </c>
      <c r="K140" s="246">
        <f>'L) Plafonnement taux'!Q140</f>
        <v>0</v>
      </c>
      <c r="L140" s="332">
        <f t="shared" si="4"/>
        <v>1630021.5937113462</v>
      </c>
      <c r="M140" s="332">
        <f>'M) Police'!O140</f>
        <v>120975.75327267378</v>
      </c>
      <c r="N140" s="332">
        <f t="shared" si="5"/>
        <v>1750997.34698402</v>
      </c>
      <c r="P140" s="445"/>
    </row>
    <row r="141" spans="1:16" s="237" customFormat="1" x14ac:dyDescent="0.25">
      <c r="A141" s="234">
        <f>'B) D RI'!A142</f>
        <v>5632</v>
      </c>
      <c r="B141" s="235" t="str">
        <f>'B) D RI'!B142</f>
        <v>Denges</v>
      </c>
      <c r="C141" s="402">
        <f>'B) D RI'!S142</f>
        <v>62</v>
      </c>
      <c r="D141" s="236">
        <f>'B) D RI'!AR142</f>
        <v>1624</v>
      </c>
      <c r="E141" s="243">
        <f>'D) Ecrêtage'!M140</f>
        <v>67310.066612903232</v>
      </c>
      <c r="F141" s="246">
        <f>'E) Fact soc'!G146</f>
        <v>1175019.1383224772</v>
      </c>
      <c r="G141" s="246">
        <f>'H) Péréquation directe'!I151</f>
        <v>869242.70695091155</v>
      </c>
      <c r="H141" s="246">
        <f>'I) Dépenses thématiques'!O140</f>
        <v>0</v>
      </c>
      <c r="I141" s="246">
        <f>'K) Plafonnement aide'!J140</f>
        <v>0</v>
      </c>
      <c r="J141" s="246">
        <f>'J) Plafonnement effort'!I140</f>
        <v>0</v>
      </c>
      <c r="K141" s="246">
        <f>'L) Plafonnement taux'!Q141</f>
        <v>0</v>
      </c>
      <c r="L141" s="332">
        <f t="shared" si="4"/>
        <v>2044261.8452733888</v>
      </c>
      <c r="M141" s="332">
        <f>'M) Police'!O141</f>
        <v>209240.35867857485</v>
      </c>
      <c r="N141" s="332">
        <f t="shared" si="5"/>
        <v>2253502.2039519637</v>
      </c>
      <c r="P141" s="445"/>
    </row>
    <row r="142" spans="1:16" s="237" customFormat="1" x14ac:dyDescent="0.25">
      <c r="A142" s="234">
        <f>'B) D RI'!A143</f>
        <v>5633</v>
      </c>
      <c r="B142" s="235" t="str">
        <f>'B) D RI'!B143</f>
        <v>Echandens</v>
      </c>
      <c r="C142" s="402">
        <f>'B) D RI'!S143</f>
        <v>62</v>
      </c>
      <c r="D142" s="236">
        <f>'B) D RI'!AR143</f>
        <v>2731</v>
      </c>
      <c r="E142" s="243">
        <f>'D) Ecrêtage'!M141</f>
        <v>139554.44612903227</v>
      </c>
      <c r="F142" s="246">
        <f>'E) Fact soc'!G147</f>
        <v>2346671.3582331445</v>
      </c>
      <c r="G142" s="246">
        <f>'H) Péréquation directe'!I152</f>
        <v>1894114.166194167</v>
      </c>
      <c r="H142" s="246">
        <f>'I) Dépenses thématiques'!O141</f>
        <v>-215574.67291560298</v>
      </c>
      <c r="I142" s="246">
        <f>'K) Plafonnement aide'!J141</f>
        <v>0</v>
      </c>
      <c r="J142" s="246">
        <f>'J) Plafonnement effort'!I141</f>
        <v>0</v>
      </c>
      <c r="K142" s="246">
        <f>'L) Plafonnement taux'!Q142</f>
        <v>0</v>
      </c>
      <c r="L142" s="332">
        <f t="shared" si="4"/>
        <v>4025210.8515117085</v>
      </c>
      <c r="M142" s="332">
        <f>'M) Police'!O142</f>
        <v>416324.6522534953</v>
      </c>
      <c r="N142" s="332">
        <f t="shared" si="5"/>
        <v>4441535.503765204</v>
      </c>
      <c r="P142" s="445"/>
    </row>
    <row r="143" spans="1:16" s="237" customFormat="1" x14ac:dyDescent="0.25">
      <c r="A143" s="234">
        <f>'B) D RI'!A144</f>
        <v>5634</v>
      </c>
      <c r="B143" s="235" t="str">
        <f>'B) D RI'!B144</f>
        <v>Echichens</v>
      </c>
      <c r="C143" s="402">
        <f>'B) D RI'!S144</f>
        <v>68</v>
      </c>
      <c r="D143" s="236">
        <f>'B) D RI'!AR144</f>
        <v>2639</v>
      </c>
      <c r="E143" s="243">
        <f>'D) Ecrêtage'!M142</f>
        <v>125699.21529411766</v>
      </c>
      <c r="F143" s="246">
        <f>'E) Fact soc'!G148</f>
        <v>2354186.5110615594</v>
      </c>
      <c r="G143" s="246">
        <f>'H) Péréquation directe'!I153</f>
        <v>1668718.2736119162</v>
      </c>
      <c r="H143" s="246">
        <f>'I) Dépenses thématiques'!O142</f>
        <v>0</v>
      </c>
      <c r="I143" s="246">
        <f>'K) Plafonnement aide'!J142</f>
        <v>0</v>
      </c>
      <c r="J143" s="246">
        <f>'J) Plafonnement effort'!I142</f>
        <v>0</v>
      </c>
      <c r="K143" s="246">
        <f>'L) Plafonnement taux'!Q143</f>
        <v>0</v>
      </c>
      <c r="L143" s="332">
        <f t="shared" si="4"/>
        <v>4022904.7846734757</v>
      </c>
      <c r="M143" s="332">
        <f>'M) Police'!O143</f>
        <v>390579.24386899004</v>
      </c>
      <c r="N143" s="332">
        <f t="shared" si="5"/>
        <v>4413484.0285424655</v>
      </c>
      <c r="P143" s="445"/>
    </row>
    <row r="144" spans="1:16" s="237" customFormat="1" x14ac:dyDescent="0.25">
      <c r="A144" s="234">
        <f>'B) D RI'!A145</f>
        <v>5635</v>
      </c>
      <c r="B144" s="235" t="str">
        <f>'B) D RI'!B145</f>
        <v>Ecublens</v>
      </c>
      <c r="C144" s="402">
        <f>'B) D RI'!S145</f>
        <v>62</v>
      </c>
      <c r="D144" s="236">
        <f>'B) D RI'!AR145</f>
        <v>12340</v>
      </c>
      <c r="E144" s="243">
        <f>'D) Ecrêtage'!M143</f>
        <v>424543.31159592536</v>
      </c>
      <c r="F144" s="246">
        <f>'E) Fact soc'!G149</f>
        <v>7705199.837431292</v>
      </c>
      <c r="G144" s="246">
        <f>'H) Péréquation directe'!I154</f>
        <v>-948171.32835001685</v>
      </c>
      <c r="H144" s="246">
        <f>'I) Dépenses thématiques'!O143</f>
        <v>-2744270.3045617663</v>
      </c>
      <c r="I144" s="246">
        <f>'K) Plafonnement aide'!J143</f>
        <v>0</v>
      </c>
      <c r="J144" s="246">
        <f>'J) Plafonnement effort'!I143</f>
        <v>0</v>
      </c>
      <c r="K144" s="246">
        <f>'L) Plafonnement taux'!Q144</f>
        <v>0</v>
      </c>
      <c r="L144" s="332">
        <f t="shared" si="4"/>
        <v>4012758.2045195089</v>
      </c>
      <c r="M144" s="332">
        <f>'M) Police'!O144</f>
        <v>543573.72015770664</v>
      </c>
      <c r="N144" s="332">
        <f t="shared" si="5"/>
        <v>4556331.9246772155</v>
      </c>
      <c r="P144" s="445"/>
    </row>
    <row r="145" spans="1:16" s="237" customFormat="1" x14ac:dyDescent="0.25">
      <c r="A145" s="234">
        <f>'B) D RI'!A146</f>
        <v>5636</v>
      </c>
      <c r="B145" s="235" t="str">
        <f>'B) D RI'!B146</f>
        <v>Etoy</v>
      </c>
      <c r="C145" s="402">
        <f>'B) D RI'!S146</f>
        <v>61</v>
      </c>
      <c r="D145" s="236">
        <f>'B) D RI'!AR146</f>
        <v>2906</v>
      </c>
      <c r="E145" s="243">
        <f>'D) Ecrêtage'!M144</f>
        <v>150854.83475409835</v>
      </c>
      <c r="F145" s="246">
        <f>'E) Fact soc'!G150</f>
        <v>4869832.6173175424</v>
      </c>
      <c r="G145" s="246">
        <f>'H) Péréquation directe'!I155</f>
        <v>2043453.317690786</v>
      </c>
      <c r="H145" s="246">
        <f>'I) Dépenses thématiques'!O144</f>
        <v>0</v>
      </c>
      <c r="I145" s="246">
        <f>'K) Plafonnement aide'!J144</f>
        <v>0</v>
      </c>
      <c r="J145" s="246">
        <f>'J) Plafonnement effort'!I144</f>
        <v>0</v>
      </c>
      <c r="K145" s="246">
        <f>'L) Plafonnement taux'!Q145</f>
        <v>0</v>
      </c>
      <c r="L145" s="332">
        <f t="shared" si="4"/>
        <v>6913285.9350083284</v>
      </c>
      <c r="M145" s="332">
        <f>'M) Police'!O145</f>
        <v>446021.30603571236</v>
      </c>
      <c r="N145" s="332">
        <f t="shared" si="5"/>
        <v>7359307.2410440408</v>
      </c>
      <c r="P145" s="445"/>
    </row>
    <row r="146" spans="1:16" s="237" customFormat="1" x14ac:dyDescent="0.25">
      <c r="A146" s="234">
        <f>'B) D RI'!A147</f>
        <v>5637</v>
      </c>
      <c r="B146" s="235" t="str">
        <f>'B) D RI'!B147</f>
        <v>Lavigny</v>
      </c>
      <c r="C146" s="402">
        <f>'B) D RI'!S147</f>
        <v>74.5</v>
      </c>
      <c r="D146" s="236">
        <f>'B) D RI'!AR147</f>
        <v>1006</v>
      </c>
      <c r="E146" s="243">
        <f>'D) Ecrêtage'!M145</f>
        <v>35788.809619686814</v>
      </c>
      <c r="F146" s="246">
        <f>'E) Fact soc'!G151</f>
        <v>663503.37035954942</v>
      </c>
      <c r="G146" s="246">
        <f>'H) Péréquation directe'!I156</f>
        <v>373433.9436036445</v>
      </c>
      <c r="H146" s="246">
        <f>'I) Dépenses thématiques'!O145</f>
        <v>-60428.51526970719</v>
      </c>
      <c r="I146" s="246">
        <f>'K) Plafonnement aide'!J145</f>
        <v>0</v>
      </c>
      <c r="J146" s="246">
        <f>'J) Plafonnement effort'!I145</f>
        <v>0</v>
      </c>
      <c r="K146" s="246">
        <f>'L) Plafonnement taux'!Q146</f>
        <v>0</v>
      </c>
      <c r="L146" s="332">
        <f t="shared" si="4"/>
        <v>976508.79869348672</v>
      </c>
      <c r="M146" s="332">
        <f>'M) Police'!O146</f>
        <v>112599.71063180061</v>
      </c>
      <c r="N146" s="332">
        <f t="shared" si="5"/>
        <v>1089108.5093252873</v>
      </c>
      <c r="P146" s="445"/>
    </row>
    <row r="147" spans="1:16" s="237" customFormat="1" x14ac:dyDescent="0.25">
      <c r="A147" s="234">
        <f>'B) D RI'!A148</f>
        <v>5638</v>
      </c>
      <c r="B147" s="235" t="str">
        <f>'B) D RI'!B148</f>
        <v>Lonay</v>
      </c>
      <c r="C147" s="402">
        <f>'B) D RI'!S148</f>
        <v>55</v>
      </c>
      <c r="D147" s="236">
        <f>'B) D RI'!AR148</f>
        <v>2530</v>
      </c>
      <c r="E147" s="243">
        <f>'D) Ecrêtage'!M146</f>
        <v>147644.94143177712</v>
      </c>
      <c r="F147" s="246">
        <f>'E) Fact soc'!G152</f>
        <v>3741870.5445950818</v>
      </c>
      <c r="G147" s="246">
        <f>'H) Péréquation directe'!I157</f>
        <v>2113626.6583857099</v>
      </c>
      <c r="H147" s="246">
        <f>'I) Dépenses thématiques'!O146</f>
        <v>-337683.35649752541</v>
      </c>
      <c r="I147" s="246">
        <f>'K) Plafonnement aide'!J146</f>
        <v>0</v>
      </c>
      <c r="J147" s="246">
        <f>'J) Plafonnement effort'!I146</f>
        <v>0</v>
      </c>
      <c r="K147" s="246">
        <f>'L) Plafonnement taux'!Q147</f>
        <v>0</v>
      </c>
      <c r="L147" s="332">
        <f t="shared" si="4"/>
        <v>5517813.8464832669</v>
      </c>
      <c r="M147" s="332">
        <f>'M) Police'!O147</f>
        <v>409193.1220660283</v>
      </c>
      <c r="N147" s="332">
        <f t="shared" si="5"/>
        <v>5927006.9685492953</v>
      </c>
      <c r="P147" s="445"/>
    </row>
    <row r="148" spans="1:16" s="237" customFormat="1" x14ac:dyDescent="0.25">
      <c r="A148" s="234">
        <f>'B) D RI'!A149</f>
        <v>5639</v>
      </c>
      <c r="B148" s="235" t="str">
        <f>'B) D RI'!B149</f>
        <v>Lully</v>
      </c>
      <c r="C148" s="402">
        <f>'B) D RI'!S149</f>
        <v>61</v>
      </c>
      <c r="D148" s="236">
        <f>'B) D RI'!AR149</f>
        <v>785</v>
      </c>
      <c r="E148" s="243">
        <f>'D) Ecrêtage'!M147</f>
        <v>41723.705573770494</v>
      </c>
      <c r="F148" s="246">
        <f>'E) Fact soc'!G153</f>
        <v>685766.95923887077</v>
      </c>
      <c r="G148" s="246">
        <f>'H) Péréquation directe'!I158</f>
        <v>696965.34855499119</v>
      </c>
      <c r="H148" s="246">
        <f>'I) Dépenses thématiques'!O147</f>
        <v>0</v>
      </c>
      <c r="I148" s="246">
        <f>'K) Plafonnement aide'!J147</f>
        <v>0</v>
      </c>
      <c r="J148" s="246">
        <f>'J) Plafonnement effort'!I147</f>
        <v>0</v>
      </c>
      <c r="K148" s="246">
        <f>'L) Plafonnement taux'!Q148</f>
        <v>0</v>
      </c>
      <c r="L148" s="332">
        <f t="shared" si="4"/>
        <v>1382732.307793862</v>
      </c>
      <c r="M148" s="332">
        <f>'M) Police'!O148</f>
        <v>121730.10144435425</v>
      </c>
      <c r="N148" s="332">
        <f t="shared" si="5"/>
        <v>1504462.4092382162</v>
      </c>
      <c r="P148" s="445"/>
    </row>
    <row r="149" spans="1:16" s="237" customFormat="1" x14ac:dyDescent="0.25">
      <c r="A149" s="234">
        <f>'B) D RI'!A150</f>
        <v>5640</v>
      </c>
      <c r="B149" s="235" t="str">
        <f>'B) D RI'!B150</f>
        <v>Lussy-sur-Morges</v>
      </c>
      <c r="C149" s="402">
        <f>'B) D RI'!S150</f>
        <v>66</v>
      </c>
      <c r="D149" s="236">
        <f>'B) D RI'!AR150</f>
        <v>644</v>
      </c>
      <c r="E149" s="243">
        <f>'D) Ecrêtage'!M148</f>
        <v>46773.482488911992</v>
      </c>
      <c r="F149" s="246">
        <f>'E) Fact soc'!G154</f>
        <v>1367933.1713079782</v>
      </c>
      <c r="G149" s="246">
        <f>'H) Péréquation directe'!I159</f>
        <v>804586.71207194228</v>
      </c>
      <c r="H149" s="246">
        <f>'I) Dépenses thématiques'!O148</f>
        <v>0</v>
      </c>
      <c r="I149" s="246">
        <f>'K) Plafonnement aide'!J148</f>
        <v>0</v>
      </c>
      <c r="J149" s="246">
        <f>'J) Plafonnement effort'!I148</f>
        <v>0</v>
      </c>
      <c r="K149" s="246">
        <f>'L) Plafonnement taux'!Q149</f>
        <v>0</v>
      </c>
      <c r="L149" s="332">
        <f t="shared" si="4"/>
        <v>2172519.8833799204</v>
      </c>
      <c r="M149" s="332">
        <f>'M) Police'!O149</f>
        <v>59887.496014607474</v>
      </c>
      <c r="N149" s="332">
        <f t="shared" si="5"/>
        <v>2232407.379394528</v>
      </c>
      <c r="P149" s="445"/>
    </row>
    <row r="150" spans="1:16" s="237" customFormat="1" x14ac:dyDescent="0.25">
      <c r="A150" s="234">
        <f>'B) D RI'!A151</f>
        <v>5642</v>
      </c>
      <c r="B150" s="235" t="str">
        <f>'B) D RI'!B151</f>
        <v>Morges</v>
      </c>
      <c r="C150" s="402">
        <f>'B) D RI'!S151</f>
        <v>68.5</v>
      </c>
      <c r="D150" s="236">
        <f>'B) D RI'!AR151</f>
        <v>15819</v>
      </c>
      <c r="E150" s="243">
        <f>'D) Ecrêtage'!M149</f>
        <v>781778.61635036487</v>
      </c>
      <c r="F150" s="246">
        <f>'E) Fact soc'!G155</f>
        <v>13959435.56192866</v>
      </c>
      <c r="G150" s="246">
        <f>'H) Péréquation directe'!I160</f>
        <v>4048692.5650813263</v>
      </c>
      <c r="H150" s="246">
        <f>'I) Dépenses thématiques'!O149</f>
        <v>-248839.36374729025</v>
      </c>
      <c r="I150" s="246">
        <f>'K) Plafonnement aide'!J149</f>
        <v>0</v>
      </c>
      <c r="J150" s="246">
        <f>'J) Plafonnement effort'!I149</f>
        <v>0</v>
      </c>
      <c r="K150" s="246">
        <f>'L) Plafonnement taux'!Q150</f>
        <v>0</v>
      </c>
      <c r="L150" s="332">
        <f t="shared" si="4"/>
        <v>17759288.763262697</v>
      </c>
      <c r="M150" s="332">
        <f>'M) Police'!O150</f>
        <v>1000968.0972992884</v>
      </c>
      <c r="N150" s="332">
        <f t="shared" si="5"/>
        <v>18760256.860561986</v>
      </c>
      <c r="P150" s="445"/>
    </row>
    <row r="151" spans="1:16" s="237" customFormat="1" x14ac:dyDescent="0.25">
      <c r="A151" s="234">
        <f>'B) D RI'!A152</f>
        <v>5643</v>
      </c>
      <c r="B151" s="235" t="str">
        <f>'B) D RI'!B152</f>
        <v>Préverenges</v>
      </c>
      <c r="C151" s="402">
        <f>'B) D RI'!S152</f>
        <v>64</v>
      </c>
      <c r="D151" s="236">
        <f>'B) D RI'!AR152</f>
        <v>5276</v>
      </c>
      <c r="E151" s="243">
        <f>'D) Ecrêtage'!M150</f>
        <v>262779.91921874997</v>
      </c>
      <c r="F151" s="246">
        <f>'E) Fact soc'!G156</f>
        <v>4401768.0671425899</v>
      </c>
      <c r="G151" s="246">
        <f>'H) Péréquation directe'!I161</f>
        <v>2939076.6267630802</v>
      </c>
      <c r="H151" s="246">
        <f>'I) Dépenses thématiques'!O150</f>
        <v>0</v>
      </c>
      <c r="I151" s="246">
        <f>'K) Plafonnement aide'!J150</f>
        <v>0</v>
      </c>
      <c r="J151" s="246">
        <f>'J) Plafonnement effort'!I150</f>
        <v>0</v>
      </c>
      <c r="K151" s="246">
        <f>'L) Plafonnement taux'!Q151</f>
        <v>0</v>
      </c>
      <c r="L151" s="332">
        <f t="shared" si="4"/>
        <v>7340844.6939056702</v>
      </c>
      <c r="M151" s="332">
        <f>'M) Police'!O151</f>
        <v>336456.26811436145</v>
      </c>
      <c r="N151" s="332">
        <f t="shared" si="5"/>
        <v>7677300.9620200321</v>
      </c>
      <c r="P151" s="445"/>
    </row>
    <row r="152" spans="1:16" s="237" customFormat="1" x14ac:dyDescent="0.25">
      <c r="A152" s="234">
        <f>'B) D RI'!A153</f>
        <v>5644</v>
      </c>
      <c r="B152" s="235" t="str">
        <f>'B) D RI'!B153</f>
        <v>Reverolle</v>
      </c>
      <c r="C152" s="402">
        <f>'B) D RI'!S153</f>
        <v>76</v>
      </c>
      <c r="D152" s="236">
        <f>'B) D RI'!AR153</f>
        <v>368</v>
      </c>
      <c r="E152" s="243">
        <f>'D) Ecrêtage'!M151</f>
        <v>14128.860263157892</v>
      </c>
      <c r="F152" s="246">
        <f>'E) Fact soc'!G157</f>
        <v>238774.97373223474</v>
      </c>
      <c r="G152" s="246">
        <f>'H) Péréquation directe'!I162</f>
        <v>177505.81919936254</v>
      </c>
      <c r="H152" s="246">
        <f>'I) Dépenses thématiques'!O151</f>
        <v>-46133.672537367245</v>
      </c>
      <c r="I152" s="246">
        <f>'K) Plafonnement aide'!J151</f>
        <v>0</v>
      </c>
      <c r="J152" s="246">
        <f>'J) Plafonnement effort'!I151</f>
        <v>0</v>
      </c>
      <c r="K152" s="246">
        <f>'L) Plafonnement taux'!Q152</f>
        <v>0</v>
      </c>
      <c r="L152" s="332">
        <f t="shared" si="4"/>
        <v>370147.12039423001</v>
      </c>
      <c r="M152" s="332">
        <f>'M) Police'!O152</f>
        <v>44627.409550418495</v>
      </c>
      <c r="N152" s="332">
        <f t="shared" si="5"/>
        <v>414774.5299446485</v>
      </c>
      <c r="P152" s="445"/>
    </row>
    <row r="153" spans="1:16" s="237" customFormat="1" x14ac:dyDescent="0.25">
      <c r="A153" s="234">
        <f>'B) D RI'!A154</f>
        <v>5645</v>
      </c>
      <c r="B153" s="235" t="str">
        <f>'B) D RI'!B154</f>
        <v>Romanel-sur-Morges</v>
      </c>
      <c r="C153" s="402">
        <f>'B) D RI'!S154</f>
        <v>56</v>
      </c>
      <c r="D153" s="236">
        <f>'B) D RI'!AR154</f>
        <v>477</v>
      </c>
      <c r="E153" s="243">
        <f>'D) Ecrêtage'!M152</f>
        <v>26355.884598214288</v>
      </c>
      <c r="F153" s="246">
        <f>'E) Fact soc'!G158</f>
        <v>457265.5289730982</v>
      </c>
      <c r="G153" s="246">
        <f>'H) Péréquation directe'!I163</f>
        <v>442116.67080437276</v>
      </c>
      <c r="H153" s="246">
        <f>'I) Dépenses thématiques'!O152</f>
        <v>0</v>
      </c>
      <c r="I153" s="246">
        <f>'K) Plafonnement aide'!J152</f>
        <v>0</v>
      </c>
      <c r="J153" s="246">
        <f>'J) Plafonnement effort'!I152</f>
        <v>0</v>
      </c>
      <c r="K153" s="246">
        <f>'L) Plafonnement taux'!Q153</f>
        <v>0</v>
      </c>
      <c r="L153" s="332">
        <f t="shared" si="4"/>
        <v>899382.1997774709</v>
      </c>
      <c r="M153" s="332">
        <f>'M) Police'!O153</f>
        <v>75252.380934406028</v>
      </c>
      <c r="N153" s="332">
        <f t="shared" si="5"/>
        <v>974634.58071187697</v>
      </c>
      <c r="P153" s="445"/>
    </row>
    <row r="154" spans="1:16" s="237" customFormat="1" x14ac:dyDescent="0.25">
      <c r="A154" s="234">
        <f>'B) D RI'!A155</f>
        <v>5646</v>
      </c>
      <c r="B154" s="235" t="str">
        <f>'B) D RI'!B155</f>
        <v>Saint-Prex</v>
      </c>
      <c r="C154" s="402">
        <f>'B) D RI'!S155</f>
        <v>55</v>
      </c>
      <c r="D154" s="236">
        <f>'B) D RI'!AR155</f>
        <v>5661</v>
      </c>
      <c r="E154" s="243">
        <f>'D) Ecrêtage'!M153</f>
        <v>440016.87022919563</v>
      </c>
      <c r="F154" s="246">
        <f>'E) Fact soc'!G159</f>
        <v>12270280.09833025</v>
      </c>
      <c r="G154" s="246">
        <f>'H) Péréquation directe'!I164</f>
        <v>6000710.9193396475</v>
      </c>
      <c r="H154" s="246">
        <f>'I) Dépenses thématiques'!O153</f>
        <v>0</v>
      </c>
      <c r="I154" s="246">
        <f>'K) Plafonnement aide'!J153</f>
        <v>0</v>
      </c>
      <c r="J154" s="246">
        <f>'J) Plafonnement effort'!I153</f>
        <v>0</v>
      </c>
      <c r="K154" s="246">
        <f>'L) Plafonnement taux'!Q154</f>
        <v>0</v>
      </c>
      <c r="L154" s="332">
        <f t="shared" si="4"/>
        <v>18270991.017669898</v>
      </c>
      <c r="M154" s="332">
        <f>'M) Police'!O154</f>
        <v>563385.64417258929</v>
      </c>
      <c r="N154" s="332">
        <f t="shared" si="5"/>
        <v>18834376.661842488</v>
      </c>
      <c r="P154" s="445"/>
    </row>
    <row r="155" spans="1:16" s="237" customFormat="1" x14ac:dyDescent="0.25">
      <c r="A155" s="234">
        <f>'B) D RI'!A156</f>
        <v>5648</v>
      </c>
      <c r="B155" s="235" t="str">
        <f>'B) D RI'!B156</f>
        <v>Saint-Sulpice</v>
      </c>
      <c r="C155" s="402">
        <f>'B) D RI'!S156</f>
        <v>55</v>
      </c>
      <c r="D155" s="236">
        <f>'B) D RI'!AR156</f>
        <v>4148</v>
      </c>
      <c r="E155" s="243">
        <f>'D) Ecrêtage'!M154</f>
        <v>285929.07649603003</v>
      </c>
      <c r="F155" s="246">
        <f>'E) Fact soc'!G160</f>
        <v>7501667.0299877655</v>
      </c>
      <c r="G155" s="246">
        <f>'H) Péréquation directe'!I165</f>
        <v>3951974.6925748205</v>
      </c>
      <c r="H155" s="246">
        <f>'I) Dépenses thématiques'!O154</f>
        <v>-10732.525313775068</v>
      </c>
      <c r="I155" s="246">
        <f>'K) Plafonnement aide'!J154</f>
        <v>0</v>
      </c>
      <c r="J155" s="246">
        <f>'J) Plafonnement effort'!I154</f>
        <v>0</v>
      </c>
      <c r="K155" s="246">
        <f>'L) Plafonnement taux'!Q155</f>
        <v>0</v>
      </c>
      <c r="L155" s="332">
        <f t="shared" si="4"/>
        <v>11442909.197248809</v>
      </c>
      <c r="M155" s="332">
        <f>'M) Police'!O155</f>
        <v>366095.82006590307</v>
      </c>
      <c r="N155" s="332">
        <f t="shared" si="5"/>
        <v>11809005.017314712</v>
      </c>
      <c r="P155" s="445"/>
    </row>
    <row r="156" spans="1:16" s="237" customFormat="1" x14ac:dyDescent="0.25">
      <c r="A156" s="234">
        <f>'B) D RI'!A157</f>
        <v>5649</v>
      </c>
      <c r="B156" s="235" t="str">
        <f>'B) D RI'!B157</f>
        <v>Tolochenaz</v>
      </c>
      <c r="C156" s="402">
        <f>'B) D RI'!S157</f>
        <v>65</v>
      </c>
      <c r="D156" s="236">
        <f>'B) D RI'!AR157</f>
        <v>1865</v>
      </c>
      <c r="E156" s="243">
        <f>'D) Ecrêtage'!M155</f>
        <v>78727.730769230766</v>
      </c>
      <c r="F156" s="246">
        <f>'E) Fact soc'!G161</f>
        <v>1604190.2370676289</v>
      </c>
      <c r="G156" s="246">
        <f>'H) Péréquation directe'!I166</f>
        <v>1004787.9506859914</v>
      </c>
      <c r="H156" s="246">
        <f>'I) Dépenses thématiques'!O155</f>
        <v>-98505.748498997156</v>
      </c>
      <c r="I156" s="246">
        <f>'K) Plafonnement aide'!J155</f>
        <v>0</v>
      </c>
      <c r="J156" s="246">
        <f>'J) Plafonnement effort'!I155</f>
        <v>0</v>
      </c>
      <c r="K156" s="246">
        <f>'L) Plafonnement taux'!Q156</f>
        <v>0</v>
      </c>
      <c r="L156" s="332">
        <f t="shared" si="4"/>
        <v>2510472.4392546234</v>
      </c>
      <c r="M156" s="332">
        <f>'M) Police'!O156</f>
        <v>100800.8472278941</v>
      </c>
      <c r="N156" s="332">
        <f t="shared" si="5"/>
        <v>2611273.2864825176</v>
      </c>
      <c r="P156" s="445"/>
    </row>
    <row r="157" spans="1:16" s="237" customFormat="1" x14ac:dyDescent="0.25">
      <c r="A157" s="234">
        <f>'B) D RI'!A158</f>
        <v>5650</v>
      </c>
      <c r="B157" s="235" t="str">
        <f>'B) D RI'!B158</f>
        <v>Vaux-sur-Morges</v>
      </c>
      <c r="C157" s="402">
        <f>'B) D RI'!S158</f>
        <v>39</v>
      </c>
      <c r="D157" s="236">
        <f>'B) D RI'!AR158</f>
        <v>200</v>
      </c>
      <c r="E157" s="243">
        <f>'D) Ecrêtage'!M156</f>
        <v>97886.364459633754</v>
      </c>
      <c r="F157" s="246">
        <f>'E) Fact soc'!G162</f>
        <v>7686934.4183198381</v>
      </c>
      <c r="G157" s="246">
        <f>'H) Péréquation directe'!I167</f>
        <v>1796976.9289439006</v>
      </c>
      <c r="H157" s="246">
        <f>'I) Dépenses thématiques'!O156</f>
        <v>0</v>
      </c>
      <c r="I157" s="246">
        <f>'K) Plafonnement aide'!J156</f>
        <v>0</v>
      </c>
      <c r="J157" s="246">
        <f>'J) Plafonnement effort'!I156</f>
        <v>0</v>
      </c>
      <c r="K157" s="246">
        <f>'L) Plafonnement taux'!Q157</f>
        <v>0</v>
      </c>
      <c r="L157" s="332">
        <f t="shared" si="4"/>
        <v>9483911.3472637385</v>
      </c>
      <c r="M157" s="332">
        <f>'M) Police'!O157</f>
        <v>142734.40492582158</v>
      </c>
      <c r="N157" s="332">
        <f t="shared" si="5"/>
        <v>9626645.7521895599</v>
      </c>
      <c r="P157" s="445"/>
    </row>
    <row r="158" spans="1:16" s="237" customFormat="1" x14ac:dyDescent="0.25">
      <c r="A158" s="234">
        <f>'B) D RI'!A159</f>
        <v>5651</v>
      </c>
      <c r="B158" s="235" t="str">
        <f>'B) D RI'!B159</f>
        <v>Villars-Sainte-Croix</v>
      </c>
      <c r="C158" s="402">
        <f>'B) D RI'!S159</f>
        <v>59</v>
      </c>
      <c r="D158" s="236">
        <f>'B) D RI'!AR159</f>
        <v>841</v>
      </c>
      <c r="E158" s="243">
        <f>'D) Ecrêtage'!M157</f>
        <v>39092.930338983046</v>
      </c>
      <c r="F158" s="246">
        <f>'E) Fact soc'!G163</f>
        <v>798458.86107769748</v>
      </c>
      <c r="G158" s="246">
        <f>'H) Péréquation directe'!I168</f>
        <v>642619.06754763552</v>
      </c>
      <c r="H158" s="246">
        <f>'I) Dépenses thématiques'!O157</f>
        <v>0</v>
      </c>
      <c r="I158" s="246">
        <f>'K) Plafonnement aide'!J157</f>
        <v>0</v>
      </c>
      <c r="J158" s="246">
        <f>'J) Plafonnement effort'!I157</f>
        <v>0</v>
      </c>
      <c r="K158" s="246">
        <f>'L) Plafonnement taux'!Q158</f>
        <v>0</v>
      </c>
      <c r="L158" s="332">
        <f t="shared" si="4"/>
        <v>1441077.9286253331</v>
      </c>
      <c r="M158" s="332">
        <f>'M) Police'!O158</f>
        <v>50053.525743569953</v>
      </c>
      <c r="N158" s="332">
        <f t="shared" si="5"/>
        <v>1491131.4543689031</v>
      </c>
      <c r="P158" s="445"/>
    </row>
    <row r="159" spans="1:16" s="237" customFormat="1" x14ac:dyDescent="0.25">
      <c r="A159" s="234">
        <f>'B) D RI'!A160</f>
        <v>5652</v>
      </c>
      <c r="B159" s="235" t="str">
        <f>'B) D RI'!B160</f>
        <v>Villars-sous-Yens</v>
      </c>
      <c r="C159" s="402">
        <f>'B) D RI'!S160</f>
        <v>76</v>
      </c>
      <c r="D159" s="236">
        <f>'B) D RI'!AR160</f>
        <v>598</v>
      </c>
      <c r="E159" s="243">
        <f>'D) Ecrêtage'!M158</f>
        <v>21921.455131578947</v>
      </c>
      <c r="F159" s="246">
        <f>'E) Fact soc'!G164</f>
        <v>385884.38663733873</v>
      </c>
      <c r="G159" s="246">
        <f>'H) Péréquation directe'!I169</f>
        <v>245223.59214067826</v>
      </c>
      <c r="H159" s="246">
        <f>'I) Dépenses thématiques'!O158</f>
        <v>-135949.41294419023</v>
      </c>
      <c r="I159" s="246">
        <f>'K) Plafonnement aide'!J158</f>
        <v>0</v>
      </c>
      <c r="J159" s="246">
        <f>'J) Plafonnement effort'!I158</f>
        <v>0</v>
      </c>
      <c r="K159" s="246">
        <f>'L) Plafonnement taux'!Q159</f>
        <v>0</v>
      </c>
      <c r="L159" s="332">
        <f t="shared" si="4"/>
        <v>495158.56583382678</v>
      </c>
      <c r="M159" s="332">
        <f>'M) Police'!O159</f>
        <v>69380.822063178101</v>
      </c>
      <c r="N159" s="332">
        <f t="shared" si="5"/>
        <v>564539.38789700484</v>
      </c>
      <c r="P159" s="445"/>
    </row>
    <row r="160" spans="1:16" s="237" customFormat="1" x14ac:dyDescent="0.25">
      <c r="A160" s="234">
        <f>'B) D RI'!A161</f>
        <v>5653</v>
      </c>
      <c r="B160" s="235" t="str">
        <f>'B) D RI'!B161</f>
        <v>Vufflens-le-Château</v>
      </c>
      <c r="C160" s="402">
        <f>'B) D RI'!S161</f>
        <v>55</v>
      </c>
      <c r="D160" s="236">
        <f>'B) D RI'!AR161</f>
        <v>841</v>
      </c>
      <c r="E160" s="243">
        <f>'D) Ecrêtage'!M159</f>
        <v>55874.435849684494</v>
      </c>
      <c r="F160" s="246">
        <f>'E) Fact soc'!G165</f>
        <v>1210413.0951666122</v>
      </c>
      <c r="G160" s="246">
        <f>'H) Péréquation directe'!I170</f>
        <v>954070.83439521003</v>
      </c>
      <c r="H160" s="246">
        <f>'I) Dépenses thématiques'!O159</f>
        <v>0</v>
      </c>
      <c r="I160" s="246">
        <f>'K) Plafonnement aide'!J159</f>
        <v>0</v>
      </c>
      <c r="J160" s="246">
        <f>'J) Plafonnement effort'!I159</f>
        <v>0</v>
      </c>
      <c r="K160" s="246">
        <f>'L) Plafonnement taux'!Q160</f>
        <v>0</v>
      </c>
      <c r="L160" s="332">
        <f t="shared" si="4"/>
        <v>2164483.9295618222</v>
      </c>
      <c r="M160" s="332">
        <f>'M) Police'!O160</f>
        <v>144721.25381514896</v>
      </c>
      <c r="N160" s="332">
        <f t="shared" si="5"/>
        <v>2309205.1833769712</v>
      </c>
      <c r="P160" s="445"/>
    </row>
    <row r="161" spans="1:16" s="237" customFormat="1" x14ac:dyDescent="0.25">
      <c r="A161" s="234">
        <f>'B) D RI'!A162</f>
        <v>5654</v>
      </c>
      <c r="B161" s="235" t="str">
        <f>'B) D RI'!B162</f>
        <v>Vullierens</v>
      </c>
      <c r="C161" s="402">
        <f>'B) D RI'!S162</f>
        <v>76</v>
      </c>
      <c r="D161" s="236">
        <f>'B) D RI'!AR162</f>
        <v>461</v>
      </c>
      <c r="E161" s="243">
        <f>'D) Ecrêtage'!M160</f>
        <v>17141.735000000001</v>
      </c>
      <c r="F161" s="246">
        <f>'E) Fact soc'!G166</f>
        <v>299970.02603720711</v>
      </c>
      <c r="G161" s="246">
        <f>'H) Péréquation directe'!I171</f>
        <v>199138.74325528854</v>
      </c>
      <c r="H161" s="246">
        <f>'I) Dépenses thématiques'!O160</f>
        <v>-478894.6198544146</v>
      </c>
      <c r="I161" s="246">
        <f>'K) Plafonnement aide'!J160</f>
        <v>0</v>
      </c>
      <c r="J161" s="246">
        <f>'J) Plafonnement effort'!I160</f>
        <v>0</v>
      </c>
      <c r="K161" s="246">
        <f>'L) Plafonnement taux'!Q161</f>
        <v>0</v>
      </c>
      <c r="L161" s="332">
        <f t="shared" si="4"/>
        <v>20214.149438081076</v>
      </c>
      <c r="M161" s="332">
        <f>'M) Police'!O161</f>
        <v>53922.08828484964</v>
      </c>
      <c r="N161" s="332">
        <f t="shared" si="5"/>
        <v>74136.237722930717</v>
      </c>
      <c r="P161" s="445"/>
    </row>
    <row r="162" spans="1:16" s="237" customFormat="1" x14ac:dyDescent="0.25">
      <c r="A162" s="234">
        <f>'B) D RI'!A163</f>
        <v>5655</v>
      </c>
      <c r="B162" s="235" t="str">
        <f>'B) D RI'!B163</f>
        <v>Yens</v>
      </c>
      <c r="C162" s="402">
        <f>'B) D RI'!S163</f>
        <v>73</v>
      </c>
      <c r="D162" s="236">
        <f>'B) D RI'!AR163</f>
        <v>1388</v>
      </c>
      <c r="E162" s="243">
        <f>'D) Ecrêtage'!M161</f>
        <v>81517.852964189922</v>
      </c>
      <c r="F162" s="246">
        <f>'E) Fact soc'!G167</f>
        <v>1465853.2623299533</v>
      </c>
      <c r="G162" s="246">
        <f>'H) Péréquation directe'!I172</f>
        <v>1280429.4483129671</v>
      </c>
      <c r="H162" s="246">
        <f>'I) Dépenses thématiques'!O161</f>
        <v>0</v>
      </c>
      <c r="I162" s="246">
        <f>'K) Plafonnement aide'!J161</f>
        <v>0</v>
      </c>
      <c r="J162" s="246">
        <f>'J) Plafonnement effort'!I161</f>
        <v>0</v>
      </c>
      <c r="K162" s="246">
        <f>'L) Plafonnement taux'!Q162</f>
        <v>0</v>
      </c>
      <c r="L162" s="332">
        <f t="shared" si="4"/>
        <v>2746282.7106429203</v>
      </c>
      <c r="M162" s="332">
        <f>'M) Police'!O162</f>
        <v>225152.58804284746</v>
      </c>
      <c r="N162" s="332">
        <f t="shared" si="5"/>
        <v>2971435.2986857677</v>
      </c>
      <c r="P162" s="445"/>
    </row>
    <row r="163" spans="1:16" s="237" customFormat="1" x14ac:dyDescent="0.25">
      <c r="A163" s="234">
        <f>'B) D RI'!A164</f>
        <v>5661</v>
      </c>
      <c r="B163" s="235" t="str">
        <f>'B) D RI'!B164</f>
        <v>Boulens</v>
      </c>
      <c r="C163" s="402">
        <f>'B) D RI'!S164</f>
        <v>79</v>
      </c>
      <c r="D163" s="236">
        <f>'B) D RI'!AR164</f>
        <v>368</v>
      </c>
      <c r="E163" s="243">
        <f>'D) Ecrêtage'!M162</f>
        <v>9592.9711392405043</v>
      </c>
      <c r="F163" s="246">
        <f>'E) Fact soc'!G168</f>
        <v>164437.02762611519</v>
      </c>
      <c r="G163" s="246">
        <f>'H) Péréquation directe'!I173</f>
        <v>-23712.195392816968</v>
      </c>
      <c r="H163" s="246">
        <f>'I) Dépenses thématiques'!O162</f>
        <v>-23734.791471493019</v>
      </c>
      <c r="I163" s="246">
        <f>'K) Plafonnement aide'!J162</f>
        <v>0</v>
      </c>
      <c r="J163" s="246">
        <f>'J) Plafonnement effort'!I162</f>
        <v>0</v>
      </c>
      <c r="K163" s="246">
        <f>'L) Plafonnement taux'!Q163</f>
        <v>0</v>
      </c>
      <c r="L163" s="332">
        <f t="shared" si="4"/>
        <v>116990.0407618052</v>
      </c>
      <c r="M163" s="332">
        <f>'M) Police'!O163</f>
        <v>30400.996541292254</v>
      </c>
      <c r="N163" s="332">
        <f t="shared" si="5"/>
        <v>147391.03730309746</v>
      </c>
      <c r="P163" s="445"/>
    </row>
    <row r="164" spans="1:16" s="237" customFormat="1" x14ac:dyDescent="0.25">
      <c r="A164" s="234">
        <f>'B) D RI'!A165</f>
        <v>5662</v>
      </c>
      <c r="B164" s="235" t="str">
        <f>'B) D RI'!B165</f>
        <v>Brenles</v>
      </c>
      <c r="C164" s="402">
        <f>'B) D RI'!S165</f>
        <v>78</v>
      </c>
      <c r="D164" s="236">
        <f>'B) D RI'!AR165</f>
        <v>138</v>
      </c>
      <c r="E164" s="243">
        <f>'D) Ecrêtage'!M163</f>
        <v>5126.068504273504</v>
      </c>
      <c r="F164" s="246">
        <f>'E) Fact soc'!G169</f>
        <v>99954.284553370744</v>
      </c>
      <c r="G164" s="246">
        <f>'H) Péréquation directe'!I174</f>
        <v>58210.922566331385</v>
      </c>
      <c r="H164" s="246">
        <f>'I) Dépenses thématiques'!O163</f>
        <v>-16795.360622453074</v>
      </c>
      <c r="I164" s="246">
        <f>'K) Plafonnement aide'!J163</f>
        <v>0</v>
      </c>
      <c r="J164" s="246">
        <f>'J) Plafonnement effort'!I163</f>
        <v>0</v>
      </c>
      <c r="K164" s="246">
        <f>'L) Plafonnement taux'!Q164</f>
        <v>0</v>
      </c>
      <c r="L164" s="332">
        <f t="shared" si="4"/>
        <v>141369.84649724906</v>
      </c>
      <c r="M164" s="332">
        <f>'M) Police'!O164</f>
        <v>16323.022669642305</v>
      </c>
      <c r="N164" s="332">
        <f t="shared" si="5"/>
        <v>157692.86916689138</v>
      </c>
      <c r="P164" s="445"/>
    </row>
    <row r="165" spans="1:16" s="237" customFormat="1" x14ac:dyDescent="0.25">
      <c r="A165" s="234">
        <f>'B) D RI'!A166</f>
        <v>5663</v>
      </c>
      <c r="B165" s="235" t="str">
        <f>'B) D RI'!B166</f>
        <v>Bussy-sur-Moudon</v>
      </c>
      <c r="C165" s="402">
        <f>'B) D RI'!S166</f>
        <v>80</v>
      </c>
      <c r="D165" s="236">
        <f>'B) D RI'!AR166</f>
        <v>208</v>
      </c>
      <c r="E165" s="243">
        <f>'D) Ecrêtage'!M164</f>
        <v>5468.4132499999996</v>
      </c>
      <c r="F165" s="246">
        <f>'E) Fact soc'!G170</f>
        <v>90541.05257045076</v>
      </c>
      <c r="G165" s="246">
        <f>'H) Péréquation directe'!I175</f>
        <v>-13741.759932477624</v>
      </c>
      <c r="H165" s="246">
        <f>'I) Dépenses thématiques'!O164</f>
        <v>-46946.976696868514</v>
      </c>
      <c r="I165" s="246">
        <f>'K) Plafonnement aide'!J164</f>
        <v>0</v>
      </c>
      <c r="J165" s="246">
        <f>'J) Plafonnement effort'!I164</f>
        <v>0</v>
      </c>
      <c r="K165" s="246">
        <f>'L) Plafonnement taux'!Q165</f>
        <v>0</v>
      </c>
      <c r="L165" s="332">
        <f t="shared" si="4"/>
        <v>29852.315941104622</v>
      </c>
      <c r="M165" s="332">
        <f>'M) Police'!O165</f>
        <v>17196.364233468114</v>
      </c>
      <c r="N165" s="332">
        <f t="shared" si="5"/>
        <v>47048.680174572735</v>
      </c>
      <c r="P165" s="445"/>
    </row>
    <row r="166" spans="1:16" s="237" customFormat="1" x14ac:dyDescent="0.25">
      <c r="A166" s="234">
        <f>'B) D RI'!A167</f>
        <v>5665</v>
      </c>
      <c r="B166" s="235" t="str">
        <f>'B) D RI'!B167</f>
        <v>Chavannes-sur-Moudon</v>
      </c>
      <c r="C166" s="402">
        <f>'B) D RI'!S167</f>
        <v>73</v>
      </c>
      <c r="D166" s="236">
        <f>'B) D RI'!AR167</f>
        <v>224</v>
      </c>
      <c r="E166" s="243">
        <f>'D) Ecrêtage'!M165</f>
        <v>4982.8790410958891</v>
      </c>
      <c r="F166" s="246">
        <f>'E) Fact soc'!G171</f>
        <v>74281.116665986046</v>
      </c>
      <c r="G166" s="246">
        <f>'H) Péréquation directe'!I176</f>
        <v>-33845.490999310918</v>
      </c>
      <c r="H166" s="246">
        <f>'I) Dépenses thématiques'!O165</f>
        <v>-14856.964819985677</v>
      </c>
      <c r="I166" s="246">
        <f>'K) Plafonnement aide'!J165</f>
        <v>0</v>
      </c>
      <c r="J166" s="246">
        <f>'J) Plafonnement effort'!I165</f>
        <v>0</v>
      </c>
      <c r="K166" s="246">
        <f>'L) Plafonnement taux'!Q166</f>
        <v>0</v>
      </c>
      <c r="L166" s="332">
        <f t="shared" si="4"/>
        <v>25578.660846689454</v>
      </c>
      <c r="M166" s="332">
        <f>'M) Police'!O166</f>
        <v>15700.268131166928</v>
      </c>
      <c r="N166" s="332">
        <f t="shared" si="5"/>
        <v>41278.928977856383</v>
      </c>
      <c r="P166" s="445"/>
    </row>
    <row r="167" spans="1:16" s="237" customFormat="1" x14ac:dyDescent="0.25">
      <c r="A167" s="234">
        <f>'B) D RI'!A168</f>
        <v>5666</v>
      </c>
      <c r="B167" s="235" t="str">
        <f>'B) D RI'!B168</f>
        <v>Chesalles-sur-Moudon</v>
      </c>
      <c r="C167" s="402">
        <f>'B) D RI'!S168</f>
        <v>75</v>
      </c>
      <c r="D167" s="236">
        <f>'B) D RI'!AR168</f>
        <v>196</v>
      </c>
      <c r="E167" s="243">
        <f>'D) Ecrêtage'!M166</f>
        <v>3797.0531999999998</v>
      </c>
      <c r="F167" s="246">
        <f>'E) Fact soc'!G172</f>
        <v>55681.648114647935</v>
      </c>
      <c r="G167" s="246">
        <f>'H) Péréquation directe'!I177</f>
        <v>-57785.067831896333</v>
      </c>
      <c r="H167" s="246">
        <f>'I) Dépenses thématiques'!O166</f>
        <v>0</v>
      </c>
      <c r="I167" s="246">
        <f>'K) Plafonnement aide'!J166</f>
        <v>0</v>
      </c>
      <c r="J167" s="246">
        <f>'J) Plafonnement effort'!I166</f>
        <v>0</v>
      </c>
      <c r="K167" s="246">
        <f>'L) Plafonnement taux'!Q167</f>
        <v>0</v>
      </c>
      <c r="L167" s="332">
        <f t="shared" si="4"/>
        <v>-2103.4197172483982</v>
      </c>
      <c r="M167" s="332">
        <f>'M) Police'!O167</f>
        <v>11695.70534089867</v>
      </c>
      <c r="N167" s="332">
        <f t="shared" si="5"/>
        <v>9592.2856236502721</v>
      </c>
      <c r="P167" s="445"/>
    </row>
    <row r="168" spans="1:16" s="237" customFormat="1" x14ac:dyDescent="0.25">
      <c r="A168" s="234">
        <f>'B) D RI'!A169</f>
        <v>5668</v>
      </c>
      <c r="B168" s="235" t="str">
        <f>'B) D RI'!B169</f>
        <v>Cremin</v>
      </c>
      <c r="C168" s="402">
        <f>'B) D RI'!S169</f>
        <v>77</v>
      </c>
      <c r="D168" s="236">
        <f>'B) D RI'!AR169</f>
        <v>59</v>
      </c>
      <c r="E168" s="243">
        <f>'D) Ecrêtage'!M167</f>
        <v>1016.3289610389612</v>
      </c>
      <c r="F168" s="246">
        <f>'E) Fact soc'!G173</f>
        <v>17733.317201799324</v>
      </c>
      <c r="G168" s="246">
        <f>'H) Péréquation directe'!I178</f>
        <v>-24518.689387912364</v>
      </c>
      <c r="H168" s="246">
        <f>'I) Dépenses thématiques'!O167</f>
        <v>-2385.2841449405651</v>
      </c>
      <c r="I168" s="246">
        <f>'K) Plafonnement aide'!J167</f>
        <v>1195.5629003987528</v>
      </c>
      <c r="J168" s="246">
        <f>'J) Plafonnement effort'!I167</f>
        <v>0</v>
      </c>
      <c r="K168" s="246">
        <f>'L) Plafonnement taux'!Q168</f>
        <v>0</v>
      </c>
      <c r="L168" s="332">
        <f t="shared" si="4"/>
        <v>-7975.0934306548515</v>
      </c>
      <c r="M168" s="332">
        <f>'M) Police'!O168</f>
        <v>3179.6119333123906</v>
      </c>
      <c r="N168" s="332">
        <f t="shared" si="5"/>
        <v>-4795.4814973424609</v>
      </c>
      <c r="P168" s="445"/>
    </row>
    <row r="169" spans="1:16" s="237" customFormat="1" x14ac:dyDescent="0.25">
      <c r="A169" s="234">
        <f>'B) D RI'!A170</f>
        <v>5669</v>
      </c>
      <c r="B169" s="235" t="str">
        <f>'B) D RI'!B170</f>
        <v>Curtilles</v>
      </c>
      <c r="C169" s="402">
        <f>'B) D RI'!S170</f>
        <v>72</v>
      </c>
      <c r="D169" s="236">
        <f>'B) D RI'!AR170</f>
        <v>309</v>
      </c>
      <c r="E169" s="243">
        <f>'D) Ecrêtage'!M168</f>
        <v>8279.174027777779</v>
      </c>
      <c r="F169" s="246">
        <f>'E) Fact soc'!G174</f>
        <v>124442.62741983566</v>
      </c>
      <c r="G169" s="246">
        <f>'H) Péréquation directe'!I179</f>
        <v>12427.086547126761</v>
      </c>
      <c r="H169" s="246">
        <f>'I) Dépenses thématiques'!O168</f>
        <v>-30462.426321369931</v>
      </c>
      <c r="I169" s="246">
        <f>'K) Plafonnement aide'!J168</f>
        <v>0</v>
      </c>
      <c r="J169" s="246">
        <f>'J) Plafonnement effort'!I168</f>
        <v>0</v>
      </c>
      <c r="K169" s="246">
        <f>'L) Plafonnement taux'!Q169</f>
        <v>0</v>
      </c>
      <c r="L169" s="332">
        <f t="shared" si="4"/>
        <v>106407.28764559249</v>
      </c>
      <c r="M169" s="332">
        <f>'M) Police'!O169</f>
        <v>25948.30529056524</v>
      </c>
      <c r="N169" s="332">
        <f t="shared" si="5"/>
        <v>132355.59293615771</v>
      </c>
      <c r="P169" s="445"/>
    </row>
    <row r="170" spans="1:16" s="237" customFormat="1" x14ac:dyDescent="0.25">
      <c r="A170" s="234">
        <f>'B) D RI'!A171</f>
        <v>5671</v>
      </c>
      <c r="B170" s="235" t="str">
        <f>'B) D RI'!B171</f>
        <v>Dompierre</v>
      </c>
      <c r="C170" s="402">
        <f>'B) D RI'!S171</f>
        <v>80</v>
      </c>
      <c r="D170" s="236">
        <f>'B) D RI'!AR171</f>
        <v>242</v>
      </c>
      <c r="E170" s="243">
        <f>'D) Ecrêtage'!M169</f>
        <v>6672.7971250000001</v>
      </c>
      <c r="F170" s="246">
        <f>'E) Fact soc'!G175</f>
        <v>97852.814244131325</v>
      </c>
      <c r="G170" s="246">
        <f>'H) Péréquation directe'!I180</f>
        <v>-2283.0436604369461</v>
      </c>
      <c r="H170" s="246">
        <f>'I) Dépenses thématiques'!O169</f>
        <v>-49797.630048157742</v>
      </c>
      <c r="I170" s="246">
        <f>'K) Plafonnement aide'!J169</f>
        <v>0</v>
      </c>
      <c r="J170" s="246">
        <f>'J) Plafonnement effort'!I169</f>
        <v>0</v>
      </c>
      <c r="K170" s="246">
        <f>'L) Plafonnement taux'!Q170</f>
        <v>0</v>
      </c>
      <c r="L170" s="332">
        <f t="shared" si="4"/>
        <v>45772.140535536637</v>
      </c>
      <c r="M170" s="332">
        <f>'M) Police'!O170</f>
        <v>21000.039870594912</v>
      </c>
      <c r="N170" s="332">
        <f t="shared" si="5"/>
        <v>66772.180406131549</v>
      </c>
      <c r="P170" s="445"/>
    </row>
    <row r="171" spans="1:16" s="237" customFormat="1" x14ac:dyDescent="0.25">
      <c r="A171" s="234">
        <f>'B) D RI'!A172</f>
        <v>5672</v>
      </c>
      <c r="B171" s="235" t="str">
        <f>'B) D RI'!B172</f>
        <v>Forel-sur-Lucens</v>
      </c>
      <c r="C171" s="402">
        <f>'B) D RI'!S172</f>
        <v>75</v>
      </c>
      <c r="D171" s="236">
        <f>'B) D RI'!AR172</f>
        <v>154</v>
      </c>
      <c r="E171" s="243">
        <f>'D) Ecrêtage'!M170</f>
        <v>4096.3695000000007</v>
      </c>
      <c r="F171" s="246">
        <f>'E) Fact soc'!G176</f>
        <v>61170.953192485256</v>
      </c>
      <c r="G171" s="246">
        <f>'H) Péréquation directe'!I181</f>
        <v>273.55993537584436</v>
      </c>
      <c r="H171" s="246">
        <f>'I) Dépenses thématiques'!O170</f>
        <v>-9614.5011935294933</v>
      </c>
      <c r="I171" s="246">
        <f>'K) Plafonnement aide'!J170</f>
        <v>0</v>
      </c>
      <c r="J171" s="246">
        <f>'J) Plafonnement effort'!I170</f>
        <v>0</v>
      </c>
      <c r="K171" s="246">
        <f>'L) Plafonnement taux'!Q171</f>
        <v>0</v>
      </c>
      <c r="L171" s="332">
        <f t="shared" ref="L171:L226" si="6">F171+G171+H171+I171+J171+K171</f>
        <v>51830.011934331604</v>
      </c>
      <c r="M171" s="332">
        <f>'M) Police'!O171</f>
        <v>13001.7575315047</v>
      </c>
      <c r="N171" s="332">
        <f t="shared" si="5"/>
        <v>64831.769465836303</v>
      </c>
      <c r="P171" s="445"/>
    </row>
    <row r="172" spans="1:16" s="237" customFormat="1" x14ac:dyDescent="0.25">
      <c r="A172" s="234">
        <f>'B) D RI'!A173</f>
        <v>5673</v>
      </c>
      <c r="B172" s="235" t="str">
        <f>'B) D RI'!B173</f>
        <v>Hermenches</v>
      </c>
      <c r="C172" s="402">
        <f>'B) D RI'!S173</f>
        <v>75</v>
      </c>
      <c r="D172" s="236">
        <f>'B) D RI'!AR173</f>
        <v>379</v>
      </c>
      <c r="E172" s="243">
        <f>'D) Ecrêtage'!M171</f>
        <v>7873.3323555555571</v>
      </c>
      <c r="F172" s="246">
        <f>'E) Fact soc'!G177</f>
        <v>128229.48271313414</v>
      </c>
      <c r="G172" s="246">
        <f>'H) Péréquation directe'!I182</f>
        <v>-89942.380270690337</v>
      </c>
      <c r="H172" s="246">
        <f>'I) Dépenses thématiques'!O171</f>
        <v>-25317.945353064621</v>
      </c>
      <c r="I172" s="246">
        <f>'K) Plafonnement aide'!J171</f>
        <v>0</v>
      </c>
      <c r="J172" s="246">
        <f>'J) Plafonnement effort'!I171</f>
        <v>0</v>
      </c>
      <c r="K172" s="246">
        <f>'L) Plafonnement taux'!Q172</f>
        <v>0</v>
      </c>
      <c r="L172" s="332">
        <f t="shared" si="6"/>
        <v>12969.157089379187</v>
      </c>
      <c r="M172" s="332">
        <f>'M) Police'!O172</f>
        <v>24604.18107461997</v>
      </c>
      <c r="N172" s="332">
        <f t="shared" si="5"/>
        <v>37573.338163999157</v>
      </c>
      <c r="P172" s="445"/>
    </row>
    <row r="173" spans="1:16" s="237" customFormat="1" x14ac:dyDescent="0.25">
      <c r="A173" s="234">
        <f>'B) D RI'!A174</f>
        <v>5674</v>
      </c>
      <c r="B173" s="235" t="str">
        <f>'B) D RI'!B174</f>
        <v>Lovatens</v>
      </c>
      <c r="C173" s="402">
        <f>'B) D RI'!S174</f>
        <v>75</v>
      </c>
      <c r="D173" s="236">
        <f>'B) D RI'!AR174</f>
        <v>143</v>
      </c>
      <c r="E173" s="243">
        <f>'D) Ecrêtage'!M172</f>
        <v>3776.8391809523814</v>
      </c>
      <c r="F173" s="246">
        <f>'E) Fact soc'!G178</f>
        <v>82993.370902200055</v>
      </c>
      <c r="G173" s="246">
        <f>'H) Péréquation directe'!I183</f>
        <v>-851.28496045633801</v>
      </c>
      <c r="H173" s="246">
        <f>'I) Dépenses thématiques'!O172</f>
        <v>-20749.267741199001</v>
      </c>
      <c r="I173" s="246">
        <f>'K) Plafonnement aide'!J172</f>
        <v>0</v>
      </c>
      <c r="J173" s="246">
        <f>'J) Plafonnement effort'!I172</f>
        <v>0</v>
      </c>
      <c r="K173" s="246">
        <f>'L) Plafonnement taux'!Q173</f>
        <v>0</v>
      </c>
      <c r="L173" s="332">
        <f t="shared" si="6"/>
        <v>61392.818200544716</v>
      </c>
      <c r="M173" s="332">
        <f>'M) Police'!O173</f>
        <v>11955.109193513941</v>
      </c>
      <c r="N173" s="332">
        <f t="shared" si="5"/>
        <v>73347.927394058657</v>
      </c>
      <c r="P173" s="445"/>
    </row>
    <row r="174" spans="1:16" s="237" customFormat="1" x14ac:dyDescent="0.25">
      <c r="A174" s="234">
        <f>'B) D RI'!A175</f>
        <v>5675</v>
      </c>
      <c r="B174" s="235" t="str">
        <f>'B) D RI'!B175</f>
        <v>Lucens</v>
      </c>
      <c r="C174" s="402">
        <f>'B) D RI'!S175</f>
        <v>66</v>
      </c>
      <c r="D174" s="236">
        <f>'B) D RI'!AR175</f>
        <v>3380</v>
      </c>
      <c r="E174" s="243">
        <f>'D) Ecrêtage'!M173</f>
        <v>77479.696914600558</v>
      </c>
      <c r="F174" s="246">
        <f>'E) Fact soc'!G179</f>
        <v>1321538.0680098203</v>
      </c>
      <c r="G174" s="246">
        <f>'H) Péréquation directe'!I184</f>
        <v>-783907.20674478752</v>
      </c>
      <c r="H174" s="246">
        <f>'I) Dépenses thématiques'!O173</f>
        <v>-406991.37856411561</v>
      </c>
      <c r="I174" s="246">
        <f>'K) Plafonnement aide'!J173</f>
        <v>0</v>
      </c>
      <c r="J174" s="246">
        <f>'J) Plafonnement effort'!I173</f>
        <v>0</v>
      </c>
      <c r="K174" s="246">
        <f>'L) Plafonnement taux'!Q174</f>
        <v>0</v>
      </c>
      <c r="L174" s="332">
        <f t="shared" si="6"/>
        <v>130639.48270091717</v>
      </c>
      <c r="M174" s="332">
        <f>'M) Police'!O174</f>
        <v>239135.62162324187</v>
      </c>
      <c r="N174" s="332">
        <f t="shared" si="5"/>
        <v>369775.10432415904</v>
      </c>
      <c r="P174" s="445"/>
    </row>
    <row r="175" spans="1:16" s="237" customFormat="1" x14ac:dyDescent="0.25">
      <c r="A175" s="234">
        <f>'B) D RI'!A176</f>
        <v>5678</v>
      </c>
      <c r="B175" s="235" t="str">
        <f>'B) D RI'!B176</f>
        <v>Moudon</v>
      </c>
      <c r="C175" s="402">
        <f>'B) D RI'!S176</f>
        <v>75</v>
      </c>
      <c r="D175" s="236">
        <f>'B) D RI'!AR176</f>
        <v>6003</v>
      </c>
      <c r="E175" s="243">
        <f>'D) Ecrêtage'!M174</f>
        <v>123116.47720000001</v>
      </c>
      <c r="F175" s="246">
        <f>'E) Fact soc'!G180</f>
        <v>2207078.375531971</v>
      </c>
      <c r="G175" s="246">
        <f>'H) Péréquation directe'!I185</f>
        <v>-3265966.7084689769</v>
      </c>
      <c r="H175" s="246">
        <f>'I) Dépenses thématiques'!O174</f>
        <v>-1297998.5792568838</v>
      </c>
      <c r="I175" s="246">
        <f>'K) Plafonnement aide'!J174</f>
        <v>381747.70833700593</v>
      </c>
      <c r="J175" s="246">
        <f>'J) Plafonnement effort'!I174</f>
        <v>0</v>
      </c>
      <c r="K175" s="246">
        <f>'L) Plafonnement taux'!Q175</f>
        <v>0</v>
      </c>
      <c r="L175" s="332">
        <f t="shared" si="6"/>
        <v>-1975139.2038568838</v>
      </c>
      <c r="M175" s="332">
        <f>'M) Police'!O175</f>
        <v>382580.51972682821</v>
      </c>
      <c r="N175" s="332">
        <f t="shared" si="5"/>
        <v>-1592558.6841300556</v>
      </c>
      <c r="P175" s="445"/>
    </row>
    <row r="176" spans="1:16" s="237" customFormat="1" x14ac:dyDescent="0.25">
      <c r="A176" s="234">
        <f>'B) D RI'!A177</f>
        <v>5680</v>
      </c>
      <c r="B176" s="235" t="str">
        <f>'B) D RI'!B177</f>
        <v>Ogens</v>
      </c>
      <c r="C176" s="402">
        <f>'B) D RI'!S177</f>
        <v>78</v>
      </c>
      <c r="D176" s="236">
        <f>'B) D RI'!AR177</f>
        <v>296</v>
      </c>
      <c r="E176" s="243">
        <f>'D) Ecrêtage'!M175</f>
        <v>8504.3488034188031</v>
      </c>
      <c r="F176" s="246">
        <f>'E) Fact soc'!G181</f>
        <v>144446.46377139594</v>
      </c>
      <c r="G176" s="246">
        <f>'H) Péréquation directe'!I186</f>
        <v>18071.487676330144</v>
      </c>
      <c r="H176" s="246">
        <f>'I) Dépenses thématiques'!O175</f>
        <v>-19588.684555319189</v>
      </c>
      <c r="I176" s="246">
        <f>'K) Plafonnement aide'!J175</f>
        <v>0</v>
      </c>
      <c r="J176" s="246">
        <f>'J) Plafonnement effort'!I175</f>
        <v>0</v>
      </c>
      <c r="K176" s="246">
        <f>'L) Plafonnement taux'!Q176</f>
        <v>0</v>
      </c>
      <c r="L176" s="332">
        <f t="shared" si="6"/>
        <v>142929.26689240689</v>
      </c>
      <c r="M176" s="332">
        <f>'M) Police'!O176</f>
        <v>26949.235582883011</v>
      </c>
      <c r="N176" s="332">
        <f t="shared" si="5"/>
        <v>169878.50247528989</v>
      </c>
      <c r="P176" s="445"/>
    </row>
    <row r="177" spans="1:16" s="237" customFormat="1" x14ac:dyDescent="0.25">
      <c r="A177" s="234">
        <f>'B) D RI'!A178</f>
        <v>5683</v>
      </c>
      <c r="B177" s="235" t="str">
        <f>'B) D RI'!B178</f>
        <v>Prévonloup</v>
      </c>
      <c r="C177" s="402">
        <f>'B) D RI'!S178</f>
        <v>74</v>
      </c>
      <c r="D177" s="236">
        <f>'B) D RI'!AR178</f>
        <v>166</v>
      </c>
      <c r="E177" s="243">
        <f>'D) Ecrêtage'!M176</f>
        <v>4128.5685135135127</v>
      </c>
      <c r="F177" s="246">
        <f>'E) Fact soc'!G182</f>
        <v>60543.133603362345</v>
      </c>
      <c r="G177" s="246">
        <f>'H) Péréquation directe'!I187</f>
        <v>-9583.1736508911417</v>
      </c>
      <c r="H177" s="246">
        <f>'I) Dépenses thématiques'!O176</f>
        <v>-18710.746037589073</v>
      </c>
      <c r="I177" s="246">
        <f>'K) Plafonnement aide'!J176</f>
        <v>0</v>
      </c>
      <c r="J177" s="246">
        <f>'J) Plafonnement effort'!I176</f>
        <v>0</v>
      </c>
      <c r="K177" s="246">
        <f>'L) Plafonnement taux'!Q177</f>
        <v>0</v>
      </c>
      <c r="L177" s="332">
        <f t="shared" si="6"/>
        <v>32249.21391488213</v>
      </c>
      <c r="M177" s="332">
        <f>'M) Police'!O177</f>
        <v>12940.864237435584</v>
      </c>
      <c r="N177" s="332">
        <f t="shared" si="5"/>
        <v>45190.078152317714</v>
      </c>
      <c r="P177" s="445"/>
    </row>
    <row r="178" spans="1:16" s="237" customFormat="1" x14ac:dyDescent="0.25">
      <c r="A178" s="234">
        <f>'B) D RI'!A179</f>
        <v>5684</v>
      </c>
      <c r="B178" s="235" t="str">
        <f>'B) D RI'!B179</f>
        <v>Rossenges</v>
      </c>
      <c r="C178" s="402">
        <f>'B) D RI'!S179</f>
        <v>60</v>
      </c>
      <c r="D178" s="236">
        <f>'B) D RI'!AR179</f>
        <v>60</v>
      </c>
      <c r="E178" s="243">
        <f>'D) Ecrêtage'!M177</f>
        <v>2119.9519999999998</v>
      </c>
      <c r="F178" s="246">
        <f>'E) Fact soc'!G183</f>
        <v>31087.902925338025</v>
      </c>
      <c r="G178" s="246">
        <f>'H) Péréquation directe'!I188</f>
        <v>25864.882055026384</v>
      </c>
      <c r="H178" s="246">
        <f>'I) Dépenses thématiques'!O177</f>
        <v>0</v>
      </c>
      <c r="I178" s="246">
        <f>'K) Plafonnement aide'!J177</f>
        <v>0</v>
      </c>
      <c r="J178" s="246">
        <f>'J) Plafonnement effort'!I177</f>
        <v>0</v>
      </c>
      <c r="K178" s="246">
        <f>'L) Plafonnement taux'!Q178</f>
        <v>0</v>
      </c>
      <c r="L178" s="332">
        <f t="shared" si="6"/>
        <v>56952.784980364406</v>
      </c>
      <c r="M178" s="332">
        <f>'M) Police'!O178</f>
        <v>6663.1496025387314</v>
      </c>
      <c r="N178" s="332">
        <f t="shared" si="5"/>
        <v>63615.934582903137</v>
      </c>
      <c r="P178" s="445"/>
    </row>
    <row r="179" spans="1:16" s="237" customFormat="1" x14ac:dyDescent="0.25">
      <c r="A179" s="234">
        <f>'B) D RI'!A180</f>
        <v>5686</v>
      </c>
      <c r="B179" s="235" t="str">
        <f>'B) D RI'!B180</f>
        <v>Sarzens</v>
      </c>
      <c r="C179" s="402">
        <f>'B) D RI'!S180</f>
        <v>74</v>
      </c>
      <c r="D179" s="236">
        <f>'B) D RI'!AR180</f>
        <v>82</v>
      </c>
      <c r="E179" s="243">
        <f>'D) Ecrêtage'!M178</f>
        <v>1678.3095945945947</v>
      </c>
      <c r="F179" s="246">
        <f>'E) Fact soc'!G184</f>
        <v>30774.915615929127</v>
      </c>
      <c r="G179" s="246">
        <f>'H) Péréquation directe'!I189</f>
        <v>-19338.458869129037</v>
      </c>
      <c r="H179" s="246">
        <f>'I) Dépenses thématiques'!O178</f>
        <v>-23066.456801266366</v>
      </c>
      <c r="I179" s="246">
        <f>'K) Plafonnement aide'!J178</f>
        <v>0</v>
      </c>
      <c r="J179" s="246">
        <f>'J) Plafonnement effort'!I178</f>
        <v>0</v>
      </c>
      <c r="K179" s="246">
        <f>'L) Plafonnement taux'!Q179</f>
        <v>0</v>
      </c>
      <c r="L179" s="332">
        <f t="shared" si="6"/>
        <v>-11630.000054466276</v>
      </c>
      <c r="M179" s="332">
        <f>'M) Police'!O179</f>
        <v>5215.5960546841734</v>
      </c>
      <c r="N179" s="332">
        <f t="shared" si="5"/>
        <v>-6414.4039997821028</v>
      </c>
      <c r="P179" s="445"/>
    </row>
    <row r="180" spans="1:16" s="237" customFormat="1" x14ac:dyDescent="0.25">
      <c r="A180" s="234">
        <f>'B) D RI'!A181</f>
        <v>5688</v>
      </c>
      <c r="B180" s="235" t="str">
        <f>'B) D RI'!B181</f>
        <v>Syens</v>
      </c>
      <c r="C180" s="402">
        <f>'B) D RI'!S181</f>
        <v>75.599999999999994</v>
      </c>
      <c r="D180" s="236">
        <f>'B) D RI'!AR181</f>
        <v>145</v>
      </c>
      <c r="E180" s="243">
        <f>'D) Ecrêtage'!M179</f>
        <v>4845.4007936507942</v>
      </c>
      <c r="F180" s="246">
        <f>'E) Fact soc'!G185</f>
        <v>92608.175542923476</v>
      </c>
      <c r="G180" s="246">
        <f>'H) Péréquation directe'!I190</f>
        <v>40263.378643189324</v>
      </c>
      <c r="H180" s="246">
        <f>'I) Dépenses thématiques'!O179</f>
        <v>-17791.546430792503</v>
      </c>
      <c r="I180" s="246">
        <f>'K) Plafonnement aide'!J179</f>
        <v>0</v>
      </c>
      <c r="J180" s="246">
        <f>'J) Plafonnement effort'!I179</f>
        <v>0</v>
      </c>
      <c r="K180" s="246">
        <f>'L) Plafonnement taux'!Q180</f>
        <v>0</v>
      </c>
      <c r="L180" s="332">
        <f t="shared" si="6"/>
        <v>115080.0077553203</v>
      </c>
      <c r="M180" s="332">
        <f>'M) Police'!O180</f>
        <v>15338.705227606686</v>
      </c>
      <c r="N180" s="332">
        <f t="shared" si="5"/>
        <v>130418.71298292698</v>
      </c>
      <c r="P180" s="445"/>
    </row>
    <row r="181" spans="1:16" s="237" customFormat="1" x14ac:dyDescent="0.25">
      <c r="A181" s="234">
        <f>'B) D RI'!A182</f>
        <v>5690</v>
      </c>
      <c r="B181" s="235" t="str">
        <f>'B) D RI'!B182</f>
        <v>Villars-le-Comte</v>
      </c>
      <c r="C181" s="402">
        <f>'B) D RI'!S182</f>
        <v>76</v>
      </c>
      <c r="D181" s="236">
        <f>'B) D RI'!AR182</f>
        <v>143</v>
      </c>
      <c r="E181" s="243">
        <f>'D) Ecrêtage'!M180</f>
        <v>3252.2851315789467</v>
      </c>
      <c r="F181" s="246">
        <f>'E) Fact soc'!G186</f>
        <v>49066.05599845964</v>
      </c>
      <c r="G181" s="246">
        <f>'H) Péréquation directe'!I191</f>
        <v>-24221.497536713468</v>
      </c>
      <c r="H181" s="246">
        <f>'I) Dépenses thématiques'!O180</f>
        <v>-23791.038178930787</v>
      </c>
      <c r="I181" s="246">
        <f>'K) Plafonnement aide'!J180</f>
        <v>0</v>
      </c>
      <c r="J181" s="246">
        <f>'J) Plafonnement effort'!I180</f>
        <v>0</v>
      </c>
      <c r="K181" s="246">
        <f>'L) Plafonnement taux'!Q181</f>
        <v>0</v>
      </c>
      <c r="L181" s="332">
        <f t="shared" si="6"/>
        <v>1053.5202828153851</v>
      </c>
      <c r="M181" s="332">
        <f>'M) Police'!O181</f>
        <v>10143.897245781562</v>
      </c>
      <c r="N181" s="332">
        <f t="shared" si="5"/>
        <v>11197.417528596947</v>
      </c>
      <c r="P181" s="445"/>
    </row>
    <row r="182" spans="1:16" s="237" customFormat="1" x14ac:dyDescent="0.25">
      <c r="A182" s="234">
        <f>'B) D RI'!A183</f>
        <v>5692</v>
      </c>
      <c r="B182" s="235" t="str">
        <f>'B) D RI'!B183</f>
        <v>Vucherens</v>
      </c>
      <c r="C182" s="402">
        <f>'B) D RI'!S183</f>
        <v>79</v>
      </c>
      <c r="D182" s="236">
        <f>'B) D RI'!AR183</f>
        <v>557</v>
      </c>
      <c r="E182" s="243">
        <f>'D) Ecrêtage'!M181</f>
        <v>16993.232405063292</v>
      </c>
      <c r="F182" s="246">
        <f>'E) Fact soc'!G187</f>
        <v>318908.82406292035</v>
      </c>
      <c r="G182" s="246">
        <f>'H) Péréquation directe'!I192</f>
        <v>71708.210889200243</v>
      </c>
      <c r="H182" s="246">
        <f>'I) Dépenses thématiques'!O181</f>
        <v>-42029.3290650528</v>
      </c>
      <c r="I182" s="246">
        <f>'K) Plafonnement aide'!J181</f>
        <v>0</v>
      </c>
      <c r="J182" s="246">
        <f>'J) Plafonnement effort'!I181</f>
        <v>0</v>
      </c>
      <c r="K182" s="246">
        <f>'L) Plafonnement taux'!Q182</f>
        <v>0</v>
      </c>
      <c r="L182" s="332">
        <f t="shared" si="6"/>
        <v>348587.70588706783</v>
      </c>
      <c r="M182" s="332">
        <f>'M) Police'!O182</f>
        <v>53570.32770211366</v>
      </c>
      <c r="N182" s="332">
        <f t="shared" si="5"/>
        <v>402158.03358918149</v>
      </c>
      <c r="P182" s="445"/>
    </row>
    <row r="183" spans="1:16" s="237" customFormat="1" x14ac:dyDescent="0.25">
      <c r="A183" s="234">
        <f>'B) D RI'!A184</f>
        <v>5693</v>
      </c>
      <c r="B183" s="235" t="str">
        <f>'B) D RI'!B184</f>
        <v>Montanaire</v>
      </c>
      <c r="C183" s="402">
        <f>'B) D RI'!S184</f>
        <v>72</v>
      </c>
      <c r="D183" s="236">
        <f>'B) D RI'!AR184</f>
        <v>2500</v>
      </c>
      <c r="E183" s="243">
        <f>'D) Ecrêtage'!M182</f>
        <v>63585.08152777778</v>
      </c>
      <c r="F183" s="246">
        <f>'E) Fact soc'!G188</f>
        <v>1079111.6535509767</v>
      </c>
      <c r="G183" s="246">
        <f>'H) Péréquation directe'!I193</f>
        <v>-402660.65371391946</v>
      </c>
      <c r="H183" s="246">
        <f>'I) Dépenses thématiques'!O182</f>
        <v>-410691.70039161801</v>
      </c>
      <c r="I183" s="246">
        <f>'K) Plafonnement aide'!J182</f>
        <v>0</v>
      </c>
      <c r="J183" s="246">
        <f>'J) Plafonnement effort'!I182</f>
        <v>0</v>
      </c>
      <c r="K183" s="246">
        <f>'L) Plafonnement taux'!Q183</f>
        <v>0</v>
      </c>
      <c r="L183" s="332">
        <f>F183+G183+H183+I183+J183+K183</f>
        <v>265759.29944543919</v>
      </c>
      <c r="M183" s="332">
        <f>'M) Police'!O183</f>
        <v>199643.05699546466</v>
      </c>
      <c r="N183" s="332">
        <f t="shared" si="5"/>
        <v>465402.35644090385</v>
      </c>
      <c r="P183" s="445"/>
    </row>
    <row r="184" spans="1:16" s="237" customFormat="1" x14ac:dyDescent="0.25">
      <c r="A184" s="234">
        <f>'B) D RI'!A185</f>
        <v>5701</v>
      </c>
      <c r="B184" s="235" t="str">
        <f>'B) D RI'!B185</f>
        <v>Arnex-sur-Nyon</v>
      </c>
      <c r="C184" s="402">
        <f>'B) D RI'!S185</f>
        <v>70</v>
      </c>
      <c r="D184" s="236">
        <f>'B) D RI'!AR185</f>
        <v>214</v>
      </c>
      <c r="E184" s="243">
        <f>'D) Ecrêtage'!M183</f>
        <v>14067.553176355004</v>
      </c>
      <c r="F184" s="246">
        <f>'E) Fact soc'!G189</f>
        <v>347422.95246436947</v>
      </c>
      <c r="G184" s="246">
        <f>'H) Péréquation directe'!I194</f>
        <v>239984.31839606108</v>
      </c>
      <c r="H184" s="246">
        <f>'I) Dépenses thématiques'!O183</f>
        <v>0</v>
      </c>
      <c r="I184" s="246">
        <f>'K) Plafonnement aide'!J183</f>
        <v>0</v>
      </c>
      <c r="J184" s="246">
        <f>'J) Plafonnement effort'!I183</f>
        <v>0</v>
      </c>
      <c r="K184" s="246">
        <f>'L) Plafonnement taux'!Q184</f>
        <v>0</v>
      </c>
      <c r="L184" s="332">
        <f>F184+G184+H184+I184+J184+K184</f>
        <v>587407.27086043055</v>
      </c>
      <c r="M184" s="332">
        <f>'M) Police'!O184</f>
        <v>36633.31200635017</v>
      </c>
      <c r="N184" s="332">
        <f t="shared" si="5"/>
        <v>624040.58286678069</v>
      </c>
      <c r="P184" s="445"/>
    </row>
    <row r="185" spans="1:16" s="237" customFormat="1" x14ac:dyDescent="0.25">
      <c r="A185" s="234">
        <f>'B) D RI'!A186</f>
        <v>5702</v>
      </c>
      <c r="B185" s="235" t="str">
        <f>'B) D RI'!B186</f>
        <v>Arzier-Le Muids</v>
      </c>
      <c r="C185" s="402">
        <f>'B) D RI'!S186</f>
        <v>64</v>
      </c>
      <c r="D185" s="236">
        <f>'B) D RI'!AR186</f>
        <v>2565</v>
      </c>
      <c r="E185" s="243">
        <f>'D) Ecrêtage'!M184</f>
        <v>150270.74238965832</v>
      </c>
      <c r="F185" s="246">
        <f>'E) Fact soc'!G190</f>
        <v>2905312.9585946631</v>
      </c>
      <c r="G185" s="246">
        <f>'H) Péréquation directe'!I195</f>
        <v>2150282.0291104922</v>
      </c>
      <c r="H185" s="246">
        <f>'I) Dépenses thématiques'!O184</f>
        <v>-222437.77859176346</v>
      </c>
      <c r="I185" s="246">
        <f>'K) Plafonnement aide'!J184</f>
        <v>0</v>
      </c>
      <c r="J185" s="246">
        <f>'J) Plafonnement effort'!I184</f>
        <v>0</v>
      </c>
      <c r="K185" s="246">
        <f>'L) Plafonnement taux'!Q185</f>
        <v>0</v>
      </c>
      <c r="L185" s="332">
        <f t="shared" si="6"/>
        <v>4833157.209113392</v>
      </c>
      <c r="M185" s="332">
        <f>'M) Police'!O185</f>
        <v>415600.71491212951</v>
      </c>
      <c r="N185" s="332">
        <f t="shared" si="5"/>
        <v>5248757.9240255216</v>
      </c>
      <c r="P185" s="445"/>
    </row>
    <row r="186" spans="1:16" s="237" customFormat="1" x14ac:dyDescent="0.25">
      <c r="A186" s="234">
        <f>'B) D RI'!A187</f>
        <v>5703</v>
      </c>
      <c r="B186" s="235" t="str">
        <f>'B) D RI'!B187</f>
        <v>Bassins</v>
      </c>
      <c r="C186" s="402">
        <f>'B) D RI'!S187</f>
        <v>71</v>
      </c>
      <c r="D186" s="236">
        <f>'B) D RI'!AR187</f>
        <v>1311</v>
      </c>
      <c r="E186" s="243">
        <f>'D) Ecrêtage'!M185</f>
        <v>52372.205915492945</v>
      </c>
      <c r="F186" s="246">
        <f>'E) Fact soc'!G191</f>
        <v>873397.79854480608</v>
      </c>
      <c r="G186" s="246">
        <f>'H) Péréquation directe'!I196</f>
        <v>656553.76923339057</v>
      </c>
      <c r="H186" s="246">
        <f>'I) Dépenses thématiques'!O185</f>
        <v>-194486.10593366268</v>
      </c>
      <c r="I186" s="246">
        <f>'K) Plafonnement aide'!J185</f>
        <v>0</v>
      </c>
      <c r="J186" s="246">
        <f>'J) Plafonnement effort'!I185</f>
        <v>0</v>
      </c>
      <c r="K186" s="246">
        <f>'L) Plafonnement taux'!Q186</f>
        <v>0</v>
      </c>
      <c r="L186" s="332">
        <f t="shared" si="6"/>
        <v>1335465.4618445339</v>
      </c>
      <c r="M186" s="332">
        <f>'M) Police'!O186</f>
        <v>163727.86118826974</v>
      </c>
      <c r="N186" s="332">
        <f t="shared" si="5"/>
        <v>1499193.3230328036</v>
      </c>
      <c r="P186" s="445"/>
    </row>
    <row r="187" spans="1:16" s="237" customFormat="1" x14ac:dyDescent="0.25">
      <c r="A187" s="234">
        <f>'B) D RI'!A188</f>
        <v>5704</v>
      </c>
      <c r="B187" s="235" t="str">
        <f>'B) D RI'!B188</f>
        <v>Begnins</v>
      </c>
      <c r="C187" s="402">
        <f>'B) D RI'!S188</f>
        <v>67</v>
      </c>
      <c r="D187" s="236">
        <f>'B) D RI'!AR188</f>
        <v>1856</v>
      </c>
      <c r="E187" s="243">
        <f>'D) Ecrêtage'!M186</f>
        <v>113192.44418268188</v>
      </c>
      <c r="F187" s="246">
        <f>'E) Fact soc'!G192</f>
        <v>2371830.0732195866</v>
      </c>
      <c r="G187" s="246">
        <f>'H) Péréquation directe'!I197</f>
        <v>1706792.4128425368</v>
      </c>
      <c r="H187" s="246">
        <f>'I) Dépenses thématiques'!O186</f>
        <v>0</v>
      </c>
      <c r="I187" s="246">
        <f>'K) Plafonnement aide'!J186</f>
        <v>0</v>
      </c>
      <c r="J187" s="246">
        <f>'J) Plafonnement effort'!I186</f>
        <v>0</v>
      </c>
      <c r="K187" s="246">
        <f>'L) Plafonnement taux'!Q187</f>
        <v>0</v>
      </c>
      <c r="L187" s="332">
        <f t="shared" si="6"/>
        <v>4078622.4860621234</v>
      </c>
      <c r="M187" s="332">
        <f>'M) Police'!O187</f>
        <v>306431.74504285771</v>
      </c>
      <c r="N187" s="332">
        <f t="shared" si="5"/>
        <v>4385054.2311049812</v>
      </c>
      <c r="P187" s="445"/>
    </row>
    <row r="188" spans="1:16" s="237" customFormat="1" x14ac:dyDescent="0.25">
      <c r="A188" s="234">
        <f>'B) D RI'!A189</f>
        <v>5705</v>
      </c>
      <c r="B188" s="235" t="str">
        <f>'B) D RI'!B189</f>
        <v>Bogis-Bossey</v>
      </c>
      <c r="C188" s="402">
        <f>'B) D RI'!S189</f>
        <v>70</v>
      </c>
      <c r="D188" s="236">
        <f>'B) D RI'!AR189</f>
        <v>827</v>
      </c>
      <c r="E188" s="243">
        <f>'D) Ecrêtage'!M187</f>
        <v>48449.495236014038</v>
      </c>
      <c r="F188" s="246">
        <f>'E) Fact soc'!G193</f>
        <v>869036.88769535359</v>
      </c>
      <c r="G188" s="246">
        <f>'H) Péréquation directe'!I198</f>
        <v>817649.95924687141</v>
      </c>
      <c r="H188" s="246">
        <f>'I) Dépenses thématiques'!O187</f>
        <v>0</v>
      </c>
      <c r="I188" s="246">
        <f>'K) Plafonnement aide'!J187</f>
        <v>0</v>
      </c>
      <c r="J188" s="246">
        <f>'J) Plafonnement effort'!I187</f>
        <v>0</v>
      </c>
      <c r="K188" s="246">
        <f>'L) Plafonnement taux'!Q188</f>
        <v>0</v>
      </c>
      <c r="L188" s="332">
        <f t="shared" si="6"/>
        <v>1686686.846942225</v>
      </c>
      <c r="M188" s="332">
        <f>'M) Police'!O188</f>
        <v>133996.3261495218</v>
      </c>
      <c r="N188" s="332">
        <f t="shared" si="5"/>
        <v>1820683.1730917469</v>
      </c>
      <c r="P188" s="445"/>
    </row>
    <row r="189" spans="1:16" s="237" customFormat="1" x14ac:dyDescent="0.25">
      <c r="A189" s="234">
        <f>'B) D RI'!A190</f>
        <v>5706</v>
      </c>
      <c r="B189" s="235" t="str">
        <f>'B) D RI'!B190</f>
        <v>Borex</v>
      </c>
      <c r="C189" s="402">
        <f>'B) D RI'!S190</f>
        <v>55</v>
      </c>
      <c r="D189" s="236">
        <f>'B) D RI'!AR190</f>
        <v>1099</v>
      </c>
      <c r="E189" s="243">
        <f>'D) Ecrêtage'!M188</f>
        <v>65845.984440258006</v>
      </c>
      <c r="F189" s="246">
        <f>'E) Fact soc'!G194</f>
        <v>1308351.7113967696</v>
      </c>
      <c r="G189" s="246">
        <f>'H) Péréquation directe'!I199</f>
        <v>1089297.0380831116</v>
      </c>
      <c r="H189" s="246">
        <f>'I) Dépenses thématiques'!O188</f>
        <v>0</v>
      </c>
      <c r="I189" s="246">
        <f>'K) Plafonnement aide'!J188</f>
        <v>0</v>
      </c>
      <c r="J189" s="246">
        <f>'J) Plafonnement effort'!I188</f>
        <v>0</v>
      </c>
      <c r="K189" s="246">
        <f>'L) Plafonnement taux'!Q189</f>
        <v>0</v>
      </c>
      <c r="L189" s="332">
        <f t="shared" si="6"/>
        <v>2397648.7494798815</v>
      </c>
      <c r="M189" s="332">
        <f>'M) Police'!O189</f>
        <v>179938.89286655164</v>
      </c>
      <c r="N189" s="332">
        <f t="shared" si="5"/>
        <v>2577587.6423464334</v>
      </c>
      <c r="P189" s="445"/>
    </row>
    <row r="190" spans="1:16" s="237" customFormat="1" x14ac:dyDescent="0.25">
      <c r="A190" s="234">
        <f>'B) D RI'!A191</f>
        <v>5707</v>
      </c>
      <c r="B190" s="235" t="str">
        <f>'B) D RI'!B191</f>
        <v>Chavannes-de-Bogis</v>
      </c>
      <c r="C190" s="402">
        <f>'B) D RI'!S191</f>
        <v>59</v>
      </c>
      <c r="D190" s="236">
        <f>'B) D RI'!AR191</f>
        <v>1153</v>
      </c>
      <c r="E190" s="243">
        <f>'D) Ecrêtage'!M189</f>
        <v>86046.443921995582</v>
      </c>
      <c r="F190" s="246">
        <f>'E) Fact soc'!G195</f>
        <v>2539208.226592402</v>
      </c>
      <c r="G190" s="246">
        <f>'H) Péréquation directe'!I200</f>
        <v>1445568.1442869166</v>
      </c>
      <c r="H190" s="246">
        <f>'I) Dépenses thématiques'!O189</f>
        <v>0</v>
      </c>
      <c r="I190" s="246">
        <f>'K) Plafonnement aide'!J189</f>
        <v>0</v>
      </c>
      <c r="J190" s="246">
        <f>'J) Plafonnement effort'!I189</f>
        <v>0</v>
      </c>
      <c r="K190" s="246">
        <f>'L) Plafonnement taux'!Q190</f>
        <v>0</v>
      </c>
      <c r="L190" s="332">
        <f t="shared" si="6"/>
        <v>3984776.3708793186</v>
      </c>
      <c r="M190" s="332">
        <f>'M) Police'!O190</f>
        <v>210501.92048756202</v>
      </c>
      <c r="N190" s="332">
        <f t="shared" si="5"/>
        <v>4195278.2913668808</v>
      </c>
      <c r="P190" s="445"/>
    </row>
    <row r="191" spans="1:16" s="237" customFormat="1" x14ac:dyDescent="0.25">
      <c r="A191" s="234">
        <f>'B) D RI'!A192</f>
        <v>5708</v>
      </c>
      <c r="B191" s="235" t="str">
        <f>'B) D RI'!B192</f>
        <v>Chavannes-des-Bois</v>
      </c>
      <c r="C191" s="402">
        <f>'B) D RI'!S192</f>
        <v>61</v>
      </c>
      <c r="D191" s="236">
        <f>'B) D RI'!AR192</f>
        <v>850</v>
      </c>
      <c r="E191" s="243">
        <f>'D) Ecrêtage'!M190</f>
        <v>58804.562503992747</v>
      </c>
      <c r="F191" s="246">
        <f>'E) Fact soc'!G196</f>
        <v>1449425.2365693864</v>
      </c>
      <c r="G191" s="246">
        <f>'H) Péréquation directe'!I201</f>
        <v>1007564.3955866465</v>
      </c>
      <c r="H191" s="246">
        <f>'I) Dépenses thématiques'!O190</f>
        <v>0</v>
      </c>
      <c r="I191" s="246">
        <f>'K) Plafonnement aide'!J190</f>
        <v>0</v>
      </c>
      <c r="J191" s="246">
        <f>'J) Plafonnement effort'!I190</f>
        <v>0</v>
      </c>
      <c r="K191" s="246">
        <f>'L) Plafonnement taux'!Q191</f>
        <v>0</v>
      </c>
      <c r="L191" s="332">
        <f t="shared" si="6"/>
        <v>2456989.6321560331</v>
      </c>
      <c r="M191" s="332">
        <f>'M) Police'!O191</f>
        <v>149256.05973083148</v>
      </c>
      <c r="N191" s="332">
        <f t="shared" si="5"/>
        <v>2606245.6918868646</v>
      </c>
      <c r="P191" s="445"/>
    </row>
    <row r="192" spans="1:16" s="237" customFormat="1" x14ac:dyDescent="0.25">
      <c r="A192" s="234">
        <f>'B) D RI'!A193</f>
        <v>5709</v>
      </c>
      <c r="B192" s="235" t="str">
        <f>'B) D RI'!B193</f>
        <v>Chéserex</v>
      </c>
      <c r="C192" s="402">
        <f>'B) D RI'!S193</f>
        <v>52</v>
      </c>
      <c r="D192" s="236">
        <f>'B) D RI'!AR193</f>
        <v>1222</v>
      </c>
      <c r="E192" s="243">
        <f>'D) Ecrêtage'!M191</f>
        <v>107004.97322705205</v>
      </c>
      <c r="F192" s="246">
        <f>'E) Fact soc'!G197</f>
        <v>4069551.8048635563</v>
      </c>
      <c r="G192" s="246">
        <f>'H) Péréquation directe'!I202</f>
        <v>1810732.3839352152</v>
      </c>
      <c r="H192" s="246">
        <f>'I) Dépenses thématiques'!O191</f>
        <v>0</v>
      </c>
      <c r="I192" s="246">
        <f>'K) Plafonnement aide'!J191</f>
        <v>0</v>
      </c>
      <c r="J192" s="246">
        <f>'J) Plafonnement effort'!I191</f>
        <v>0</v>
      </c>
      <c r="K192" s="246">
        <f>'L) Plafonnement taux'!Q192</f>
        <v>0</v>
      </c>
      <c r="L192" s="332">
        <f t="shared" si="6"/>
        <v>5880284.1887987712</v>
      </c>
      <c r="M192" s="332">
        <f>'M) Police'!O192</f>
        <v>243340.81239002125</v>
      </c>
      <c r="N192" s="332">
        <f t="shared" si="5"/>
        <v>6123625.0011887923</v>
      </c>
      <c r="P192" s="445"/>
    </row>
    <row r="193" spans="1:16" s="237" customFormat="1" x14ac:dyDescent="0.25">
      <c r="A193" s="234">
        <f>'B) D RI'!A194</f>
        <v>5710</v>
      </c>
      <c r="B193" s="235" t="str">
        <f>'B) D RI'!B194</f>
        <v>Coinsins</v>
      </c>
      <c r="C193" s="402">
        <f>'B) D RI'!S194</f>
        <v>41</v>
      </c>
      <c r="D193" s="236">
        <f>'B) D RI'!AR194</f>
        <v>490</v>
      </c>
      <c r="E193" s="243">
        <f>'D) Ecrêtage'!M192</f>
        <v>51138.47250560869</v>
      </c>
      <c r="F193" s="246">
        <f>'E) Fact soc'!G198</f>
        <v>1886163.6747306432</v>
      </c>
      <c r="G193" s="246">
        <f>'H) Péréquation directe'!I203</f>
        <v>900780.65037064883</v>
      </c>
      <c r="H193" s="246">
        <f>'I) Dépenses thématiques'!O192</f>
        <v>0</v>
      </c>
      <c r="I193" s="246">
        <f>'K) Plafonnement aide'!J192</f>
        <v>0</v>
      </c>
      <c r="J193" s="246">
        <f>'J) Plafonnement effort'!I192</f>
        <v>0</v>
      </c>
      <c r="K193" s="246">
        <f>'L) Plafonnement taux'!Q193</f>
        <v>0</v>
      </c>
      <c r="L193" s="332">
        <f t="shared" si="6"/>
        <v>2786944.3251012918</v>
      </c>
      <c r="M193" s="332">
        <f>'M) Police'!O193</f>
        <v>108114.55172132098</v>
      </c>
      <c r="N193" s="332">
        <f t="shared" si="5"/>
        <v>2895058.8768226127</v>
      </c>
      <c r="P193" s="445"/>
    </row>
    <row r="194" spans="1:16" s="237" customFormat="1" x14ac:dyDescent="0.25">
      <c r="A194" s="234">
        <f>'B) D RI'!A195</f>
        <v>5711</v>
      </c>
      <c r="B194" s="235" t="str">
        <f>'B) D RI'!B195</f>
        <v>Commugny</v>
      </c>
      <c r="C194" s="402">
        <f>'B) D RI'!S195</f>
        <v>57</v>
      </c>
      <c r="D194" s="236">
        <f>'B) D RI'!AR195</f>
        <v>2561</v>
      </c>
      <c r="E194" s="243">
        <f>'D) Ecrêtage'!M193</f>
        <v>203440.68653397332</v>
      </c>
      <c r="F194" s="246">
        <f>'E) Fact soc'!G199</f>
        <v>6224834.2932440741</v>
      </c>
      <c r="G194" s="246">
        <f>'H) Péréquation directe'!I204</f>
        <v>3138455.3632102422</v>
      </c>
      <c r="H194" s="246">
        <f>'I) Dépenses thématiques'!O193</f>
        <v>0</v>
      </c>
      <c r="I194" s="246">
        <f>'K) Plafonnement aide'!J193</f>
        <v>0</v>
      </c>
      <c r="J194" s="246">
        <f>'J) Plafonnement effort'!I193</f>
        <v>0</v>
      </c>
      <c r="K194" s="246">
        <f>'L) Plafonnement taux'!Q194</f>
        <v>0</v>
      </c>
      <c r="L194" s="332">
        <f t="shared" si="6"/>
        <v>9363289.6564543173</v>
      </c>
      <c r="M194" s="332">
        <f>'M) Police'!O194</f>
        <v>483329.99934658443</v>
      </c>
      <c r="N194" s="332">
        <f t="shared" si="5"/>
        <v>9846619.6558009014</v>
      </c>
      <c r="P194" s="445"/>
    </row>
    <row r="195" spans="1:16" s="237" customFormat="1" x14ac:dyDescent="0.25">
      <c r="A195" s="234">
        <f>'B) D RI'!A196</f>
        <v>5712</v>
      </c>
      <c r="B195" s="235" t="str">
        <f>'B) D RI'!B196</f>
        <v>Coppet</v>
      </c>
      <c r="C195" s="402">
        <f>'B) D RI'!S196</f>
        <v>53</v>
      </c>
      <c r="D195" s="236">
        <f>'B) D RI'!AR196</f>
        <v>2942</v>
      </c>
      <c r="E195" s="243">
        <f>'D) Ecrêtage'!M194</f>
        <v>246954.44437409952</v>
      </c>
      <c r="F195" s="246">
        <f>'E) Fact soc'!G200</f>
        <v>8594216.1653034016</v>
      </c>
      <c r="G195" s="246">
        <f>'H) Péréquation directe'!I205</f>
        <v>3814565.2329747463</v>
      </c>
      <c r="H195" s="246">
        <f>'I) Dépenses thématiques'!O194</f>
        <v>0</v>
      </c>
      <c r="I195" s="246">
        <f>'K) Plafonnement aide'!J194</f>
        <v>0</v>
      </c>
      <c r="J195" s="246">
        <f>'J) Plafonnement effort'!I194</f>
        <v>0</v>
      </c>
      <c r="K195" s="246">
        <f>'L) Plafonnement taux'!Q195</f>
        <v>0</v>
      </c>
      <c r="L195" s="332">
        <f t="shared" si="6"/>
        <v>12408781.398278147</v>
      </c>
      <c r="M195" s="332">
        <f>'M) Police'!O195</f>
        <v>572197.24037082703</v>
      </c>
      <c r="N195" s="332">
        <f t="shared" si="5"/>
        <v>12980978.638648974</v>
      </c>
      <c r="P195" s="445"/>
    </row>
    <row r="196" spans="1:16" s="237" customFormat="1" x14ac:dyDescent="0.25">
      <c r="A196" s="234">
        <f>'B) D RI'!A197</f>
        <v>5713</v>
      </c>
      <c r="B196" s="235" t="str">
        <f>'B) D RI'!B197</f>
        <v>Crans-près-Céligny</v>
      </c>
      <c r="C196" s="402">
        <f>'B) D RI'!S197</f>
        <v>53</v>
      </c>
      <c r="D196" s="236">
        <f>'B) D RI'!AR197</f>
        <v>2059</v>
      </c>
      <c r="E196" s="243">
        <f>'D) Ecrêtage'!M195</f>
        <v>176144.21496097266</v>
      </c>
      <c r="F196" s="246">
        <f>'E) Fact soc'!G201</f>
        <v>6189339.1617117394</v>
      </c>
      <c r="G196" s="246">
        <f>'H) Péréquation directe'!I206</f>
        <v>2805079.3085126486</v>
      </c>
      <c r="H196" s="246">
        <f>'I) Dépenses thématiques'!O195</f>
        <v>-177667.78442778514</v>
      </c>
      <c r="I196" s="246">
        <f>'K) Plafonnement aide'!J195</f>
        <v>0</v>
      </c>
      <c r="J196" s="246">
        <f>'J) Plafonnement effort'!I195</f>
        <v>0</v>
      </c>
      <c r="K196" s="246">
        <f>'L) Plafonnement taux'!Q196</f>
        <v>0</v>
      </c>
      <c r="L196" s="332">
        <f t="shared" si="6"/>
        <v>8816750.6857966036</v>
      </c>
      <c r="M196" s="332">
        <f>'M) Police'!O196</f>
        <v>225530.26651312725</v>
      </c>
      <c r="N196" s="332">
        <f t="shared" si="5"/>
        <v>9042280.9523097314</v>
      </c>
      <c r="P196" s="445"/>
    </row>
    <row r="197" spans="1:16" s="237" customFormat="1" x14ac:dyDescent="0.25">
      <c r="A197" s="234">
        <f>'B) D RI'!A198</f>
        <v>5714</v>
      </c>
      <c r="B197" s="235" t="str">
        <f>'B) D RI'!B198</f>
        <v>Crassier</v>
      </c>
      <c r="C197" s="402">
        <f>'B) D RI'!S198</f>
        <v>64</v>
      </c>
      <c r="D197" s="236">
        <f>'B) D RI'!AR198</f>
        <v>1172</v>
      </c>
      <c r="E197" s="243">
        <f>'D) Ecrêtage'!M196</f>
        <v>76392.794864572061</v>
      </c>
      <c r="F197" s="246">
        <f>'E) Fact soc'!G202</f>
        <v>1673389.2498454324</v>
      </c>
      <c r="G197" s="246">
        <f>'H) Péréquation directe'!I207</f>
        <v>1259847.5439377264</v>
      </c>
      <c r="H197" s="246">
        <f>'I) Dépenses thématiques'!O196</f>
        <v>0</v>
      </c>
      <c r="I197" s="246">
        <f>'K) Plafonnement aide'!J196</f>
        <v>0</v>
      </c>
      <c r="J197" s="246">
        <f>'J) Plafonnement effort'!I196</f>
        <v>0</v>
      </c>
      <c r="K197" s="246">
        <f>'L) Plafonnement taux'!Q197</f>
        <v>0</v>
      </c>
      <c r="L197" s="332">
        <f t="shared" si="6"/>
        <v>2933236.793783159</v>
      </c>
      <c r="M197" s="332">
        <f>'M) Police'!O197</f>
        <v>199794.97010342384</v>
      </c>
      <c r="N197" s="332">
        <f t="shared" si="5"/>
        <v>3133031.763886583</v>
      </c>
      <c r="P197" s="445"/>
    </row>
    <row r="198" spans="1:16" s="237" customFormat="1" x14ac:dyDescent="0.25">
      <c r="A198" s="234">
        <f>'B) D RI'!A199</f>
        <v>5715</v>
      </c>
      <c r="B198" s="235" t="str">
        <f>'B) D RI'!B199</f>
        <v>Duillier</v>
      </c>
      <c r="C198" s="402">
        <f>'B) D RI'!S199</f>
        <v>66</v>
      </c>
      <c r="D198" s="236">
        <f>'B) D RI'!AR199</f>
        <v>1039</v>
      </c>
      <c r="E198" s="243">
        <f>'D) Ecrêtage'!M197</f>
        <v>62011.241183976788</v>
      </c>
      <c r="F198" s="246">
        <f>'E) Fact soc'!G203</f>
        <v>1245463.0825579222</v>
      </c>
      <c r="G198" s="246">
        <f>'H) Péréquation directe'!I208</f>
        <v>1038831.3936155002</v>
      </c>
      <c r="H198" s="246">
        <f>'I) Dépenses thématiques'!O197</f>
        <v>-2695.3316540272958</v>
      </c>
      <c r="I198" s="246">
        <f>'K) Plafonnement aide'!J197</f>
        <v>0</v>
      </c>
      <c r="J198" s="246">
        <f>'J) Plafonnement effort'!I197</f>
        <v>0</v>
      </c>
      <c r="K198" s="246">
        <f>'L) Plafonnement taux'!Q198</f>
        <v>0</v>
      </c>
      <c r="L198" s="332">
        <f t="shared" si="6"/>
        <v>2281599.1445193952</v>
      </c>
      <c r="M198" s="332">
        <f>'M) Police'!O198</f>
        <v>169807.98268767726</v>
      </c>
      <c r="N198" s="332">
        <f t="shared" si="5"/>
        <v>2451407.1272070725</v>
      </c>
      <c r="P198" s="445"/>
    </row>
    <row r="199" spans="1:16" s="237" customFormat="1" x14ac:dyDescent="0.25">
      <c r="A199" s="234">
        <f>'B) D RI'!A200</f>
        <v>5716</v>
      </c>
      <c r="B199" s="235" t="str">
        <f>'B) D RI'!B200</f>
        <v>Eysins</v>
      </c>
      <c r="C199" s="402">
        <f>'B) D RI'!S200</f>
        <v>61</v>
      </c>
      <c r="D199" s="236">
        <f>'B) D RI'!AR200</f>
        <v>1482</v>
      </c>
      <c r="E199" s="243">
        <f>'D) Ecrêtage'!M198</f>
        <v>89610.115700910072</v>
      </c>
      <c r="F199" s="246">
        <f>'E) Fact soc'!G204</f>
        <v>2290987.5894944808</v>
      </c>
      <c r="G199" s="246">
        <f>'H) Péréquation directe'!I209</f>
        <v>1398178.9680646276</v>
      </c>
      <c r="H199" s="246">
        <f>'I) Dépenses thématiques'!O198</f>
        <v>0</v>
      </c>
      <c r="I199" s="246">
        <f>'K) Plafonnement aide'!J198</f>
        <v>0</v>
      </c>
      <c r="J199" s="246">
        <f>'J) Plafonnement effort'!I198</f>
        <v>0</v>
      </c>
      <c r="K199" s="246">
        <f>'L) Plafonnement taux'!Q199</f>
        <v>0</v>
      </c>
      <c r="L199" s="332">
        <f t="shared" si="6"/>
        <v>3689166.5575591084</v>
      </c>
      <c r="M199" s="332">
        <f>'M) Police'!O199</f>
        <v>243693.28230725718</v>
      </c>
      <c r="N199" s="332">
        <f t="shared" ref="N199:N262" si="7">L199+M199</f>
        <v>3932859.8398663653</v>
      </c>
      <c r="P199" s="445"/>
    </row>
    <row r="200" spans="1:16" s="237" customFormat="1" x14ac:dyDescent="0.25">
      <c r="A200" s="234">
        <f>'B) D RI'!A201</f>
        <v>5717</v>
      </c>
      <c r="B200" s="235" t="str">
        <f>'B) D RI'!B201</f>
        <v>Founex</v>
      </c>
      <c r="C200" s="402">
        <f>'B) D RI'!S201</f>
        <v>57</v>
      </c>
      <c r="D200" s="236">
        <f>'B) D RI'!AR201</f>
        <v>3410</v>
      </c>
      <c r="E200" s="243">
        <f>'D) Ecrêtage'!M199</f>
        <v>282900.94693533023</v>
      </c>
      <c r="F200" s="246">
        <f>'E) Fact soc'!G205</f>
        <v>9334048.5387444906</v>
      </c>
      <c r="G200" s="246">
        <f>'H) Péréquation directe'!I210</f>
        <v>4259577.7661741814</v>
      </c>
      <c r="H200" s="246">
        <f>'I) Dépenses thématiques'!O199</f>
        <v>0</v>
      </c>
      <c r="I200" s="246">
        <f>'K) Plafonnement aide'!J199</f>
        <v>0</v>
      </c>
      <c r="J200" s="246">
        <f>'J) Plafonnement effort'!I199</f>
        <v>0</v>
      </c>
      <c r="K200" s="246">
        <f>'L) Plafonnement taux'!Q200</f>
        <v>0</v>
      </c>
      <c r="L200" s="332">
        <f t="shared" si="6"/>
        <v>13593626.304918673</v>
      </c>
      <c r="M200" s="332">
        <f>'M) Police'!O200</f>
        <v>658946.03657449665</v>
      </c>
      <c r="N200" s="332">
        <f t="shared" si="7"/>
        <v>14252572.341493169</v>
      </c>
      <c r="P200" s="445"/>
    </row>
    <row r="201" spans="1:16" s="237" customFormat="1" x14ac:dyDescent="0.25">
      <c r="A201" s="234">
        <f>'B) D RI'!A202</f>
        <v>5718</v>
      </c>
      <c r="B201" s="235" t="str">
        <f>'B) D RI'!B202</f>
        <v>Genolier</v>
      </c>
      <c r="C201" s="402">
        <f>'B) D RI'!S202</f>
        <v>55</v>
      </c>
      <c r="D201" s="236">
        <f>'B) D RI'!AR202</f>
        <v>1895</v>
      </c>
      <c r="E201" s="243">
        <f>'D) Ecrêtage'!M200</f>
        <v>154866.84060804904</v>
      </c>
      <c r="F201" s="246">
        <f>'E) Fact soc'!G206</f>
        <v>5094171.6416796949</v>
      </c>
      <c r="G201" s="246">
        <f>'H) Péréquation directe'!I211</f>
        <v>2466779.2414472201</v>
      </c>
      <c r="H201" s="246">
        <f>'I) Dépenses thématiques'!O200</f>
        <v>0</v>
      </c>
      <c r="I201" s="246">
        <f>'K) Plafonnement aide'!J200</f>
        <v>0</v>
      </c>
      <c r="J201" s="246">
        <f>'J) Plafonnement effort'!I200</f>
        <v>0</v>
      </c>
      <c r="K201" s="246">
        <f>'L) Plafonnement taux'!Q201</f>
        <v>0</v>
      </c>
      <c r="L201" s="332">
        <f t="shared" si="6"/>
        <v>7560950.8831269145</v>
      </c>
      <c r="M201" s="332">
        <f>'M) Police'!O201</f>
        <v>363184.16574203485</v>
      </c>
      <c r="N201" s="332">
        <f t="shared" si="7"/>
        <v>7924135.0488689495</v>
      </c>
      <c r="P201" s="445"/>
    </row>
    <row r="202" spans="1:16" s="237" customFormat="1" x14ac:dyDescent="0.25">
      <c r="A202" s="234">
        <f>'B) D RI'!A203</f>
        <v>5719</v>
      </c>
      <c r="B202" s="235" t="str">
        <f>'B) D RI'!B203</f>
        <v>Gingins</v>
      </c>
      <c r="C202" s="402">
        <f>'B) D RI'!S203</f>
        <v>57</v>
      </c>
      <c r="D202" s="236">
        <f>'B) D RI'!AR203</f>
        <v>1195</v>
      </c>
      <c r="E202" s="243">
        <f>'D) Ecrêtage'!M201</f>
        <v>81113.805335882309</v>
      </c>
      <c r="F202" s="246">
        <f>'E) Fact soc'!G207</f>
        <v>2216416.4885081048</v>
      </c>
      <c r="G202" s="246">
        <f>'H) Péréquation directe'!I212</f>
        <v>1339529.2282898012</v>
      </c>
      <c r="H202" s="246">
        <f>'I) Dépenses thématiques'!O201</f>
        <v>0</v>
      </c>
      <c r="I202" s="246">
        <f>'K) Plafonnement aide'!J201</f>
        <v>0</v>
      </c>
      <c r="J202" s="246">
        <f>'J) Plafonnement effort'!I201</f>
        <v>0</v>
      </c>
      <c r="K202" s="246">
        <f>'L) Plafonnement taux'!Q202</f>
        <v>0</v>
      </c>
      <c r="L202" s="332">
        <f t="shared" si="6"/>
        <v>3555945.716797906</v>
      </c>
      <c r="M202" s="332">
        <f>'M) Police'!O202</f>
        <v>207841.01045510196</v>
      </c>
      <c r="N202" s="332">
        <f t="shared" si="7"/>
        <v>3763786.7272530077</v>
      </c>
      <c r="P202" s="445"/>
    </row>
    <row r="203" spans="1:16" s="237" customFormat="1" x14ac:dyDescent="0.25">
      <c r="A203" s="234">
        <f>'B) D RI'!A204</f>
        <v>5720</v>
      </c>
      <c r="B203" s="235" t="str">
        <f>'B) D RI'!B204</f>
        <v>Givrins</v>
      </c>
      <c r="C203" s="402">
        <f>'B) D RI'!S204</f>
        <v>61</v>
      </c>
      <c r="D203" s="236">
        <f>'B) D RI'!AR204</f>
        <v>1000</v>
      </c>
      <c r="E203" s="243">
        <f>'D) Ecrêtage'!M202</f>
        <v>66963.805253491941</v>
      </c>
      <c r="F203" s="246">
        <f>'E) Fact soc'!G208</f>
        <v>1529402.1693515002</v>
      </c>
      <c r="G203" s="246">
        <f>'H) Péréquation directe'!I213</f>
        <v>1144204.8999105995</v>
      </c>
      <c r="H203" s="246">
        <f>'I) Dépenses thématiques'!O202</f>
        <v>-11947.921484804454</v>
      </c>
      <c r="I203" s="246">
        <f>'K) Plafonnement aide'!J202</f>
        <v>0</v>
      </c>
      <c r="J203" s="246">
        <f>'J) Plafonnement effort'!I202</f>
        <v>0</v>
      </c>
      <c r="K203" s="246">
        <f>'L) Plafonnement taux'!Q203</f>
        <v>0</v>
      </c>
      <c r="L203" s="332">
        <f t="shared" si="6"/>
        <v>2661659.1477772952</v>
      </c>
      <c r="M203" s="332">
        <f>'M) Police'!O203</f>
        <v>172755.45522335765</v>
      </c>
      <c r="N203" s="332">
        <f t="shared" si="7"/>
        <v>2834414.603000653</v>
      </c>
      <c r="P203" s="445"/>
    </row>
    <row r="204" spans="1:16" s="237" customFormat="1" x14ac:dyDescent="0.25">
      <c r="A204" s="234">
        <f>'B) D RI'!A205</f>
        <v>5721</v>
      </c>
      <c r="B204" s="235" t="str">
        <f>'B) D RI'!B205</f>
        <v>Gland</v>
      </c>
      <c r="C204" s="402">
        <f>'B) D RI'!S205</f>
        <v>62.5</v>
      </c>
      <c r="D204" s="236">
        <f>'B) D RI'!AR205</f>
        <v>12829</v>
      </c>
      <c r="E204" s="243">
        <f>'D) Ecrêtage'!M203</f>
        <v>541149.08192000003</v>
      </c>
      <c r="F204" s="246">
        <f>'E) Fact soc'!G209</f>
        <v>8675746.3159939274</v>
      </c>
      <c r="G204" s="246">
        <f>'H) Péréquation directe'!I214</f>
        <v>2187847.3188928701</v>
      </c>
      <c r="H204" s="246">
        <f>'I) Dépenses thématiques'!O203</f>
        <v>0</v>
      </c>
      <c r="I204" s="246">
        <f>'K) Plafonnement aide'!J203</f>
        <v>0</v>
      </c>
      <c r="J204" s="246">
        <f>'J) Plafonnement effort'!I203</f>
        <v>0</v>
      </c>
      <c r="K204" s="246">
        <f>'L) Plafonnement taux'!Q204</f>
        <v>0</v>
      </c>
      <c r="L204" s="332">
        <f t="shared" si="6"/>
        <v>10863593.634886798</v>
      </c>
      <c r="M204" s="332">
        <f>'M) Police'!O204</f>
        <v>1684070.7950210837</v>
      </c>
      <c r="N204" s="332">
        <f t="shared" si="7"/>
        <v>12547664.429907881</v>
      </c>
      <c r="P204" s="445"/>
    </row>
    <row r="205" spans="1:16" s="237" customFormat="1" x14ac:dyDescent="0.25">
      <c r="A205" s="234">
        <f>'B) D RI'!A206</f>
        <v>5722</v>
      </c>
      <c r="B205" s="235" t="str">
        <f>'B) D RI'!B206</f>
        <v>Grens</v>
      </c>
      <c r="C205" s="402">
        <f>'B) D RI'!S206</f>
        <v>62</v>
      </c>
      <c r="D205" s="236">
        <f>'B) D RI'!AR206</f>
        <v>377</v>
      </c>
      <c r="E205" s="243">
        <f>'D) Ecrêtage'!M204</f>
        <v>20499.342258064513</v>
      </c>
      <c r="F205" s="246">
        <f>'E) Fact soc'!G210</f>
        <v>488740.82674301555</v>
      </c>
      <c r="G205" s="246">
        <f>'H) Péréquation directe'!I215</f>
        <v>343282.92816918134</v>
      </c>
      <c r="H205" s="246">
        <f>'I) Dépenses thématiques'!O204</f>
        <v>0</v>
      </c>
      <c r="I205" s="246">
        <f>'K) Plafonnement aide'!J204</f>
        <v>0</v>
      </c>
      <c r="J205" s="246">
        <f>'J) Plafonnement effort'!I204</f>
        <v>0</v>
      </c>
      <c r="K205" s="246">
        <f>'L) Plafonnement taux'!Q205</f>
        <v>0</v>
      </c>
      <c r="L205" s="332">
        <f t="shared" si="6"/>
        <v>832023.75491219689</v>
      </c>
      <c r="M205" s="332">
        <f>'M) Police'!O205</f>
        <v>59052.141403685673</v>
      </c>
      <c r="N205" s="332">
        <f t="shared" si="7"/>
        <v>891075.89631588256</v>
      </c>
      <c r="P205" s="445"/>
    </row>
    <row r="206" spans="1:16" s="237" customFormat="1" x14ac:dyDescent="0.25">
      <c r="A206" s="234">
        <f>'B) D RI'!A207</f>
        <v>5723</v>
      </c>
      <c r="B206" s="235" t="str">
        <f>'B) D RI'!B207</f>
        <v>Mies</v>
      </c>
      <c r="C206" s="402">
        <f>'B) D RI'!S207</f>
        <v>49</v>
      </c>
      <c r="D206" s="236">
        <f>'B) D RI'!AR207</f>
        <v>1791</v>
      </c>
      <c r="E206" s="243">
        <f>'D) Ecrêtage'!M205</f>
        <v>301906.44719252124</v>
      </c>
      <c r="F206" s="246">
        <f>'E) Fact soc'!G211</f>
        <v>21046978.011191443</v>
      </c>
      <c r="G206" s="246">
        <f>'H) Péréquation directe'!I216</f>
        <v>5231607.9728291184</v>
      </c>
      <c r="H206" s="246">
        <f>'I) Dépenses thématiques'!O205</f>
        <v>0</v>
      </c>
      <c r="I206" s="246">
        <f>'K) Plafonnement aide'!J205</f>
        <v>0</v>
      </c>
      <c r="J206" s="246">
        <f>'J) Plafonnement effort'!I205</f>
        <v>0</v>
      </c>
      <c r="K206" s="246">
        <f>'L) Plafonnement taux'!Q206</f>
        <v>0</v>
      </c>
      <c r="L206" s="332">
        <f t="shared" si="6"/>
        <v>26278585.984020561</v>
      </c>
      <c r="M206" s="332">
        <f>'M) Police'!O206</f>
        <v>542399.93341113883</v>
      </c>
      <c r="N206" s="332">
        <f t="shared" si="7"/>
        <v>26820985.917431701</v>
      </c>
      <c r="P206" s="445"/>
    </row>
    <row r="207" spans="1:16" s="237" customFormat="1" x14ac:dyDescent="0.25">
      <c r="A207" s="234">
        <f>'B) D RI'!A208</f>
        <v>5724</v>
      </c>
      <c r="B207" s="235" t="str">
        <f>'B) D RI'!B208</f>
        <v>Nyon</v>
      </c>
      <c r="C207" s="402">
        <f>'B) D RI'!S208</f>
        <v>61</v>
      </c>
      <c r="D207" s="236">
        <f>'B) D RI'!AR208</f>
        <v>20047</v>
      </c>
      <c r="E207" s="243">
        <f>'D) Ecrêtage'!M206</f>
        <v>1311421.5032813493</v>
      </c>
      <c r="F207" s="246">
        <f>'E) Fact soc'!G212</f>
        <v>31283671.89495004</v>
      </c>
      <c r="G207" s="246">
        <f>'H) Péréquation directe'!I217</f>
        <v>9501581.7881193981</v>
      </c>
      <c r="H207" s="246">
        <f>'I) Dépenses thématiques'!O206</f>
        <v>-91508.513808532021</v>
      </c>
      <c r="I207" s="246">
        <f>'K) Plafonnement aide'!J206</f>
        <v>0</v>
      </c>
      <c r="J207" s="246">
        <f>'J) Plafonnement effort'!I206</f>
        <v>0</v>
      </c>
      <c r="K207" s="246">
        <f>'L) Plafonnement taux'!Q207</f>
        <v>0</v>
      </c>
      <c r="L207" s="332">
        <f t="shared" si="6"/>
        <v>40693745.169260904</v>
      </c>
      <c r="M207" s="332">
        <f>'M) Police'!O207</f>
        <v>1679108.4578714087</v>
      </c>
      <c r="N207" s="332">
        <f t="shared" si="7"/>
        <v>42372853.627132311</v>
      </c>
      <c r="P207" s="445"/>
    </row>
    <row r="208" spans="1:16" s="237" customFormat="1" x14ac:dyDescent="0.25">
      <c r="A208" s="234">
        <f>'B) D RI'!A209</f>
        <v>5725</v>
      </c>
      <c r="B208" s="235" t="str">
        <f>'B) D RI'!B209</f>
        <v>Prangins</v>
      </c>
      <c r="C208" s="402">
        <f>'B) D RI'!S209</f>
        <v>56</v>
      </c>
      <c r="D208" s="236">
        <f>'B) D RI'!AR209</f>
        <v>4011</v>
      </c>
      <c r="E208" s="243">
        <f>'D) Ecrêtage'!M207</f>
        <v>281824.78533760592</v>
      </c>
      <c r="F208" s="246">
        <f>'E) Fact soc'!G213</f>
        <v>7094933.9795801146</v>
      </c>
      <c r="G208" s="246">
        <f>'H) Péréquation directe'!I218</f>
        <v>3943337.4333729022</v>
      </c>
      <c r="H208" s="246">
        <f>'I) Dépenses thématiques'!O207</f>
        <v>0</v>
      </c>
      <c r="I208" s="246">
        <f>'K) Plafonnement aide'!J207</f>
        <v>0</v>
      </c>
      <c r="J208" s="246">
        <f>'J) Plafonnement effort'!I207</f>
        <v>0</v>
      </c>
      <c r="K208" s="246">
        <f>'L) Plafonnement taux'!Q208</f>
        <v>0</v>
      </c>
      <c r="L208" s="332">
        <f t="shared" si="6"/>
        <v>11038271.412953017</v>
      </c>
      <c r="M208" s="332">
        <f>'M) Police'!O208</f>
        <v>360840.79719153873</v>
      </c>
      <c r="N208" s="332">
        <f t="shared" si="7"/>
        <v>11399112.210144555</v>
      </c>
      <c r="P208" s="445"/>
    </row>
    <row r="209" spans="1:16" s="237" customFormat="1" x14ac:dyDescent="0.25">
      <c r="A209" s="234">
        <f>'B) D RI'!A210</f>
        <v>5726</v>
      </c>
      <c r="B209" s="235" t="str">
        <f>'B) D RI'!B210</f>
        <v>La Rippe</v>
      </c>
      <c r="C209" s="402">
        <f>'B) D RI'!S210</f>
        <v>65</v>
      </c>
      <c r="D209" s="236">
        <f>'B) D RI'!AR210</f>
        <v>1120</v>
      </c>
      <c r="E209" s="243">
        <f>'D) Ecrêtage'!M208</f>
        <v>62420.845692307696</v>
      </c>
      <c r="F209" s="246">
        <f>'E) Fact soc'!G214</f>
        <v>1036299.5152808205</v>
      </c>
      <c r="G209" s="246">
        <f>'H) Péréquation directe'!I219</f>
        <v>1018482.6323592721</v>
      </c>
      <c r="H209" s="246">
        <f>'I) Dépenses thématiques'!O208</f>
        <v>-39589.993662225264</v>
      </c>
      <c r="I209" s="246">
        <f>'K) Plafonnement aide'!J208</f>
        <v>0</v>
      </c>
      <c r="J209" s="246">
        <f>'J) Plafonnement effort'!I208</f>
        <v>0</v>
      </c>
      <c r="K209" s="246">
        <f>'L) Plafonnement taux'!Q209</f>
        <v>0</v>
      </c>
      <c r="L209" s="332">
        <f t="shared" si="6"/>
        <v>2015192.1539778674</v>
      </c>
      <c r="M209" s="332">
        <f>'M) Police'!O209</f>
        <v>177380.79147403809</v>
      </c>
      <c r="N209" s="332">
        <f t="shared" si="7"/>
        <v>2192572.9454519055</v>
      </c>
      <c r="P209" s="445"/>
    </row>
    <row r="210" spans="1:16" s="237" customFormat="1" x14ac:dyDescent="0.25">
      <c r="A210" s="234">
        <f>'B) D RI'!A211</f>
        <v>5727</v>
      </c>
      <c r="B210" s="235" t="str">
        <f>'B) D RI'!B211</f>
        <v>Saint-Cergue</v>
      </c>
      <c r="C210" s="402">
        <f>'B) D RI'!S211</f>
        <v>66</v>
      </c>
      <c r="D210" s="236">
        <f>'B) D RI'!AR211</f>
        <v>2481</v>
      </c>
      <c r="E210" s="243">
        <f>'D) Ecrêtage'!M209</f>
        <v>94126.01979797981</v>
      </c>
      <c r="F210" s="246">
        <f>'E) Fact soc'!G215</f>
        <v>1745040.4191853974</v>
      </c>
      <c r="G210" s="246">
        <f>'H) Péréquation directe'!I220</f>
        <v>871363.64971949602</v>
      </c>
      <c r="H210" s="246">
        <f>'I) Dépenses thématiques'!O209</f>
        <v>-231824.55873425846</v>
      </c>
      <c r="I210" s="246">
        <f>'K) Plafonnement aide'!J209</f>
        <v>0</v>
      </c>
      <c r="J210" s="246">
        <f>'J) Plafonnement effort'!I209</f>
        <v>0</v>
      </c>
      <c r="K210" s="246">
        <f>'L) Plafonnement taux'!Q210</f>
        <v>0</v>
      </c>
      <c r="L210" s="332">
        <f t="shared" si="6"/>
        <v>2384579.5101706348</v>
      </c>
      <c r="M210" s="332">
        <f>'M) Police'!O210</f>
        <v>294440.27808643004</v>
      </c>
      <c r="N210" s="332">
        <f t="shared" si="7"/>
        <v>2679019.7882570648</v>
      </c>
      <c r="P210" s="445"/>
    </row>
    <row r="211" spans="1:16" s="237" customFormat="1" x14ac:dyDescent="0.25">
      <c r="A211" s="234">
        <f>'B) D RI'!A212</f>
        <v>5728</v>
      </c>
      <c r="B211" s="235" t="str">
        <f>'B) D RI'!B212</f>
        <v>Signy-Avenex</v>
      </c>
      <c r="C211" s="402">
        <f>'B) D RI'!S212</f>
        <v>56</v>
      </c>
      <c r="D211" s="236">
        <f>'B) D RI'!AR212</f>
        <v>516</v>
      </c>
      <c r="E211" s="243">
        <f>'D) Ecrêtage'!M210</f>
        <v>31889.468936866939</v>
      </c>
      <c r="F211" s="246">
        <f>'E) Fact soc'!G216</f>
        <v>787648.32841439848</v>
      </c>
      <c r="G211" s="246">
        <f>'H) Péréquation directe'!I221</f>
        <v>540970.6471493881</v>
      </c>
      <c r="H211" s="246">
        <f>'I) Dépenses thématiques'!O210</f>
        <v>0</v>
      </c>
      <c r="I211" s="246">
        <f>'K) Plafonnement aide'!J210</f>
        <v>0</v>
      </c>
      <c r="J211" s="246">
        <f>'J) Plafonnement effort'!I210</f>
        <v>0</v>
      </c>
      <c r="K211" s="246">
        <f>'L) Plafonnement taux'!Q211</f>
        <v>0</v>
      </c>
      <c r="L211" s="332">
        <f t="shared" si="6"/>
        <v>1328618.9755637865</v>
      </c>
      <c r="M211" s="332">
        <f>'M) Police'!O211</f>
        <v>85731.087883043481</v>
      </c>
      <c r="N211" s="332">
        <f t="shared" si="7"/>
        <v>1414350.06344683</v>
      </c>
      <c r="P211" s="445"/>
    </row>
    <row r="212" spans="1:16" s="237" customFormat="1" x14ac:dyDescent="0.25">
      <c r="A212" s="234">
        <f>'B) D RI'!A213</f>
        <v>5729</v>
      </c>
      <c r="B212" s="235" t="str">
        <f>'B) D RI'!B213</f>
        <v>Tannay</v>
      </c>
      <c r="C212" s="402">
        <f>'B) D RI'!S213</f>
        <v>61</v>
      </c>
      <c r="D212" s="236">
        <f>'B) D RI'!AR213</f>
        <v>1430</v>
      </c>
      <c r="E212" s="243">
        <f>'D) Ecrêtage'!M211</f>
        <v>114587.61782706507</v>
      </c>
      <c r="F212" s="246">
        <f>'E) Fact soc'!G217</f>
        <v>3543159.617269394</v>
      </c>
      <c r="G212" s="246">
        <f>'H) Péréquation directe'!I222</f>
        <v>1879685.7569364393</v>
      </c>
      <c r="H212" s="246">
        <f>'I) Dépenses thématiques'!O211</f>
        <v>0</v>
      </c>
      <c r="I212" s="246">
        <f>'K) Plafonnement aide'!J211</f>
        <v>0</v>
      </c>
      <c r="J212" s="246">
        <f>'J) Plafonnement effort'!I211</f>
        <v>0</v>
      </c>
      <c r="K212" s="246">
        <f>'L) Plafonnement taux'!Q212</f>
        <v>0</v>
      </c>
      <c r="L212" s="332">
        <f t="shared" si="6"/>
        <v>5422845.3742058333</v>
      </c>
      <c r="M212" s="332">
        <f>'M) Police'!O212</f>
        <v>271148.92275662394</v>
      </c>
      <c r="N212" s="332">
        <f t="shared" si="7"/>
        <v>5693994.2969624568</v>
      </c>
      <c r="P212" s="445"/>
    </row>
    <row r="213" spans="1:16" s="237" customFormat="1" x14ac:dyDescent="0.25">
      <c r="A213" s="234">
        <f>'B) D RI'!A214</f>
        <v>5730</v>
      </c>
      <c r="B213" s="235" t="str">
        <f>'B) D RI'!B214</f>
        <v>Trélex</v>
      </c>
      <c r="C213" s="402">
        <f>'B) D RI'!S214</f>
        <v>57</v>
      </c>
      <c r="D213" s="236">
        <f>'B) D RI'!AR214</f>
        <v>1414</v>
      </c>
      <c r="E213" s="243">
        <f>'D) Ecrêtage'!M212</f>
        <v>106055.30707067228</v>
      </c>
      <c r="F213" s="246">
        <f>'E) Fact soc'!G218</f>
        <v>2814549.1438400964</v>
      </c>
      <c r="G213" s="246">
        <f>'H) Péréquation directe'!I223</f>
        <v>1726853.7932262763</v>
      </c>
      <c r="H213" s="246">
        <f>'I) Dépenses thématiques'!O212</f>
        <v>0</v>
      </c>
      <c r="I213" s="246">
        <f>'K) Plafonnement aide'!J212</f>
        <v>0</v>
      </c>
      <c r="J213" s="246">
        <f>'J) Plafonnement effort'!I212</f>
        <v>0</v>
      </c>
      <c r="K213" s="246">
        <f>'L) Plafonnement taux'!Q213</f>
        <v>0</v>
      </c>
      <c r="L213" s="332">
        <f t="shared" si="6"/>
        <v>4541402.9370663725</v>
      </c>
      <c r="M213" s="332">
        <f>'M) Police'!O213</f>
        <v>258832.11481341312</v>
      </c>
      <c r="N213" s="332">
        <f t="shared" si="7"/>
        <v>4800235.051879786</v>
      </c>
      <c r="P213" s="445"/>
    </row>
    <row r="214" spans="1:16" s="237" customFormat="1" x14ac:dyDescent="0.25">
      <c r="A214" s="234">
        <f>'B) D RI'!A215</f>
        <v>5731</v>
      </c>
      <c r="B214" s="235" t="str">
        <f>'B) D RI'!B215</f>
        <v>Le Vaud</v>
      </c>
      <c r="C214" s="402">
        <f>'B) D RI'!S215</f>
        <v>75</v>
      </c>
      <c r="D214" s="236">
        <f>'B) D RI'!AR215</f>
        <v>1260</v>
      </c>
      <c r="E214" s="243">
        <f>'D) Ecrêtage'!M213</f>
        <v>47266.974133333322</v>
      </c>
      <c r="F214" s="246">
        <f>'E) Fact soc'!G219</f>
        <v>833028.35279387934</v>
      </c>
      <c r="G214" s="246">
        <f>'H) Péréquation directe'!I224</f>
        <v>502501.4786609048</v>
      </c>
      <c r="H214" s="246">
        <f>'I) Dépenses thématiques'!O213</f>
        <v>-103119.28667659452</v>
      </c>
      <c r="I214" s="246">
        <f>'K) Plafonnement aide'!J213</f>
        <v>0</v>
      </c>
      <c r="J214" s="246">
        <f>'J) Plafonnement effort'!I213</f>
        <v>0</v>
      </c>
      <c r="K214" s="246">
        <f>'L) Plafonnement taux'!Q214</f>
        <v>0</v>
      </c>
      <c r="L214" s="332">
        <f t="shared" si="6"/>
        <v>1232410.5447781896</v>
      </c>
      <c r="M214" s="332">
        <f>'M) Police'!O214</f>
        <v>148640.39357326558</v>
      </c>
      <c r="N214" s="332">
        <f t="shared" si="7"/>
        <v>1381050.9383514551</v>
      </c>
      <c r="P214" s="445"/>
    </row>
    <row r="215" spans="1:16" s="237" customFormat="1" x14ac:dyDescent="0.25">
      <c r="A215" s="234">
        <f>'B) D RI'!A216</f>
        <v>5732</v>
      </c>
      <c r="B215" s="235" t="str">
        <f>'B) D RI'!B216</f>
        <v>Vich</v>
      </c>
      <c r="C215" s="402">
        <f>'B) D RI'!S216</f>
        <v>68</v>
      </c>
      <c r="D215" s="236">
        <f>'B) D RI'!AR216</f>
        <v>958</v>
      </c>
      <c r="E215" s="243">
        <f>'D) Ecrêtage'!M214</f>
        <v>67286.05253974018</v>
      </c>
      <c r="F215" s="246">
        <f>'E) Fact soc'!G220</f>
        <v>1777795.0827528471</v>
      </c>
      <c r="G215" s="246">
        <f>'H) Péréquation directe'!I225</f>
        <v>1154326.4054527448</v>
      </c>
      <c r="H215" s="246">
        <f>'I) Dépenses thématiques'!O214</f>
        <v>0</v>
      </c>
      <c r="I215" s="246">
        <f>'K) Plafonnement aide'!J214</f>
        <v>0</v>
      </c>
      <c r="J215" s="246">
        <f>'J) Plafonnement effort'!I214</f>
        <v>0</v>
      </c>
      <c r="K215" s="246">
        <f>'L) Plafonnement taux'!Q215</f>
        <v>0</v>
      </c>
      <c r="L215" s="332">
        <f t="shared" si="6"/>
        <v>2932121.4882055921</v>
      </c>
      <c r="M215" s="332">
        <f>'M) Police'!O215</f>
        <v>169513.3455124856</v>
      </c>
      <c r="N215" s="332">
        <f t="shared" si="7"/>
        <v>3101634.8337180777</v>
      </c>
      <c r="P215" s="445"/>
    </row>
    <row r="216" spans="1:16" s="237" customFormat="1" x14ac:dyDescent="0.25">
      <c r="A216" s="234">
        <f>'B) D RI'!A217</f>
        <v>5741</v>
      </c>
      <c r="B216" s="235" t="str">
        <f>'B) D RI'!B217</f>
        <v>L'Abergement</v>
      </c>
      <c r="C216" s="402">
        <f>'B) D RI'!S217</f>
        <v>81</v>
      </c>
      <c r="D216" s="236">
        <f>'B) D RI'!AR217</f>
        <v>240</v>
      </c>
      <c r="E216" s="243">
        <f>'D) Ecrêtage'!M215</f>
        <v>6474.3855761316872</v>
      </c>
      <c r="F216" s="246">
        <f>'E) Fact soc'!G221</f>
        <v>114389.62555027219</v>
      </c>
      <c r="G216" s="246">
        <f>'H) Péréquation directe'!I226</f>
        <v>-11231.006967964742</v>
      </c>
      <c r="H216" s="246">
        <f>'I) Dépenses thématiques'!O215</f>
        <v>-61886.309745924889</v>
      </c>
      <c r="I216" s="246">
        <f>'K) Plafonnement aide'!J215</f>
        <v>0</v>
      </c>
      <c r="J216" s="246">
        <f>'J) Plafonnement effort'!I215</f>
        <v>0</v>
      </c>
      <c r="K216" s="246">
        <f>'L) Plafonnement taux'!Q216</f>
        <v>0</v>
      </c>
      <c r="L216" s="332">
        <f t="shared" si="6"/>
        <v>41272.308836382559</v>
      </c>
      <c r="M216" s="332">
        <f>'M) Police'!O216</f>
        <v>20347.743167280682</v>
      </c>
      <c r="N216" s="332">
        <f t="shared" si="7"/>
        <v>61620.052003663237</v>
      </c>
      <c r="P216" s="445"/>
    </row>
    <row r="217" spans="1:16" s="237" customFormat="1" x14ac:dyDescent="0.25">
      <c r="A217" s="234">
        <f>'B) D RI'!A218</f>
        <v>5742</v>
      </c>
      <c r="B217" s="235" t="str">
        <f>'B) D RI'!B218</f>
        <v>Agiez</v>
      </c>
      <c r="C217" s="402">
        <f>'B) D RI'!S218</f>
        <v>76</v>
      </c>
      <c r="D217" s="236">
        <f>'B) D RI'!AR218</f>
        <v>293</v>
      </c>
      <c r="E217" s="243">
        <f>'D) Ecrêtage'!M216</f>
        <v>8406.0221052631568</v>
      </c>
      <c r="F217" s="246">
        <f>'E) Fact soc'!G222</f>
        <v>171396.45808332766</v>
      </c>
      <c r="G217" s="246">
        <f>'H) Péréquation directe'!I227</f>
        <v>22924.339429868531</v>
      </c>
      <c r="H217" s="246">
        <f>'I) Dépenses thématiques'!O216</f>
        <v>-22891.690492684007</v>
      </c>
      <c r="I217" s="246">
        <f>'K) Plafonnement aide'!J216</f>
        <v>0</v>
      </c>
      <c r="J217" s="246">
        <f>'J) Plafonnement effort'!I216</f>
        <v>0</v>
      </c>
      <c r="K217" s="246">
        <f>'L) Plafonnement taux'!Q217</f>
        <v>0</v>
      </c>
      <c r="L217" s="332">
        <f t="shared" si="6"/>
        <v>171429.10702051217</v>
      </c>
      <c r="M217" s="332">
        <f>'M) Police'!O217</f>
        <v>26322.133867780321</v>
      </c>
      <c r="N217" s="332">
        <f t="shared" si="7"/>
        <v>197751.24088829249</v>
      </c>
      <c r="P217" s="445"/>
    </row>
    <row r="218" spans="1:16" s="237" customFormat="1" x14ac:dyDescent="0.25">
      <c r="A218" s="234">
        <f>'B) D RI'!A219</f>
        <v>5743</v>
      </c>
      <c r="B218" s="235" t="str">
        <f>'B) D RI'!B219</f>
        <v>Arnex-sur-Orbe</v>
      </c>
      <c r="C218" s="402">
        <f>'B) D RI'!S219</f>
        <v>73</v>
      </c>
      <c r="D218" s="236">
        <f>'B) D RI'!AR219</f>
        <v>632</v>
      </c>
      <c r="E218" s="243">
        <f>'D) Ecrêtage'!M217</f>
        <v>16157.310890410963</v>
      </c>
      <c r="F218" s="246">
        <f>'E) Fact soc'!G223</f>
        <v>259527.55052518309</v>
      </c>
      <c r="G218" s="246">
        <f>'H) Péréquation directe'!I228</f>
        <v>-11854.10298833804</v>
      </c>
      <c r="H218" s="246">
        <f>'I) Dépenses thématiques'!O217</f>
        <v>-101642.58819278149</v>
      </c>
      <c r="I218" s="246">
        <f>'K) Plafonnement aide'!J217</f>
        <v>0</v>
      </c>
      <c r="J218" s="246">
        <f>'J) Plafonnement effort'!I217</f>
        <v>0</v>
      </c>
      <c r="K218" s="246">
        <f>'L) Plafonnement taux'!Q218</f>
        <v>0</v>
      </c>
      <c r="L218" s="332">
        <f t="shared" si="6"/>
        <v>146030.85934406356</v>
      </c>
      <c r="M218" s="332">
        <f>'M) Police'!O218</f>
        <v>50890.027578920388</v>
      </c>
      <c r="N218" s="332">
        <f t="shared" si="7"/>
        <v>196920.88692298395</v>
      </c>
      <c r="P218" s="445"/>
    </row>
    <row r="219" spans="1:16" s="237" customFormat="1" x14ac:dyDescent="0.25">
      <c r="A219" s="234">
        <f>'B) D RI'!A220</f>
        <v>5744</v>
      </c>
      <c r="B219" s="235" t="str">
        <f>'B) D RI'!B220</f>
        <v>Ballaigues</v>
      </c>
      <c r="C219" s="402">
        <f>'B) D RI'!S220</f>
        <v>66</v>
      </c>
      <c r="D219" s="236">
        <f>'B) D RI'!AR220</f>
        <v>1101</v>
      </c>
      <c r="E219" s="243">
        <f>'D) Ecrêtage'!M218</f>
        <v>65672.382226214861</v>
      </c>
      <c r="F219" s="246">
        <f>'E) Fact soc'!G224</f>
        <v>1588274.6065855701</v>
      </c>
      <c r="G219" s="246">
        <f>'H) Péréquation directe'!I229</f>
        <v>1085384.9743743322</v>
      </c>
      <c r="H219" s="246">
        <f>'I) Dépenses thématiques'!O218</f>
        <v>-289994.99824046873</v>
      </c>
      <c r="I219" s="246">
        <f>'K) Plafonnement aide'!J218</f>
        <v>0</v>
      </c>
      <c r="J219" s="246">
        <f>'J) Plafonnement effort'!I218</f>
        <v>0</v>
      </c>
      <c r="K219" s="246">
        <f>'L) Plafonnement taux'!Q219</f>
        <v>0</v>
      </c>
      <c r="L219" s="332">
        <f t="shared" si="6"/>
        <v>2383664.5827194336</v>
      </c>
      <c r="M219" s="332">
        <f>'M) Police'!O219</f>
        <v>179890.65094607574</v>
      </c>
      <c r="N219" s="332">
        <f t="shared" si="7"/>
        <v>2563555.2336655091</v>
      </c>
      <c r="P219" s="445"/>
    </row>
    <row r="220" spans="1:16" s="237" customFormat="1" x14ac:dyDescent="0.25">
      <c r="A220" s="234">
        <f>'B) D RI'!A221</f>
        <v>5745</v>
      </c>
      <c r="B220" s="235" t="str">
        <f>'B) D RI'!B221</f>
        <v>Baulmes</v>
      </c>
      <c r="C220" s="402">
        <f>'B) D RI'!S221</f>
        <v>78</v>
      </c>
      <c r="D220" s="236">
        <f>'B) D RI'!AR221</f>
        <v>1055</v>
      </c>
      <c r="E220" s="243">
        <f>'D) Ecrêtage'!M219</f>
        <v>26708.244230769233</v>
      </c>
      <c r="F220" s="246">
        <f>'E) Fact soc'!G225</f>
        <v>474891.09466892341</v>
      </c>
      <c r="G220" s="246">
        <f>'H) Péréquation directe'!I230</f>
        <v>-103616.17949399748</v>
      </c>
      <c r="H220" s="246">
        <f>'I) Dépenses thématiques'!O219</f>
        <v>-334051.86879566306</v>
      </c>
      <c r="I220" s="246">
        <f>'K) Plafonnement aide'!J219</f>
        <v>0</v>
      </c>
      <c r="J220" s="246">
        <f>'J) Plafonnement effort'!I219</f>
        <v>0</v>
      </c>
      <c r="K220" s="246">
        <f>'L) Plafonnement taux'!Q220</f>
        <v>0</v>
      </c>
      <c r="L220" s="332">
        <f t="shared" si="6"/>
        <v>37223.046379262873</v>
      </c>
      <c r="M220" s="332">
        <f>'M) Police'!O220</f>
        <v>84489.170433015708</v>
      </c>
      <c r="N220" s="332">
        <f t="shared" si="7"/>
        <v>121712.21681227858</v>
      </c>
      <c r="P220" s="445"/>
    </row>
    <row r="221" spans="1:16" s="237" customFormat="1" x14ac:dyDescent="0.25">
      <c r="A221" s="234">
        <f>'B) D RI'!A222</f>
        <v>5746</v>
      </c>
      <c r="B221" s="235" t="str">
        <f>'B) D RI'!B222</f>
        <v>Bavois</v>
      </c>
      <c r="C221" s="402">
        <f>'B) D RI'!S222</f>
        <v>73</v>
      </c>
      <c r="D221" s="236">
        <f>'B) D RI'!AR222</f>
        <v>939</v>
      </c>
      <c r="E221" s="243">
        <f>'D) Ecrêtage'!M220</f>
        <v>26575.73502283105</v>
      </c>
      <c r="F221" s="246">
        <f>'E) Fact soc'!G226</f>
        <v>446751.70671354717</v>
      </c>
      <c r="G221" s="246">
        <f>'H) Péréquation directe'!I231</f>
        <v>84814.039547798398</v>
      </c>
      <c r="H221" s="246">
        <f>'I) Dépenses thématiques'!O220</f>
        <v>-211233.85539180797</v>
      </c>
      <c r="I221" s="246">
        <f>'K) Plafonnement aide'!J220</f>
        <v>0</v>
      </c>
      <c r="J221" s="246">
        <f>'J) Plafonnement effort'!I220</f>
        <v>0</v>
      </c>
      <c r="K221" s="246">
        <f>'L) Plafonnement taux'!Q221</f>
        <v>0</v>
      </c>
      <c r="L221" s="332">
        <f t="shared" si="6"/>
        <v>320331.8908695376</v>
      </c>
      <c r="M221" s="332">
        <f>'M) Police'!O221</f>
        <v>82843.656932606595</v>
      </c>
      <c r="N221" s="332">
        <f t="shared" si="7"/>
        <v>403175.5478021442</v>
      </c>
      <c r="P221" s="445"/>
    </row>
    <row r="222" spans="1:16" s="237" customFormat="1" x14ac:dyDescent="0.25">
      <c r="A222" s="234">
        <f>'B) D RI'!A223</f>
        <v>5747</v>
      </c>
      <c r="B222" s="235" t="str">
        <f>'B) D RI'!B223</f>
        <v>Bofflens</v>
      </c>
      <c r="C222" s="402">
        <f>'B) D RI'!S223</f>
        <v>69</v>
      </c>
      <c r="D222" s="236">
        <f>'B) D RI'!AR223</f>
        <v>188</v>
      </c>
      <c r="E222" s="243">
        <f>'D) Ecrêtage'!M221</f>
        <v>5307.8250724637683</v>
      </c>
      <c r="F222" s="246">
        <f>'E) Fact soc'!G227</f>
        <v>85268.592329368272</v>
      </c>
      <c r="G222" s="246">
        <f>'H) Péréquation directe'!I232</f>
        <v>23232.80295551884</v>
      </c>
      <c r="H222" s="246">
        <f>'I) Dépenses thématiques'!O221</f>
        <v>-7601.6148282300237</v>
      </c>
      <c r="I222" s="246">
        <f>'K) Plafonnement aide'!J221</f>
        <v>0</v>
      </c>
      <c r="J222" s="246">
        <f>'J) Plafonnement effort'!I221</f>
        <v>0</v>
      </c>
      <c r="K222" s="246">
        <f>'L) Plafonnement taux'!Q222</f>
        <v>0</v>
      </c>
      <c r="L222" s="332">
        <f t="shared" si="6"/>
        <v>100899.78045665708</v>
      </c>
      <c r="M222" s="332">
        <f>'M) Police'!O222</f>
        <v>16656.059632254452</v>
      </c>
      <c r="N222" s="332">
        <f t="shared" si="7"/>
        <v>117555.84008891153</v>
      </c>
      <c r="P222" s="445"/>
    </row>
    <row r="223" spans="1:16" s="237" customFormat="1" x14ac:dyDescent="0.25">
      <c r="A223" s="234">
        <f>'B) D RI'!A224</f>
        <v>5748</v>
      </c>
      <c r="B223" s="235" t="str">
        <f>'B) D RI'!B224</f>
        <v>Bretonnières</v>
      </c>
      <c r="C223" s="402">
        <f>'B) D RI'!S224</f>
        <v>72</v>
      </c>
      <c r="D223" s="236">
        <f>'B) D RI'!AR224</f>
        <v>258</v>
      </c>
      <c r="E223" s="243">
        <f>'D) Ecrêtage'!M222</f>
        <v>7260.9913888888877</v>
      </c>
      <c r="F223" s="246">
        <f>'E) Fact soc'!G228</f>
        <v>133499.74207565695</v>
      </c>
      <c r="G223" s="246">
        <f>'H) Péréquation directe'!I233</f>
        <v>24055.643996104962</v>
      </c>
      <c r="H223" s="246">
        <f>'I) Dépenses thématiques'!O222</f>
        <v>-63410.364172267924</v>
      </c>
      <c r="I223" s="246">
        <f>'K) Plafonnement aide'!J222</f>
        <v>0</v>
      </c>
      <c r="J223" s="246">
        <f>'J) Plafonnement effort'!I222</f>
        <v>0</v>
      </c>
      <c r="K223" s="246">
        <f>'L) Plafonnement taux'!Q223</f>
        <v>0</v>
      </c>
      <c r="L223" s="332">
        <f t="shared" si="6"/>
        <v>94145.021899493964</v>
      </c>
      <c r="M223" s="332">
        <f>'M) Police'!O223</f>
        <v>22853.20329544416</v>
      </c>
      <c r="N223" s="332">
        <f t="shared" si="7"/>
        <v>116998.22519493813</v>
      </c>
      <c r="P223" s="445"/>
    </row>
    <row r="224" spans="1:16" s="237" customFormat="1" x14ac:dyDescent="0.25">
      <c r="A224" s="234">
        <f>'B) D RI'!A225</f>
        <v>5749</v>
      </c>
      <c r="B224" s="235" t="str">
        <f>'B) D RI'!B225</f>
        <v>Chavornay</v>
      </c>
      <c r="C224" s="402">
        <f>'B) D RI'!S225</f>
        <v>72</v>
      </c>
      <c r="D224" s="236">
        <f>'B) D RI'!AR225</f>
        <v>4293</v>
      </c>
      <c r="E224" s="243">
        <f>'D) Ecrêtage'!M223</f>
        <v>119889.98763888891</v>
      </c>
      <c r="F224" s="246">
        <f>'E) Fact soc'!G229</f>
        <v>2318496.0370561196</v>
      </c>
      <c r="G224" s="246">
        <f>'H) Péréquation directe'!I234</f>
        <v>-639108.05404266762</v>
      </c>
      <c r="H224" s="246">
        <f>'I) Dépenses thématiques'!O223</f>
        <v>-466605.39540488448</v>
      </c>
      <c r="I224" s="246">
        <f>'K) Plafonnement aide'!J223</f>
        <v>0</v>
      </c>
      <c r="J224" s="246">
        <f>'J) Plafonnement effort'!I223</f>
        <v>0</v>
      </c>
      <c r="K224" s="246">
        <f>'L) Plafonnement taux'!Q224</f>
        <v>0</v>
      </c>
      <c r="L224" s="332">
        <f t="shared" si="6"/>
        <v>1212782.5876085674</v>
      </c>
      <c r="M224" s="332">
        <f>'M) Police'!O224</f>
        <v>374435.74382093467</v>
      </c>
      <c r="N224" s="332">
        <f t="shared" si="7"/>
        <v>1587218.331429502</v>
      </c>
      <c r="P224" s="445"/>
    </row>
    <row r="225" spans="1:16" s="237" customFormat="1" x14ac:dyDescent="0.25">
      <c r="A225" s="234">
        <f>'B) D RI'!A226</f>
        <v>5750</v>
      </c>
      <c r="B225" s="235" t="str">
        <f>'B) D RI'!B226</f>
        <v>Les Clées</v>
      </c>
      <c r="C225" s="402">
        <f>'B) D RI'!S226</f>
        <v>80</v>
      </c>
      <c r="D225" s="236">
        <f>'B) D RI'!AR226</f>
        <v>176</v>
      </c>
      <c r="E225" s="243">
        <f>'D) Ecrêtage'!M224</f>
        <v>4790.0727916666665</v>
      </c>
      <c r="F225" s="246">
        <f>'E) Fact soc'!G230</f>
        <v>81510.341533617859</v>
      </c>
      <c r="G225" s="246">
        <f>'H) Péréquation directe'!I235</f>
        <v>-4435.3231366852706</v>
      </c>
      <c r="H225" s="246">
        <f>'I) Dépenses thématiques'!O224</f>
        <v>-44245.365251253781</v>
      </c>
      <c r="I225" s="246">
        <f>'K) Plafonnement aide'!J224</f>
        <v>0</v>
      </c>
      <c r="J225" s="246">
        <f>'J) Plafonnement effort'!I224</f>
        <v>0</v>
      </c>
      <c r="K225" s="246">
        <f>'L) Plafonnement taux'!Q225</f>
        <v>0</v>
      </c>
      <c r="L225" s="332">
        <f t="shared" si="6"/>
        <v>32829.653145678807</v>
      </c>
      <c r="M225" s="332">
        <f>'M) Police'!O225</f>
        <v>15166.785042994517</v>
      </c>
      <c r="N225" s="332">
        <f t="shared" si="7"/>
        <v>47996.438188673324</v>
      </c>
      <c r="P225" s="445"/>
    </row>
    <row r="226" spans="1:16" s="237" customFormat="1" x14ac:dyDescent="0.25">
      <c r="A226" s="234">
        <f>'B) D RI'!A227</f>
        <v>5751</v>
      </c>
      <c r="B226" s="235" t="str">
        <f>'B) D RI'!B227</f>
        <v>Corcelles-sur-Chavornay</v>
      </c>
      <c r="C226" s="402">
        <f>'B) D RI'!S227</f>
        <v>76</v>
      </c>
      <c r="D226" s="236">
        <f>'B) D RI'!AR227</f>
        <v>354</v>
      </c>
      <c r="E226" s="243">
        <f>'D) Ecrêtage'!M225</f>
        <v>8772.6488157894728</v>
      </c>
      <c r="F226" s="246">
        <f>'E) Fact soc'!G231</f>
        <v>146401.07744778408</v>
      </c>
      <c r="G226" s="246">
        <f>'H) Péréquation directe'!I236</f>
        <v>-29913.712207035453</v>
      </c>
      <c r="H226" s="246">
        <f>'I) Dépenses thématiques'!O225</f>
        <v>-89416.880937476963</v>
      </c>
      <c r="I226" s="246">
        <f>'K) Plafonnement aide'!J225</f>
        <v>0</v>
      </c>
      <c r="J226" s="246">
        <f>'J) Plafonnement effort'!I225</f>
        <v>0</v>
      </c>
      <c r="K226" s="246">
        <f>'L) Plafonnement taux'!Q226</f>
        <v>0</v>
      </c>
      <c r="L226" s="332">
        <f t="shared" si="6"/>
        <v>27070.48430327166</v>
      </c>
      <c r="M226" s="332">
        <f>'M) Police'!O226</f>
        <v>11232.261166734515</v>
      </c>
      <c r="N226" s="332">
        <f t="shared" si="7"/>
        <v>38302.745470006179</v>
      </c>
      <c r="P226" s="445"/>
    </row>
    <row r="227" spans="1:16" s="237" customFormat="1" x14ac:dyDescent="0.25">
      <c r="A227" s="234">
        <f>'B) D RI'!A228</f>
        <v>5752</v>
      </c>
      <c r="B227" s="235" t="str">
        <f>'B) D RI'!B228</f>
        <v>Croy</v>
      </c>
      <c r="C227" s="402">
        <f>'B) D RI'!S228</f>
        <v>74</v>
      </c>
      <c r="D227" s="236">
        <f>'B) D RI'!AR228</f>
        <v>344</v>
      </c>
      <c r="E227" s="243">
        <f>'D) Ecrêtage'!M226</f>
        <v>9213.5061196911174</v>
      </c>
      <c r="F227" s="246">
        <f>'E) Fact soc'!G232</f>
        <v>158379.93668551237</v>
      </c>
      <c r="G227" s="246">
        <f>'H) Péréquation directe'!I237</f>
        <v>6749.9640589542396</v>
      </c>
      <c r="H227" s="246">
        <f>'I) Dépenses thématiques'!O226</f>
        <v>-392644.7775738099</v>
      </c>
      <c r="I227" s="246">
        <f>'K) Plafonnement aide'!J226</f>
        <v>0</v>
      </c>
      <c r="J227" s="246">
        <f>'J) Plafonnement effort'!I226</f>
        <v>0</v>
      </c>
      <c r="K227" s="246">
        <f>'L) Plafonnement taux'!Q227</f>
        <v>0</v>
      </c>
      <c r="L227" s="332">
        <f t="shared" ref="L227:L273" si="8">F227+G227+H227+I227+J227+K227</f>
        <v>-227514.87682934329</v>
      </c>
      <c r="M227" s="332">
        <f>'M) Police'!O227</f>
        <v>29026.644771236301</v>
      </c>
      <c r="N227" s="332">
        <f t="shared" si="7"/>
        <v>-198488.23205810698</v>
      </c>
      <c r="P227" s="445"/>
    </row>
    <row r="228" spans="1:16" s="237" customFormat="1" x14ac:dyDescent="0.25">
      <c r="A228" s="234">
        <f>'B) D RI'!A229</f>
        <v>5754</v>
      </c>
      <c r="B228" s="235" t="str">
        <f>'B) D RI'!B229</f>
        <v>Juriens</v>
      </c>
      <c r="C228" s="402">
        <f>'B) D RI'!S229</f>
        <v>79</v>
      </c>
      <c r="D228" s="236">
        <f>'B) D RI'!AR229</f>
        <v>302</v>
      </c>
      <c r="E228" s="243">
        <f>'D) Ecrêtage'!M227</f>
        <v>7202.565316455697</v>
      </c>
      <c r="F228" s="246">
        <f>'E) Fact soc'!G233</f>
        <v>121523.31160687661</v>
      </c>
      <c r="G228" s="246">
        <f>'H) Péréquation directe'!I238</f>
        <v>-48602.439010787464</v>
      </c>
      <c r="H228" s="246">
        <f>'I) Dépenses thématiques'!O227</f>
        <v>-39905.690619068439</v>
      </c>
      <c r="I228" s="246">
        <f>'K) Plafonnement aide'!J227</f>
        <v>0</v>
      </c>
      <c r="J228" s="246">
        <f>'J) Plafonnement effort'!I227</f>
        <v>0</v>
      </c>
      <c r="K228" s="246">
        <f>'L) Plafonnement taux'!Q228</f>
        <v>0</v>
      </c>
      <c r="L228" s="332">
        <f t="shared" si="8"/>
        <v>33015.181977020708</v>
      </c>
      <c r="M228" s="332">
        <f>'M) Police'!O228</f>
        <v>22676.261575903452</v>
      </c>
      <c r="N228" s="332">
        <f t="shared" si="7"/>
        <v>55691.44355292416</v>
      </c>
      <c r="P228" s="445"/>
    </row>
    <row r="229" spans="1:16" s="237" customFormat="1" x14ac:dyDescent="0.25">
      <c r="A229" s="234">
        <f>'B) D RI'!A230</f>
        <v>5755</v>
      </c>
      <c r="B229" s="235" t="str">
        <f>'B) D RI'!B230</f>
        <v>Lignerolle</v>
      </c>
      <c r="C229" s="402">
        <f>'B) D RI'!S230</f>
        <v>80</v>
      </c>
      <c r="D229" s="236">
        <f>'B) D RI'!AR230</f>
        <v>405</v>
      </c>
      <c r="E229" s="243">
        <f>'D) Ecrêtage'!M228</f>
        <v>9116.1979107142852</v>
      </c>
      <c r="F229" s="246">
        <f>'E) Fact soc'!G234</f>
        <v>173320.13656802374</v>
      </c>
      <c r="G229" s="246">
        <f>'H) Péréquation directe'!I239</f>
        <v>-94349.906362897425</v>
      </c>
      <c r="H229" s="246">
        <f>'I) Dépenses thématiques'!O228</f>
        <v>-179711.33814855482</v>
      </c>
      <c r="I229" s="246">
        <f>'K) Plafonnement aide'!J228</f>
        <v>0</v>
      </c>
      <c r="J229" s="246">
        <f>'J) Plafonnement effort'!I228</f>
        <v>0</v>
      </c>
      <c r="K229" s="246">
        <f>'L) Plafonnement taux'!Q229</f>
        <v>0</v>
      </c>
      <c r="L229" s="332">
        <f t="shared" si="8"/>
        <v>-100741.10794342851</v>
      </c>
      <c r="M229" s="332">
        <f>'M) Police'!O229</f>
        <v>28624.774342702214</v>
      </c>
      <c r="N229" s="332">
        <f t="shared" si="7"/>
        <v>-72116.333600726299</v>
      </c>
      <c r="P229" s="445"/>
    </row>
    <row r="230" spans="1:16" s="237" customFormat="1" x14ac:dyDescent="0.25">
      <c r="A230" s="234">
        <f>'B) D RI'!A231</f>
        <v>5756</v>
      </c>
      <c r="B230" s="235" t="str">
        <f>'B) D RI'!B231</f>
        <v>Montcherand</v>
      </c>
      <c r="C230" s="402">
        <f>'B) D RI'!S231</f>
        <v>72</v>
      </c>
      <c r="D230" s="236">
        <f>'B) D RI'!AR231</f>
        <v>469</v>
      </c>
      <c r="E230" s="243">
        <f>'D) Ecrêtage'!M229</f>
        <v>14643.939999999999</v>
      </c>
      <c r="F230" s="246">
        <f>'E) Fact soc'!G235</f>
        <v>278085.45317505044</v>
      </c>
      <c r="G230" s="246">
        <f>'H) Péréquation directe'!I240</f>
        <v>100472.87726323347</v>
      </c>
      <c r="H230" s="246">
        <f>'I) Dépenses thématiques'!O229</f>
        <v>-46868.490696003944</v>
      </c>
      <c r="I230" s="246">
        <f>'K) Plafonnement aide'!J229</f>
        <v>0</v>
      </c>
      <c r="J230" s="246">
        <f>'J) Plafonnement effort'!I229</f>
        <v>0</v>
      </c>
      <c r="K230" s="246">
        <f>'L) Plafonnement taux'!Q230</f>
        <v>0</v>
      </c>
      <c r="L230" s="332">
        <f t="shared" si="8"/>
        <v>331689.83974227996</v>
      </c>
      <c r="M230" s="332">
        <f>'M) Police'!O230</f>
        <v>18749.702859863977</v>
      </c>
      <c r="N230" s="332">
        <f t="shared" si="7"/>
        <v>350439.54260214395</v>
      </c>
      <c r="P230" s="445"/>
    </row>
    <row r="231" spans="1:16" s="237" customFormat="1" x14ac:dyDescent="0.25">
      <c r="A231" s="234">
        <f>'B) D RI'!A232</f>
        <v>5757</v>
      </c>
      <c r="B231" s="235" t="str">
        <f>'B) D RI'!B232</f>
        <v>Orbe</v>
      </c>
      <c r="C231" s="402">
        <f>'B) D RI'!S232</f>
        <v>74</v>
      </c>
      <c r="D231" s="236">
        <f>'B) D RI'!AR232</f>
        <v>6805</v>
      </c>
      <c r="E231" s="243">
        <f>'D) Ecrêtage'!M230</f>
        <v>219459.11337837842</v>
      </c>
      <c r="F231" s="246">
        <f>'E) Fact soc'!G236</f>
        <v>4258015.2263764562</v>
      </c>
      <c r="G231" s="246">
        <f>'H) Péréquation directe'!I241</f>
        <v>-533512.96861753007</v>
      </c>
      <c r="H231" s="246">
        <f>'I) Dépenses thématiques'!O230</f>
        <v>-1381694.2570109079</v>
      </c>
      <c r="I231" s="246">
        <f>'K) Plafonnement aide'!J230</f>
        <v>0</v>
      </c>
      <c r="J231" s="246">
        <f>'J) Plafonnement effort'!I230</f>
        <v>0</v>
      </c>
      <c r="K231" s="246">
        <f>'L) Plafonnement taux'!Q231</f>
        <v>0</v>
      </c>
      <c r="L231" s="332">
        <f t="shared" si="8"/>
        <v>2342808.0007480183</v>
      </c>
      <c r="M231" s="332">
        <f>'M) Police'!O231</f>
        <v>280989.48546182213</v>
      </c>
      <c r="N231" s="332">
        <f t="shared" si="7"/>
        <v>2623797.4862098405</v>
      </c>
      <c r="P231" s="445"/>
    </row>
    <row r="232" spans="1:16" s="237" customFormat="1" x14ac:dyDescent="0.25">
      <c r="A232" s="234">
        <f>'B) D RI'!A233</f>
        <v>5758</v>
      </c>
      <c r="B232" s="235" t="str">
        <f>'B) D RI'!B233</f>
        <v>La Praz</v>
      </c>
      <c r="C232" s="402">
        <f>'B) D RI'!S233</f>
        <v>83</v>
      </c>
      <c r="D232" s="236">
        <f>'B) D RI'!AR233</f>
        <v>159</v>
      </c>
      <c r="E232" s="243">
        <f>'D) Ecrêtage'!M231</f>
        <v>3792.6817536813919</v>
      </c>
      <c r="F232" s="246">
        <f>'E) Fact soc'!G237</f>
        <v>61451.768314729728</v>
      </c>
      <c r="G232" s="246">
        <f>'H) Péréquation directe'!I242</f>
        <v>-33897.468196503251</v>
      </c>
      <c r="H232" s="246">
        <f>'I) Dépenses thématiques'!O231</f>
        <v>-19998.597730193644</v>
      </c>
      <c r="I232" s="246">
        <f>'K) Plafonnement aide'!J231</f>
        <v>0</v>
      </c>
      <c r="J232" s="246">
        <f>'J) Plafonnement effort'!I231</f>
        <v>0</v>
      </c>
      <c r="K232" s="246">
        <f>'L) Plafonnement taux'!Q232</f>
        <v>0</v>
      </c>
      <c r="L232" s="332">
        <f t="shared" si="8"/>
        <v>7555.7023880328343</v>
      </c>
      <c r="M232" s="332">
        <f>'M) Police'!O232</f>
        <v>11864.67388873221</v>
      </c>
      <c r="N232" s="332">
        <f t="shared" si="7"/>
        <v>19420.376276765044</v>
      </c>
      <c r="P232" s="445"/>
    </row>
    <row r="233" spans="1:16" s="237" customFormat="1" x14ac:dyDescent="0.25">
      <c r="A233" s="234">
        <f>'B) D RI'!A234</f>
        <v>5759</v>
      </c>
      <c r="B233" s="235" t="str">
        <f>'B) D RI'!B234</f>
        <v>Premier</v>
      </c>
      <c r="C233" s="402">
        <f>'B) D RI'!S234</f>
        <v>81</v>
      </c>
      <c r="D233" s="236">
        <f>'B) D RI'!AR234</f>
        <v>196</v>
      </c>
      <c r="E233" s="243">
        <f>'D) Ecrêtage'!M232</f>
        <v>4689.5245679012341</v>
      </c>
      <c r="F233" s="246">
        <f>'E) Fact soc'!G238</f>
        <v>71916.51842280454</v>
      </c>
      <c r="G233" s="246">
        <f>'H) Péréquation directe'!I243</f>
        <v>-35945.871891009476</v>
      </c>
      <c r="H233" s="246">
        <f>'I) Dépenses thématiques'!O232</f>
        <v>-75645.173170776572</v>
      </c>
      <c r="I233" s="246">
        <f>'K) Plafonnement aide'!J232</f>
        <v>0</v>
      </c>
      <c r="J233" s="246">
        <f>'J) Plafonnement effort'!I232</f>
        <v>0</v>
      </c>
      <c r="K233" s="246">
        <f>'L) Plafonnement taux'!Q233</f>
        <v>0</v>
      </c>
      <c r="L233" s="332">
        <f t="shared" si="8"/>
        <v>-39674.526638981508</v>
      </c>
      <c r="M233" s="332">
        <f>'M) Police'!O233</f>
        <v>14738.314891185506</v>
      </c>
      <c r="N233" s="332">
        <f t="shared" si="7"/>
        <v>-24936.211747796002</v>
      </c>
      <c r="P233" s="445"/>
    </row>
    <row r="234" spans="1:16" s="237" customFormat="1" x14ac:dyDescent="0.25">
      <c r="A234" s="234">
        <f>'B) D RI'!A235</f>
        <v>5760</v>
      </c>
      <c r="B234" s="235" t="str">
        <f>'B) D RI'!B235</f>
        <v>Rances</v>
      </c>
      <c r="C234" s="402">
        <f>'B) D RI'!S235</f>
        <v>78</v>
      </c>
      <c r="D234" s="236">
        <f>'B) D RI'!AR235</f>
        <v>473</v>
      </c>
      <c r="E234" s="243">
        <f>'D) Ecrêtage'!M233</f>
        <v>13227.609572649571</v>
      </c>
      <c r="F234" s="246">
        <f>'E) Fact soc'!G239</f>
        <v>301306.3045992371</v>
      </c>
      <c r="G234" s="246">
        <f>'H) Péréquation directe'!I244</f>
        <v>13352.559848639736</v>
      </c>
      <c r="H234" s="246">
        <f>'I) Dépenses thématiques'!O233</f>
        <v>-109753.22630657599</v>
      </c>
      <c r="I234" s="246">
        <f>'K) Plafonnement aide'!J233</f>
        <v>0</v>
      </c>
      <c r="J234" s="246">
        <f>'J) Plafonnement effort'!I233</f>
        <v>0</v>
      </c>
      <c r="K234" s="246">
        <f>'L) Plafonnement taux'!Q234</f>
        <v>0</v>
      </c>
      <c r="L234" s="332">
        <f t="shared" si="8"/>
        <v>204905.63814130082</v>
      </c>
      <c r="M234" s="332">
        <f>'M) Police'!O234</f>
        <v>41752.894430381159</v>
      </c>
      <c r="N234" s="332">
        <f t="shared" si="7"/>
        <v>246658.53257168198</v>
      </c>
      <c r="P234" s="445"/>
    </row>
    <row r="235" spans="1:16" s="237" customFormat="1" x14ac:dyDescent="0.25">
      <c r="A235" s="234">
        <f>'B) D RI'!A236</f>
        <v>5761</v>
      </c>
      <c r="B235" s="235" t="str">
        <f>'B) D RI'!B236</f>
        <v>Romainmôtier-Envy</v>
      </c>
      <c r="C235" s="402">
        <f>'B) D RI'!S236</f>
        <v>76</v>
      </c>
      <c r="D235" s="236">
        <f>'B) D RI'!AR236</f>
        <v>546</v>
      </c>
      <c r="E235" s="243">
        <f>'D) Ecrêtage'!M234</f>
        <v>12165.915592105261</v>
      </c>
      <c r="F235" s="246">
        <f>'E) Fact soc'!G240</f>
        <v>252443.66491880227</v>
      </c>
      <c r="G235" s="246">
        <f>'H) Péréquation directe'!I245</f>
        <v>-102972.04416551423</v>
      </c>
      <c r="H235" s="246">
        <f>'I) Dépenses thématiques'!O234</f>
        <v>-47319.849626111514</v>
      </c>
      <c r="I235" s="246">
        <f>'K) Plafonnement aide'!J234</f>
        <v>0</v>
      </c>
      <c r="J235" s="246">
        <f>'J) Plafonnement effort'!I234</f>
        <v>0</v>
      </c>
      <c r="K235" s="246">
        <f>'L) Plafonnement taux'!Q235</f>
        <v>0</v>
      </c>
      <c r="L235" s="332">
        <f t="shared" si="8"/>
        <v>102151.77112717653</v>
      </c>
      <c r="M235" s="332">
        <f>'M) Police'!O235</f>
        <v>37864.354058525358</v>
      </c>
      <c r="N235" s="332">
        <f t="shared" si="7"/>
        <v>140016.12518570188</v>
      </c>
      <c r="P235" s="445"/>
    </row>
    <row r="236" spans="1:16" s="237" customFormat="1" x14ac:dyDescent="0.25">
      <c r="A236" s="234">
        <f>'B) D RI'!A237</f>
        <v>5762</v>
      </c>
      <c r="B236" s="235" t="str">
        <f>'B) D RI'!B237</f>
        <v>Sergey</v>
      </c>
      <c r="C236" s="402">
        <f>'B) D RI'!S237</f>
        <v>78</v>
      </c>
      <c r="D236" s="236">
        <f>'B) D RI'!AR237</f>
        <v>140</v>
      </c>
      <c r="E236" s="243">
        <f>'D) Ecrêtage'!M235</f>
        <v>3586.5485897435897</v>
      </c>
      <c r="F236" s="246">
        <f>'E) Fact soc'!G241</f>
        <v>56721.156481767859</v>
      </c>
      <c r="G236" s="246">
        <f>'H) Péréquation directe'!I246</f>
        <v>-10136.347997588615</v>
      </c>
      <c r="H236" s="246">
        <f>'I) Dépenses thématiques'!O235</f>
        <v>-26546.26696001122</v>
      </c>
      <c r="I236" s="246">
        <f>'K) Plafonnement aide'!J235</f>
        <v>0</v>
      </c>
      <c r="J236" s="246">
        <f>'J) Plafonnement effort'!I235</f>
        <v>0</v>
      </c>
      <c r="K236" s="246">
        <f>'L) Plafonnement taux'!Q236</f>
        <v>0</v>
      </c>
      <c r="L236" s="332">
        <f t="shared" si="8"/>
        <v>20038.541524168024</v>
      </c>
      <c r="M236" s="332">
        <f>'M) Police'!O236</f>
        <v>11275.649870736244</v>
      </c>
      <c r="N236" s="332">
        <f t="shared" si="7"/>
        <v>31314.191394904268</v>
      </c>
      <c r="P236" s="445"/>
    </row>
    <row r="237" spans="1:16" s="237" customFormat="1" x14ac:dyDescent="0.25">
      <c r="A237" s="234">
        <f>'B) D RI'!A238</f>
        <v>5763</v>
      </c>
      <c r="B237" s="235" t="str">
        <f>'B) D RI'!B238</f>
        <v>Valeyres-sous-Rances</v>
      </c>
      <c r="C237" s="402">
        <f>'B) D RI'!S238</f>
        <v>65</v>
      </c>
      <c r="D237" s="236">
        <f>'B) D RI'!AR238</f>
        <v>623</v>
      </c>
      <c r="E237" s="243">
        <f>'D) Ecrêtage'!M236</f>
        <v>16085.850769230768</v>
      </c>
      <c r="F237" s="246">
        <f>'E) Fact soc'!G242</f>
        <v>285745.13306737144</v>
      </c>
      <c r="G237" s="246">
        <f>'H) Péréquation directe'!I247</f>
        <v>44871.56673209992</v>
      </c>
      <c r="H237" s="246">
        <f>'I) Dépenses thématiques'!O236</f>
        <v>-132511.76646793817</v>
      </c>
      <c r="I237" s="246">
        <f>'K) Plafonnement aide'!J236</f>
        <v>0</v>
      </c>
      <c r="J237" s="246">
        <f>'J) Plafonnement effort'!I236</f>
        <v>0</v>
      </c>
      <c r="K237" s="246">
        <f>'L) Plafonnement taux'!Q237</f>
        <v>0</v>
      </c>
      <c r="L237" s="332">
        <f t="shared" si="8"/>
        <v>198104.93333153319</v>
      </c>
      <c r="M237" s="332">
        <f>'M) Police'!O237</f>
        <v>50188.473920412376</v>
      </c>
      <c r="N237" s="332">
        <f t="shared" si="7"/>
        <v>248293.40725194558</v>
      </c>
      <c r="P237" s="445"/>
    </row>
    <row r="238" spans="1:16" s="237" customFormat="1" x14ac:dyDescent="0.25">
      <c r="A238" s="234">
        <f>'B) D RI'!A239</f>
        <v>5764</v>
      </c>
      <c r="B238" s="235" t="str">
        <f>'B) D RI'!B239</f>
        <v>Vallorbe</v>
      </c>
      <c r="C238" s="402">
        <f>'B) D RI'!S239</f>
        <v>74</v>
      </c>
      <c r="D238" s="236">
        <f>'B) D RI'!AR239</f>
        <v>3747</v>
      </c>
      <c r="E238" s="243">
        <f>'D) Ecrêtage'!M237</f>
        <v>84513.608378378369</v>
      </c>
      <c r="F238" s="246">
        <f>'E) Fact soc'!G243</f>
        <v>2095899.3707891977</v>
      </c>
      <c r="G238" s="246">
        <f>'H) Péréquation directe'!I248</f>
        <v>-1354824.6017039563</v>
      </c>
      <c r="H238" s="246">
        <f>'I) Dépenses thématiques'!O237</f>
        <v>-1667282.5027297218</v>
      </c>
      <c r="I238" s="246">
        <f>'K) Plafonnement aide'!J237</f>
        <v>0</v>
      </c>
      <c r="J238" s="246">
        <f>'J) Plafonnement effort'!I237</f>
        <v>0</v>
      </c>
      <c r="K238" s="246">
        <f>'L) Plafonnement taux'!Q238</f>
        <v>0</v>
      </c>
      <c r="L238" s="332">
        <f t="shared" si="8"/>
        <v>-926207.73364448035</v>
      </c>
      <c r="M238" s="332">
        <f>'M) Police'!O238</f>
        <v>266586.5214842186</v>
      </c>
      <c r="N238" s="332">
        <f t="shared" si="7"/>
        <v>-659621.21216026181</v>
      </c>
      <c r="P238" s="445"/>
    </row>
    <row r="239" spans="1:16" s="237" customFormat="1" x14ac:dyDescent="0.25">
      <c r="A239" s="234">
        <f>'B) D RI'!A240</f>
        <v>5765</v>
      </c>
      <c r="B239" s="235" t="str">
        <f>'B) D RI'!B240</f>
        <v>Vaulion</v>
      </c>
      <c r="C239" s="402">
        <f>'B) D RI'!S240</f>
        <v>81</v>
      </c>
      <c r="D239" s="236">
        <f>'B) D RI'!AR240</f>
        <v>494</v>
      </c>
      <c r="E239" s="243">
        <f>'D) Ecrêtage'!M238</f>
        <v>10199.027160493826</v>
      </c>
      <c r="F239" s="246">
        <f>'E) Fact soc'!G244</f>
        <v>169168.49807640834</v>
      </c>
      <c r="G239" s="246">
        <f>'H) Péréquation directe'!I249</f>
        <v>-163164.71977217053</v>
      </c>
      <c r="H239" s="246">
        <f>'I) Dépenses thématiques'!O238</f>
        <v>-139385.91241178944</v>
      </c>
      <c r="I239" s="246">
        <f>'K) Plafonnement aide'!J238</f>
        <v>0</v>
      </c>
      <c r="J239" s="246">
        <f>'J) Plafonnement effort'!I238</f>
        <v>0</v>
      </c>
      <c r="K239" s="246">
        <f>'L) Plafonnement taux'!Q239</f>
        <v>0</v>
      </c>
      <c r="L239" s="332">
        <f t="shared" si="8"/>
        <v>-133382.13410755162</v>
      </c>
      <c r="M239" s="332">
        <f>'M) Police'!O239</f>
        <v>32036.749833262897</v>
      </c>
      <c r="N239" s="332">
        <f t="shared" si="7"/>
        <v>-101345.38427428872</v>
      </c>
      <c r="P239" s="445"/>
    </row>
    <row r="240" spans="1:16" s="237" customFormat="1" x14ac:dyDescent="0.25">
      <c r="A240" s="234">
        <f>'B) D RI'!A241</f>
        <v>5766</v>
      </c>
      <c r="B240" s="235" t="str">
        <f>'B) D RI'!B241</f>
        <v>Vuiteboeuf</v>
      </c>
      <c r="C240" s="402">
        <f>'B) D RI'!S241</f>
        <v>77</v>
      </c>
      <c r="D240" s="236">
        <f>'B) D RI'!AR241</f>
        <v>556</v>
      </c>
      <c r="E240" s="243">
        <f>'D) Ecrêtage'!M239</f>
        <v>13023.960575139146</v>
      </c>
      <c r="F240" s="246">
        <f>'E) Fact soc'!G245</f>
        <v>219333.45666879034</v>
      </c>
      <c r="G240" s="246">
        <f>'H) Péréquation directe'!I250</f>
        <v>-85432.655742585805</v>
      </c>
      <c r="H240" s="246">
        <f>'I) Dépenses thématiques'!O239</f>
        <v>-103117.97472992857</v>
      </c>
      <c r="I240" s="246">
        <f>'K) Plafonnement aide'!J239</f>
        <v>0</v>
      </c>
      <c r="J240" s="246">
        <f>'J) Plafonnement effort'!I239</f>
        <v>0</v>
      </c>
      <c r="K240" s="246">
        <f>'L) Plafonnement taux'!Q240</f>
        <v>0</v>
      </c>
      <c r="L240" s="332">
        <f t="shared" si="8"/>
        <v>30782.826196275972</v>
      </c>
      <c r="M240" s="332">
        <f>'M) Police'!O240</f>
        <v>40813.804444348978</v>
      </c>
      <c r="N240" s="332">
        <f t="shared" si="7"/>
        <v>71596.63064062495</v>
      </c>
      <c r="P240" s="445"/>
    </row>
    <row r="241" spans="1:16" s="237" customFormat="1" x14ac:dyDescent="0.25">
      <c r="A241" s="234">
        <f>'B) D RI'!A242</f>
        <v>5782</v>
      </c>
      <c r="B241" s="235" t="str">
        <f>'B) D RI'!B242</f>
        <v>Carrouge</v>
      </c>
      <c r="C241" s="402">
        <f>'B) D RI'!S242</f>
        <v>76</v>
      </c>
      <c r="D241" s="236">
        <f>'B) D RI'!AR242</f>
        <v>1247</v>
      </c>
      <c r="E241" s="243">
        <f>'D) Ecrêtage'!M240</f>
        <v>32585.638421052627</v>
      </c>
      <c r="F241" s="246">
        <f>'E) Fact soc'!G246</f>
        <v>651990.48254534509</v>
      </c>
      <c r="G241" s="246">
        <f>'H) Péréquation directe'!I251</f>
        <v>-96163.800684682908</v>
      </c>
      <c r="H241" s="246">
        <f>'I) Dépenses thématiques'!O240</f>
        <v>-25752.083217070016</v>
      </c>
      <c r="I241" s="246">
        <f>'K) Plafonnement aide'!J240</f>
        <v>0</v>
      </c>
      <c r="J241" s="246">
        <f>'J) Plafonnement effort'!I240</f>
        <v>0</v>
      </c>
      <c r="K241" s="246">
        <f>'L) Plafonnement taux'!Q241</f>
        <v>0</v>
      </c>
      <c r="L241" s="332">
        <f t="shared" si="8"/>
        <v>530074.59864359221</v>
      </c>
      <c r="M241" s="332">
        <f>'M) Police'!O241</f>
        <v>101541.10072971725</v>
      </c>
      <c r="N241" s="332">
        <f t="shared" si="7"/>
        <v>631615.6993733095</v>
      </c>
      <c r="P241" s="445"/>
    </row>
    <row r="242" spans="1:16" s="237" customFormat="1" x14ac:dyDescent="0.25">
      <c r="A242" s="234">
        <f>'B) D RI'!A243</f>
        <v>5785</v>
      </c>
      <c r="B242" s="235" t="str">
        <f>'B) D RI'!B243</f>
        <v>Corcelles-le-Jorat</v>
      </c>
      <c r="C242" s="402">
        <f>'B) D RI'!S243</f>
        <v>77</v>
      </c>
      <c r="D242" s="236">
        <f>'B) D RI'!AR243</f>
        <v>425</v>
      </c>
      <c r="E242" s="243">
        <f>'D) Ecrêtage'!M241</f>
        <v>12275.22831168831</v>
      </c>
      <c r="F242" s="246">
        <f>'E) Fact soc'!G247</f>
        <v>199762.06442793386</v>
      </c>
      <c r="G242" s="246">
        <f>'H) Péréquation directe'!I252</f>
        <v>32721.535770511284</v>
      </c>
      <c r="H242" s="246">
        <f>'I) Dépenses thématiques'!O241</f>
        <v>-51752.911489555903</v>
      </c>
      <c r="I242" s="246">
        <f>'K) Plafonnement aide'!J241</f>
        <v>0</v>
      </c>
      <c r="J242" s="246">
        <f>'J) Plafonnement effort'!I241</f>
        <v>0</v>
      </c>
      <c r="K242" s="246">
        <f>'L) Plafonnement taux'!Q242</f>
        <v>0</v>
      </c>
      <c r="L242" s="332">
        <f t="shared" si="8"/>
        <v>180730.68870888924</v>
      </c>
      <c r="M242" s="332">
        <f>'M) Police'!O242</f>
        <v>38515.647479861407</v>
      </c>
      <c r="N242" s="332">
        <f t="shared" si="7"/>
        <v>219246.33618875063</v>
      </c>
      <c r="P242" s="445"/>
    </row>
    <row r="243" spans="1:16" s="237" customFormat="1" x14ac:dyDescent="0.25">
      <c r="A243" s="234">
        <f>'B) D RI'!A244</f>
        <v>5788</v>
      </c>
      <c r="B243" s="235" t="str">
        <f>'B) D RI'!B244</f>
        <v>Essertes</v>
      </c>
      <c r="C243" s="402">
        <f>'B) D RI'!S244</f>
        <v>72</v>
      </c>
      <c r="D243" s="236">
        <f>'B) D RI'!AR244</f>
        <v>335</v>
      </c>
      <c r="E243" s="243">
        <f>'D) Ecrêtage'!M242</f>
        <v>9663.2152777777756</v>
      </c>
      <c r="F243" s="246">
        <f>'E) Fact soc'!G248</f>
        <v>155420.26338284963</v>
      </c>
      <c r="G243" s="246">
        <f>'H) Péréquation directe'!I253</f>
        <v>40472.43733115858</v>
      </c>
      <c r="H243" s="246">
        <f>'I) Dépenses thématiques'!O242</f>
        <v>-2793.2311205108417</v>
      </c>
      <c r="I243" s="246">
        <f>'K) Plafonnement aide'!J242</f>
        <v>0</v>
      </c>
      <c r="J243" s="246">
        <f>'J) Plafonnement effort'!I242</f>
        <v>0</v>
      </c>
      <c r="K243" s="246">
        <f>'L) Plafonnement taux'!Q243</f>
        <v>0</v>
      </c>
      <c r="L243" s="332">
        <f t="shared" si="8"/>
        <v>193099.46959349737</v>
      </c>
      <c r="M243" s="332">
        <f>'M) Police'!O243</f>
        <v>30173.057709968016</v>
      </c>
      <c r="N243" s="332">
        <f t="shared" si="7"/>
        <v>223272.52730346538</v>
      </c>
      <c r="P243" s="445"/>
    </row>
    <row r="244" spans="1:16" s="237" customFormat="1" x14ac:dyDescent="0.25">
      <c r="A244" s="234">
        <f>'B) D RI'!A245</f>
        <v>5789</v>
      </c>
      <c r="B244" s="235" t="str">
        <f>'B) D RI'!B245</f>
        <v>Ferlens</v>
      </c>
      <c r="C244" s="402">
        <f>'B) D RI'!S245</f>
        <v>76</v>
      </c>
      <c r="D244" s="236">
        <f>'B) D RI'!AR245</f>
        <v>350</v>
      </c>
      <c r="E244" s="243">
        <f>'D) Ecrêtage'!M243</f>
        <v>9239.8459210526344</v>
      </c>
      <c r="F244" s="246">
        <f>'E) Fact soc'!G249</f>
        <v>155748.2900478713</v>
      </c>
      <c r="G244" s="246">
        <f>'H) Péréquation directe'!I254</f>
        <v>-5992.141770767339</v>
      </c>
      <c r="H244" s="246">
        <f>'I) Dépenses thématiques'!O243</f>
        <v>-14667.423147087589</v>
      </c>
      <c r="I244" s="246">
        <f>'K) Plafonnement aide'!J243</f>
        <v>0</v>
      </c>
      <c r="J244" s="246">
        <f>'J) Plafonnement effort'!I243</f>
        <v>0</v>
      </c>
      <c r="K244" s="246">
        <f>'L) Plafonnement taux'!Q244</f>
        <v>0</v>
      </c>
      <c r="L244" s="332">
        <f t="shared" si="8"/>
        <v>135088.72513001636</v>
      </c>
      <c r="M244" s="332">
        <f>'M) Police'!O244</f>
        <v>29017.20922423021</v>
      </c>
      <c r="N244" s="332">
        <f t="shared" si="7"/>
        <v>164105.93435424656</v>
      </c>
      <c r="P244" s="445"/>
    </row>
    <row r="245" spans="1:16" s="237" customFormat="1" x14ac:dyDescent="0.25">
      <c r="A245" s="234">
        <f>'B) D RI'!A246</f>
        <v>5790</v>
      </c>
      <c r="B245" s="235" t="str">
        <f>'B) D RI'!B246</f>
        <v>Maracon</v>
      </c>
      <c r="C245" s="402">
        <f>'B) D RI'!S246</f>
        <v>76</v>
      </c>
      <c r="D245" s="236">
        <f>'B) D RI'!AR246</f>
        <v>449</v>
      </c>
      <c r="E245" s="243">
        <f>'D) Ecrêtage'!M244</f>
        <v>12077.747368421051</v>
      </c>
      <c r="F245" s="246">
        <f>'E) Fact soc'!G250</f>
        <v>207260.36754144929</v>
      </c>
      <c r="G245" s="246">
        <f>'H) Péréquation directe'!I255</f>
        <v>1655.4056807472371</v>
      </c>
      <c r="H245" s="246">
        <f>'I) Dépenses thématiques'!O244</f>
        <v>-79641.694930634374</v>
      </c>
      <c r="I245" s="246">
        <f>'K) Plafonnement aide'!J244</f>
        <v>0</v>
      </c>
      <c r="J245" s="246">
        <f>'J) Plafonnement effort'!I244</f>
        <v>0</v>
      </c>
      <c r="K245" s="246">
        <f>'L) Plafonnement taux'!Q245</f>
        <v>0</v>
      </c>
      <c r="L245" s="332">
        <f t="shared" si="8"/>
        <v>129274.07829156215</v>
      </c>
      <c r="M245" s="332">
        <f>'M) Police'!O245</f>
        <v>37683.532702798555</v>
      </c>
      <c r="N245" s="332">
        <f t="shared" si="7"/>
        <v>166957.6109943607</v>
      </c>
      <c r="P245" s="445"/>
    </row>
    <row r="246" spans="1:16" s="237" customFormat="1" x14ac:dyDescent="0.25">
      <c r="A246" s="234">
        <f>'B) D RI'!A247</f>
        <v>5791</v>
      </c>
      <c r="B246" s="235" t="str">
        <f>'B) D RI'!B247</f>
        <v>Mézières</v>
      </c>
      <c r="C246" s="402">
        <f>'B) D RI'!S247</f>
        <v>76</v>
      </c>
      <c r="D246" s="236">
        <f>'B) D RI'!AR247</f>
        <v>1217</v>
      </c>
      <c r="E246" s="243">
        <f>'D) Ecrêtage'!M245</f>
        <v>47801.173157894729</v>
      </c>
      <c r="F246" s="246">
        <f>'E) Fact soc'!G251</f>
        <v>825028.91583035141</v>
      </c>
      <c r="G246" s="246">
        <f>'H) Péréquation directe'!I256</f>
        <v>578350.21163516084</v>
      </c>
      <c r="H246" s="246">
        <f>'I) Dépenses thématiques'!O245</f>
        <v>-233462.12329056978</v>
      </c>
      <c r="I246" s="246">
        <f>'K) Plafonnement aide'!J245</f>
        <v>0</v>
      </c>
      <c r="J246" s="246">
        <f>'J) Plafonnement effort'!I245</f>
        <v>0</v>
      </c>
      <c r="K246" s="246">
        <f>'L) Plafonnement taux'!Q246</f>
        <v>0</v>
      </c>
      <c r="L246" s="332">
        <f t="shared" si="8"/>
        <v>1169917.0041749424</v>
      </c>
      <c r="M246" s="332">
        <f>'M) Police'!O246</f>
        <v>151194.55374830603</v>
      </c>
      <c r="N246" s="332">
        <f t="shared" si="7"/>
        <v>1321111.5579232485</v>
      </c>
      <c r="P246" s="445"/>
    </row>
    <row r="247" spans="1:16" s="237" customFormat="1" x14ac:dyDescent="0.25">
      <c r="A247" s="234">
        <f>'B) D RI'!A248</f>
        <v>5792</v>
      </c>
      <c r="B247" s="235" t="str">
        <f>'B) D RI'!B248</f>
        <v>Montpreveyres</v>
      </c>
      <c r="C247" s="402">
        <f>'B) D RI'!S248</f>
        <v>77</v>
      </c>
      <c r="D247" s="236">
        <f>'B) D RI'!AR248</f>
        <v>621</v>
      </c>
      <c r="E247" s="243">
        <f>'D) Ecrêtage'!M246</f>
        <v>15670.869999999999</v>
      </c>
      <c r="F247" s="246">
        <f>'E) Fact soc'!G252</f>
        <v>297194.71364672028</v>
      </c>
      <c r="G247" s="246">
        <f>'H) Péréquation directe'!I257</f>
        <v>-47912.226522598299</v>
      </c>
      <c r="H247" s="246">
        <f>'I) Dépenses thématiques'!O246</f>
        <v>-142886.88460159654</v>
      </c>
      <c r="I247" s="246">
        <f>'K) Plafonnement aide'!J246</f>
        <v>0</v>
      </c>
      <c r="J247" s="246">
        <f>'J) Plafonnement effort'!I246</f>
        <v>0</v>
      </c>
      <c r="K247" s="246">
        <f>'L) Plafonnement taux'!Q247</f>
        <v>0</v>
      </c>
      <c r="L247" s="332">
        <f t="shared" si="8"/>
        <v>106395.60252252544</v>
      </c>
      <c r="M247" s="332">
        <f>'M) Police'!O247</f>
        <v>48685.288335142948</v>
      </c>
      <c r="N247" s="332">
        <f t="shared" si="7"/>
        <v>155080.89085766839</v>
      </c>
      <c r="P247" s="445"/>
    </row>
    <row r="248" spans="1:16" s="237" customFormat="1" x14ac:dyDescent="0.25">
      <c r="A248" s="234">
        <f>'B) D RI'!A249</f>
        <v>5798</v>
      </c>
      <c r="B248" s="235" t="str">
        <f>'B) D RI'!B249</f>
        <v>Ropraz</v>
      </c>
      <c r="C248" s="402">
        <f>'B) D RI'!S249</f>
        <v>77.5</v>
      </c>
      <c r="D248" s="236">
        <f>'B) D RI'!AR249</f>
        <v>438</v>
      </c>
      <c r="E248" s="243">
        <f>'D) Ecrêtage'!M247</f>
        <v>10971.989935483871</v>
      </c>
      <c r="F248" s="246">
        <f>'E) Fact soc'!G253</f>
        <v>182018.43213153337</v>
      </c>
      <c r="G248" s="246">
        <f>'H) Péréquation directe'!I258</f>
        <v>-39786.677377940709</v>
      </c>
      <c r="H248" s="246">
        <f>'I) Dépenses thématiques'!O247</f>
        <v>-72716.710077023614</v>
      </c>
      <c r="I248" s="246">
        <f>'K) Plafonnement aide'!J247</f>
        <v>0</v>
      </c>
      <c r="J248" s="246">
        <f>'J) Plafonnement effort'!I247</f>
        <v>0</v>
      </c>
      <c r="K248" s="246">
        <f>'L) Plafonnement taux'!Q248</f>
        <v>0</v>
      </c>
      <c r="L248" s="332">
        <f t="shared" si="8"/>
        <v>69515.044676569043</v>
      </c>
      <c r="M248" s="332">
        <f>'M) Police'!O248</f>
        <v>35013.749258113472</v>
      </c>
      <c r="N248" s="332">
        <f t="shared" si="7"/>
        <v>104528.79393468252</v>
      </c>
      <c r="P248" s="445"/>
    </row>
    <row r="249" spans="1:16" s="237" customFormat="1" x14ac:dyDescent="0.25">
      <c r="A249" s="234">
        <f>'B) D RI'!A250</f>
        <v>5799</v>
      </c>
      <c r="B249" s="235" t="str">
        <f>'B) D RI'!B250</f>
        <v>Servion</v>
      </c>
      <c r="C249" s="402">
        <f>'B) D RI'!S250</f>
        <v>69</v>
      </c>
      <c r="D249" s="236">
        <f>'B) D RI'!AR250</f>
        <v>1918</v>
      </c>
      <c r="E249" s="243">
        <f>'D) Ecrêtage'!M248</f>
        <v>60598.657971014502</v>
      </c>
      <c r="F249" s="246">
        <f>'E) Fact soc'!G254</f>
        <v>1014325.2829145661</v>
      </c>
      <c r="G249" s="246">
        <f>'H) Péréquation directe'!I259</f>
        <v>253099.16530220374</v>
      </c>
      <c r="H249" s="246">
        <f>'I) Dépenses thématiques'!O248</f>
        <v>-246236.88266484314</v>
      </c>
      <c r="I249" s="246">
        <f>'K) Plafonnement aide'!J248</f>
        <v>0</v>
      </c>
      <c r="J249" s="246">
        <f>'J) Plafonnement effort'!I248</f>
        <v>0</v>
      </c>
      <c r="K249" s="246">
        <f>'L) Plafonnement taux'!Q249</f>
        <v>0</v>
      </c>
      <c r="L249" s="332">
        <f t="shared" si="8"/>
        <v>1021187.5655519267</v>
      </c>
      <c r="M249" s="332">
        <f>'M) Police'!O249</f>
        <v>188574.15474398487</v>
      </c>
      <c r="N249" s="332">
        <f t="shared" si="7"/>
        <v>1209761.7202959117</v>
      </c>
      <c r="P249" s="445"/>
    </row>
    <row r="250" spans="1:16" s="237" customFormat="1" x14ac:dyDescent="0.25">
      <c r="A250" s="234">
        <f>'B) D RI'!A251</f>
        <v>5803</v>
      </c>
      <c r="B250" s="235" t="str">
        <f>'B) D RI'!B251</f>
        <v>Vulliens</v>
      </c>
      <c r="C250" s="402">
        <f>'B) D RI'!S251</f>
        <v>78</v>
      </c>
      <c r="D250" s="236">
        <f>'B) D RI'!AR251</f>
        <v>466</v>
      </c>
      <c r="E250" s="243">
        <f>'D) Ecrêtage'!M249</f>
        <v>14215.08564102564</v>
      </c>
      <c r="F250" s="246">
        <f>'E) Fact soc'!G255</f>
        <v>287149.25536916475</v>
      </c>
      <c r="G250" s="246">
        <f>'H) Péréquation directe'!I260</f>
        <v>63885.188410117815</v>
      </c>
      <c r="H250" s="246">
        <f>'I) Dépenses thématiques'!O249</f>
        <v>-72131.709031269114</v>
      </c>
      <c r="I250" s="246">
        <f>'K) Plafonnement aide'!J249</f>
        <v>0</v>
      </c>
      <c r="J250" s="246">
        <f>'J) Plafonnement effort'!I249</f>
        <v>0</v>
      </c>
      <c r="K250" s="246">
        <f>'L) Plafonnement taux'!Q250</f>
        <v>0</v>
      </c>
      <c r="L250" s="332">
        <f t="shared" si="8"/>
        <v>278902.73474801343</v>
      </c>
      <c r="M250" s="332">
        <f>'M) Police'!O250</f>
        <v>44701.884519991072</v>
      </c>
      <c r="N250" s="332">
        <f t="shared" si="7"/>
        <v>323604.61926800449</v>
      </c>
      <c r="P250" s="445"/>
    </row>
    <row r="251" spans="1:16" s="237" customFormat="1" x14ac:dyDescent="0.25">
      <c r="A251" s="234">
        <f>'B) D RI'!A252</f>
        <v>5804</v>
      </c>
      <c r="B251" s="235" t="str">
        <f>'B) D RI'!B252</f>
        <v>Jorat-Menthue</v>
      </c>
      <c r="C251" s="402">
        <f>'B) D RI'!S252</f>
        <v>72</v>
      </c>
      <c r="D251" s="236">
        <f>'B) D RI'!AR252</f>
        <v>1545</v>
      </c>
      <c r="E251" s="243">
        <f>'D) Ecrêtage'!M250</f>
        <v>48554.511111111118</v>
      </c>
      <c r="F251" s="246">
        <f>'E) Fact soc'!G256</f>
        <v>778944.37291943841</v>
      </c>
      <c r="G251" s="246">
        <f>'H) Péréquation directe'!I261</f>
        <v>208976.84418487269</v>
      </c>
      <c r="H251" s="246">
        <f>'I) Dépenses thématiques'!O250</f>
        <v>-955691.21260341024</v>
      </c>
      <c r="I251" s="246">
        <f>'K) Plafonnement aide'!J250</f>
        <v>0</v>
      </c>
      <c r="J251" s="246">
        <f>'J) Plafonnement effort'!I250</f>
        <v>0</v>
      </c>
      <c r="K251" s="246">
        <f>'L) Plafonnement taux'!Q251</f>
        <v>0</v>
      </c>
      <c r="L251" s="332">
        <f>F251+G251+H251+I251+J251+K251</f>
        <v>32230.004500900861</v>
      </c>
      <c r="M251" s="332">
        <f>'M) Police'!O251</f>
        <v>152505.83361146832</v>
      </c>
      <c r="N251" s="332">
        <f t="shared" si="7"/>
        <v>184735.83811236918</v>
      </c>
      <c r="P251" s="445"/>
    </row>
    <row r="252" spans="1:16" s="237" customFormat="1" x14ac:dyDescent="0.25">
      <c r="A252" s="234">
        <f>'B) D RI'!A253</f>
        <v>5805</v>
      </c>
      <c r="B252" s="235" t="str">
        <f>'B) D RI'!B253</f>
        <v>Oron</v>
      </c>
      <c r="C252" s="402">
        <f>'B) D RI'!S253</f>
        <v>69</v>
      </c>
      <c r="D252" s="236">
        <f>'B) D RI'!AR253</f>
        <v>5397</v>
      </c>
      <c r="E252" s="243">
        <f>'D) Ecrêtage'!M251</f>
        <v>147104.2625559947</v>
      </c>
      <c r="F252" s="246">
        <f>'E) Fact soc'!G257</f>
        <v>2580181.4119351953</v>
      </c>
      <c r="G252" s="246">
        <f>'H) Péréquation directe'!I262</f>
        <v>-1008516.4726010906</v>
      </c>
      <c r="H252" s="246">
        <f>'I) Dépenses thématiques'!O251</f>
        <v>-871736.1979791451</v>
      </c>
      <c r="I252" s="246">
        <f>'K) Plafonnement aide'!J251</f>
        <v>0</v>
      </c>
      <c r="J252" s="246">
        <f>'J) Plafonnement effort'!I251</f>
        <v>0</v>
      </c>
      <c r="K252" s="246">
        <f>'L) Plafonnement taux'!Q252</f>
        <v>0</v>
      </c>
      <c r="L252" s="332">
        <f>F252+G252+H252+I252+J252+K252</f>
        <v>699928.74135495967</v>
      </c>
      <c r="M252" s="332">
        <f>'M) Police'!O252</f>
        <v>457485.02460716164</v>
      </c>
      <c r="N252" s="332">
        <f t="shared" si="7"/>
        <v>1157413.7659621213</v>
      </c>
      <c r="P252" s="445"/>
    </row>
    <row r="253" spans="1:16" s="237" customFormat="1" x14ac:dyDescent="0.25">
      <c r="A253" s="234">
        <f>'B) D RI'!A254</f>
        <v>5812</v>
      </c>
      <c r="B253" s="235" t="str">
        <f>'B) D RI'!B254</f>
        <v>Champtauroz</v>
      </c>
      <c r="C253" s="402">
        <f>'B) D RI'!S254</f>
        <v>77</v>
      </c>
      <c r="D253" s="236">
        <f>'B) D RI'!AR254</f>
        <v>130</v>
      </c>
      <c r="E253" s="243">
        <f>'D) Ecrêtage'!M252</f>
        <v>2326.5760389610391</v>
      </c>
      <c r="F253" s="246">
        <f>'E) Fact soc'!G258</f>
        <v>43826.528164240626</v>
      </c>
      <c r="G253" s="246">
        <f>'H) Péréquation directe'!I263</f>
        <v>-50339.312878355078</v>
      </c>
      <c r="H253" s="246">
        <f>'I) Dépenses thématiques'!O252</f>
        <v>-41581.584545296566</v>
      </c>
      <c r="I253" s="246">
        <f>'K) Plafonnement aide'!J252</f>
        <v>0</v>
      </c>
      <c r="J253" s="246">
        <f>'J) Plafonnement effort'!I252</f>
        <v>0</v>
      </c>
      <c r="K253" s="246">
        <f>'L) Plafonnement taux'!Q253</f>
        <v>0</v>
      </c>
      <c r="L253" s="332">
        <f t="shared" si="8"/>
        <v>-48094.369259411018</v>
      </c>
      <c r="M253" s="332">
        <f>'M) Police'!O253</f>
        <v>7215.9556499051168</v>
      </c>
      <c r="N253" s="332">
        <f t="shared" si="7"/>
        <v>-40878.4136095059</v>
      </c>
      <c r="P253" s="445"/>
    </row>
    <row r="254" spans="1:16" s="237" customFormat="1" x14ac:dyDescent="0.25">
      <c r="A254" s="234">
        <f>'B) D RI'!A255</f>
        <v>5813</v>
      </c>
      <c r="B254" s="235" t="str">
        <f>'B) D RI'!B255</f>
        <v>Chevroux</v>
      </c>
      <c r="C254" s="402">
        <f>'B) D RI'!S255</f>
        <v>70</v>
      </c>
      <c r="D254" s="236">
        <f>'B) D RI'!AR255</f>
        <v>446</v>
      </c>
      <c r="E254" s="243">
        <f>'D) Ecrêtage'!M253</f>
        <v>11503.329976190478</v>
      </c>
      <c r="F254" s="246">
        <f>'E) Fact soc'!G259</f>
        <v>200934.58477887264</v>
      </c>
      <c r="G254" s="246">
        <f>'H) Péréquation directe'!I264</f>
        <v>9662.9446156804624</v>
      </c>
      <c r="H254" s="246">
        <f>'I) Dépenses thématiques'!O253</f>
        <v>-35979.60945051875</v>
      </c>
      <c r="I254" s="246">
        <f>'K) Plafonnement aide'!J253</f>
        <v>0</v>
      </c>
      <c r="J254" s="246">
        <f>'J) Plafonnement effort'!I253</f>
        <v>0</v>
      </c>
      <c r="K254" s="246">
        <f>'L) Plafonnement taux'!Q254</f>
        <v>0</v>
      </c>
      <c r="L254" s="332">
        <f t="shared" si="8"/>
        <v>174617.91994403437</v>
      </c>
      <c r="M254" s="332">
        <f>'M) Police'!O254</f>
        <v>35637.240838678314</v>
      </c>
      <c r="N254" s="332">
        <f t="shared" si="7"/>
        <v>210255.16078271269</v>
      </c>
      <c r="P254" s="445"/>
    </row>
    <row r="255" spans="1:16" s="237" customFormat="1" x14ac:dyDescent="0.25">
      <c r="A255" s="234">
        <f>'B) D RI'!A256</f>
        <v>5816</v>
      </c>
      <c r="B255" s="235" t="str">
        <f>'B) D RI'!B256</f>
        <v>Corcelles-près-Payerne</v>
      </c>
      <c r="C255" s="402">
        <f>'B) D RI'!S256</f>
        <v>72</v>
      </c>
      <c r="D255" s="236">
        <f>'B) D RI'!AR256</f>
        <v>2393</v>
      </c>
      <c r="E255" s="243">
        <f>'D) Ecrêtage'!M254</f>
        <v>56641.066845238092</v>
      </c>
      <c r="F255" s="246">
        <f>'E) Fact soc'!G260</f>
        <v>956876.80147261079</v>
      </c>
      <c r="G255" s="246">
        <f>'H) Péréquation directe'!I265</f>
        <v>-540728.93789633014</v>
      </c>
      <c r="H255" s="246">
        <f>'I) Dépenses thématiques'!O254</f>
        <v>-313027.7247287822</v>
      </c>
      <c r="I255" s="246">
        <f>'K) Plafonnement aide'!J254</f>
        <v>0</v>
      </c>
      <c r="J255" s="246">
        <f>'J) Plafonnement effort'!I254</f>
        <v>0</v>
      </c>
      <c r="K255" s="246">
        <f>'L) Plafonnement taux'!Q255</f>
        <v>0</v>
      </c>
      <c r="L255" s="332">
        <f t="shared" si="8"/>
        <v>103120.13884749846</v>
      </c>
      <c r="M255" s="332">
        <f>'M) Police'!O255</f>
        <v>176914.38206170089</v>
      </c>
      <c r="N255" s="332">
        <f t="shared" si="7"/>
        <v>280034.52090919937</v>
      </c>
      <c r="P255" s="445"/>
    </row>
    <row r="256" spans="1:16" s="237" customFormat="1" x14ac:dyDescent="0.25">
      <c r="A256" s="234">
        <f>'B) D RI'!A257</f>
        <v>5817</v>
      </c>
      <c r="B256" s="235" t="str">
        <f>'B) D RI'!B257</f>
        <v>Grandcour</v>
      </c>
      <c r="C256" s="402">
        <f>'B) D RI'!S257</f>
        <v>79.5</v>
      </c>
      <c r="D256" s="236">
        <f>'B) D RI'!AR257</f>
        <v>885</v>
      </c>
      <c r="E256" s="243">
        <f>'D) Ecrêtage'!M255</f>
        <v>20990.550314465407</v>
      </c>
      <c r="F256" s="246">
        <f>'E) Fact soc'!G261</f>
        <v>346073.16142765695</v>
      </c>
      <c r="G256" s="246">
        <f>'H) Péréquation directe'!I266</f>
        <v>-153198.85636544245</v>
      </c>
      <c r="H256" s="246">
        <f>'I) Dépenses thématiques'!O255</f>
        <v>-101482.87896999408</v>
      </c>
      <c r="I256" s="246">
        <f>'K) Plafonnement aide'!J255</f>
        <v>0</v>
      </c>
      <c r="J256" s="246">
        <f>'J) Plafonnement effort'!I255</f>
        <v>0</v>
      </c>
      <c r="K256" s="246">
        <f>'L) Plafonnement taux'!Q256</f>
        <v>0</v>
      </c>
      <c r="L256" s="332">
        <f t="shared" si="8"/>
        <v>91391.426092220412</v>
      </c>
      <c r="M256" s="332">
        <f>'M) Police'!O256</f>
        <v>66056.921446611945</v>
      </c>
      <c r="N256" s="332">
        <f t="shared" si="7"/>
        <v>157448.34753883234</v>
      </c>
      <c r="P256" s="445"/>
    </row>
    <row r="257" spans="1:16" s="237" customFormat="1" x14ac:dyDescent="0.25">
      <c r="A257" s="234">
        <f>'B) D RI'!A258</f>
        <v>5819</v>
      </c>
      <c r="B257" s="235" t="str">
        <f>'B) D RI'!B258</f>
        <v>Henniez</v>
      </c>
      <c r="C257" s="402">
        <f>'B) D RI'!S258</f>
        <v>67</v>
      </c>
      <c r="D257" s="236">
        <f>'B) D RI'!AR258</f>
        <v>338</v>
      </c>
      <c r="E257" s="243">
        <f>'D) Ecrêtage'!M256</f>
        <v>14949.743880597016</v>
      </c>
      <c r="F257" s="246">
        <f>'E) Fact soc'!G262</f>
        <v>243203.72497099286</v>
      </c>
      <c r="G257" s="246">
        <f>'H) Péréquation directe'!I267</f>
        <v>244131.74364578957</v>
      </c>
      <c r="H257" s="246">
        <f>'I) Dépenses thématiques'!O256</f>
        <v>-29560.297600688376</v>
      </c>
      <c r="I257" s="246">
        <f>'K) Plafonnement aide'!J256</f>
        <v>0</v>
      </c>
      <c r="J257" s="246">
        <f>'J) Plafonnement effort'!I256</f>
        <v>0</v>
      </c>
      <c r="K257" s="246">
        <f>'L) Plafonnement taux'!Q257</f>
        <v>0</v>
      </c>
      <c r="L257" s="332">
        <f t="shared" si="8"/>
        <v>457775.1710160941</v>
      </c>
      <c r="M257" s="332">
        <f>'M) Police'!O257</f>
        <v>46791.02763009246</v>
      </c>
      <c r="N257" s="332">
        <f t="shared" si="7"/>
        <v>504566.19864618656</v>
      </c>
      <c r="P257" s="445"/>
    </row>
    <row r="258" spans="1:16" s="237" customFormat="1" x14ac:dyDescent="0.25">
      <c r="A258" s="234">
        <f>'B) D RI'!A259</f>
        <v>5821</v>
      </c>
      <c r="B258" s="235" t="str">
        <f>'B) D RI'!B259</f>
        <v>Missy</v>
      </c>
      <c r="C258" s="402">
        <f>'B) D RI'!S259</f>
        <v>72</v>
      </c>
      <c r="D258" s="236">
        <f>'B) D RI'!AR259</f>
        <v>361</v>
      </c>
      <c r="E258" s="243">
        <f>'D) Ecrêtage'!M257</f>
        <v>7776.2584722222218</v>
      </c>
      <c r="F258" s="246">
        <f>'E) Fact soc'!G263</f>
        <v>133332.50384932387</v>
      </c>
      <c r="G258" s="246">
        <f>'H) Péréquation directe'!I268</f>
        <v>-59958.324686766078</v>
      </c>
      <c r="H258" s="246">
        <f>'I) Dépenses thématiques'!O257</f>
        <v>-53484.824440936965</v>
      </c>
      <c r="I258" s="246">
        <f>'K) Plafonnement aide'!J257</f>
        <v>0</v>
      </c>
      <c r="J258" s="246">
        <f>'J) Plafonnement effort'!I257</f>
        <v>0</v>
      </c>
      <c r="K258" s="246">
        <f>'L) Plafonnement taux'!Q258</f>
        <v>0</v>
      </c>
      <c r="L258" s="332">
        <f t="shared" si="8"/>
        <v>19889.354721620824</v>
      </c>
      <c r="M258" s="332">
        <f>'M) Police'!O258</f>
        <v>24206.671434386648</v>
      </c>
      <c r="N258" s="332">
        <f t="shared" si="7"/>
        <v>44096.026156007472</v>
      </c>
      <c r="P258" s="445"/>
    </row>
    <row r="259" spans="1:16" s="237" customFormat="1" x14ac:dyDescent="0.25">
      <c r="A259" s="234">
        <f>'B) D RI'!A260</f>
        <v>5822</v>
      </c>
      <c r="B259" s="235" t="str">
        <f>'B) D RI'!B260</f>
        <v>Payerne</v>
      </c>
      <c r="C259" s="402">
        <f>'B) D RI'!S260</f>
        <v>75</v>
      </c>
      <c r="D259" s="236">
        <f>'B) D RI'!AR260</f>
        <v>9301</v>
      </c>
      <c r="E259" s="243">
        <f>'D) Ecrêtage'!M258</f>
        <v>231493.6713333333</v>
      </c>
      <c r="F259" s="246">
        <f>'E) Fact soc'!G264</f>
        <v>4640327.1754773557</v>
      </c>
      <c r="G259" s="246">
        <f>'H) Péréquation directe'!I269</f>
        <v>-4112557.7516730996</v>
      </c>
      <c r="H259" s="246">
        <f>'I) Dépenses thématiques'!O258</f>
        <v>-1255359.9482863024</v>
      </c>
      <c r="I259" s="246">
        <f>'K) Plafonnement aide'!J258</f>
        <v>0</v>
      </c>
      <c r="J259" s="246">
        <f>'J) Plafonnement effort'!I258</f>
        <v>0</v>
      </c>
      <c r="K259" s="246">
        <f>'L) Plafonnement taux'!Q259</f>
        <v>0</v>
      </c>
      <c r="L259" s="332">
        <f t="shared" si="8"/>
        <v>-727590.52448204625</v>
      </c>
      <c r="M259" s="332">
        <f>'M) Police'!O259</f>
        <v>722740.95312196575</v>
      </c>
      <c r="N259" s="332">
        <f t="shared" si="7"/>
        <v>-4849.5713600805029</v>
      </c>
      <c r="P259" s="445"/>
    </row>
    <row r="260" spans="1:16" s="237" customFormat="1" x14ac:dyDescent="0.25">
      <c r="A260" s="234">
        <f>'B) D RI'!A261</f>
        <v>5827</v>
      </c>
      <c r="B260" s="235" t="str">
        <f>'B) D RI'!B261</f>
        <v>Trey</v>
      </c>
      <c r="C260" s="402">
        <f>'B) D RI'!S261</f>
        <v>80</v>
      </c>
      <c r="D260" s="236">
        <f>'B) D RI'!AR261</f>
        <v>260</v>
      </c>
      <c r="E260" s="243">
        <f>'D) Ecrêtage'!M259</f>
        <v>6204.9173749999991</v>
      </c>
      <c r="F260" s="246">
        <f>'E) Fact soc'!G265</f>
        <v>127599.04604318553</v>
      </c>
      <c r="G260" s="246">
        <f>'H) Péréquation directe'!I270</f>
        <v>-45010.049657241572</v>
      </c>
      <c r="H260" s="246">
        <f>'I) Dépenses thématiques'!O259</f>
        <v>-46921.095528876976</v>
      </c>
      <c r="I260" s="246">
        <f>'K) Plafonnement aide'!J259</f>
        <v>0</v>
      </c>
      <c r="J260" s="246">
        <f>'J) Plafonnement effort'!I259</f>
        <v>0</v>
      </c>
      <c r="K260" s="246">
        <f>'L) Plafonnement taux'!Q260</f>
        <v>0</v>
      </c>
      <c r="L260" s="332">
        <f t="shared" si="8"/>
        <v>35667.900857066983</v>
      </c>
      <c r="M260" s="332">
        <f>'M) Police'!O260</f>
        <v>19472.39110227488</v>
      </c>
      <c r="N260" s="332">
        <f t="shared" si="7"/>
        <v>55140.291959341863</v>
      </c>
      <c r="P260" s="445"/>
    </row>
    <row r="261" spans="1:16" s="237" customFormat="1" x14ac:dyDescent="0.25">
      <c r="A261" s="234">
        <f>'B) D RI'!A262</f>
        <v>5828</v>
      </c>
      <c r="B261" s="235" t="str">
        <f>'B) D RI'!B262</f>
        <v>Treytorrens (Payerne)</v>
      </c>
      <c r="C261" s="402">
        <f>'B) D RI'!S262</f>
        <v>84</v>
      </c>
      <c r="D261" s="236">
        <f>'B) D RI'!AR262</f>
        <v>131</v>
      </c>
      <c r="E261" s="243">
        <f>'D) Ecrêtage'!M260</f>
        <v>2352.5354761904764</v>
      </c>
      <c r="F261" s="246">
        <f>'E) Fact soc'!G266</f>
        <v>39648.408700679742</v>
      </c>
      <c r="G261" s="246">
        <f>'H) Péréquation directe'!I271</f>
        <v>-65807.559460235541</v>
      </c>
      <c r="H261" s="246">
        <f>'I) Dépenses thématiques'!O260</f>
        <v>-45103.06398279703</v>
      </c>
      <c r="I261" s="246">
        <f>'K) Plafonnement aide'!J260</f>
        <v>13220.205640508175</v>
      </c>
      <c r="J261" s="246">
        <f>'J) Plafonnement effort'!I260</f>
        <v>0</v>
      </c>
      <c r="K261" s="246">
        <f>'L) Plafonnement taux'!Q261</f>
        <v>0</v>
      </c>
      <c r="L261" s="332">
        <f t="shared" si="8"/>
        <v>-58042.009101844662</v>
      </c>
      <c r="M261" s="332">
        <f>'M) Police'!O261</f>
        <v>7392.2124988534542</v>
      </c>
      <c r="N261" s="332">
        <f t="shared" si="7"/>
        <v>-50649.796602991206</v>
      </c>
      <c r="P261" s="445"/>
    </row>
    <row r="262" spans="1:16" s="237" customFormat="1" x14ac:dyDescent="0.25">
      <c r="A262" s="234">
        <f>'B) D RI'!A263</f>
        <v>5830</v>
      </c>
      <c r="B262" s="235" t="str">
        <f>'B) D RI'!B263</f>
        <v>Villarzel</v>
      </c>
      <c r="C262" s="402">
        <f>'B) D RI'!S263</f>
        <v>79</v>
      </c>
      <c r="D262" s="236">
        <f>'B) D RI'!AR263</f>
        <v>424</v>
      </c>
      <c r="E262" s="243">
        <f>'D) Ecrêtage'!M261</f>
        <v>9737.3892405063307</v>
      </c>
      <c r="F262" s="246">
        <f>'E) Fact soc'!G267</f>
        <v>171400.60779955951</v>
      </c>
      <c r="G262" s="246">
        <f>'H) Péréquation directe'!I272</f>
        <v>-84541.91535529992</v>
      </c>
      <c r="H262" s="246">
        <f>'I) Dépenses thématiques'!O261</f>
        <v>-96967.725298887919</v>
      </c>
      <c r="I262" s="246">
        <f>'K) Plafonnement aide'!J261</f>
        <v>0</v>
      </c>
      <c r="J262" s="246">
        <f>'J) Plafonnement effort'!I261</f>
        <v>0</v>
      </c>
      <c r="K262" s="246">
        <f>'L) Plafonnement taux'!Q262</f>
        <v>0</v>
      </c>
      <c r="L262" s="332">
        <f t="shared" si="8"/>
        <v>-10109.032854628327</v>
      </c>
      <c r="M262" s="332">
        <f>'M) Police'!O262</f>
        <v>30491.169604548821</v>
      </c>
      <c r="N262" s="332">
        <f t="shared" si="7"/>
        <v>20382.136749920493</v>
      </c>
      <c r="P262" s="445"/>
    </row>
    <row r="263" spans="1:16" s="237" customFormat="1" x14ac:dyDescent="0.25">
      <c r="A263" s="234">
        <f>'B) D RI'!A264</f>
        <v>5831</v>
      </c>
      <c r="B263" s="235" t="str">
        <f>'B) D RI'!B264</f>
        <v>Valbroye</v>
      </c>
      <c r="C263" s="402">
        <f>'B) D RI'!S264</f>
        <v>73</v>
      </c>
      <c r="D263" s="236">
        <f>'B) D RI'!AR264</f>
        <v>2974</v>
      </c>
      <c r="E263" s="243">
        <f>'D) Ecrêtage'!M262</f>
        <v>75142.69210045661</v>
      </c>
      <c r="F263" s="246">
        <f>'E) Fact soc'!G268</f>
        <v>1272341.2727270615</v>
      </c>
      <c r="G263" s="246">
        <f>'H) Péréquation directe'!I273</f>
        <v>-577752.0547870046</v>
      </c>
      <c r="H263" s="246">
        <f>'I) Dépenses thématiques'!O262</f>
        <v>-755413.98252494982</v>
      </c>
      <c r="I263" s="246">
        <f>'K) Plafonnement aide'!J262</f>
        <v>0</v>
      </c>
      <c r="J263" s="246">
        <f>'J) Plafonnement effort'!I262</f>
        <v>0</v>
      </c>
      <c r="K263" s="246">
        <f>'L) Plafonnement taux'!Q263</f>
        <v>0</v>
      </c>
      <c r="L263" s="332">
        <f>F263+G263+H263+I263+J263+K263</f>
        <v>-60824.764584892895</v>
      </c>
      <c r="M263" s="332">
        <f>'M) Police'!O263</f>
        <v>235461.70743312879</v>
      </c>
      <c r="N263" s="332">
        <f t="shared" ref="N263:N323" si="9">L263+M263</f>
        <v>174636.94284823589</v>
      </c>
      <c r="P263" s="445"/>
    </row>
    <row r="264" spans="1:16" s="237" customFormat="1" x14ac:dyDescent="0.25">
      <c r="A264" s="234">
        <f>'B) D RI'!A265</f>
        <v>5841</v>
      </c>
      <c r="B264" s="235" t="str">
        <f>'B) D RI'!B265</f>
        <v>Château-d'Oex</v>
      </c>
      <c r="C264" s="402">
        <f>'B) D RI'!S265</f>
        <v>83</v>
      </c>
      <c r="D264" s="236">
        <f>'B) D RI'!AR265</f>
        <v>3477</v>
      </c>
      <c r="E264" s="243">
        <f>'D) Ecrêtage'!M263</f>
        <v>106457.35927710844</v>
      </c>
      <c r="F264" s="246">
        <f>'E) Fact soc'!G269</f>
        <v>2145043.9073032695</v>
      </c>
      <c r="G264" s="246">
        <f>'H) Péréquation directe'!I274</f>
        <v>-338299.67516874429</v>
      </c>
      <c r="H264" s="246">
        <f>'I) Dépenses thématiques'!O263</f>
        <v>-1876194.531537025</v>
      </c>
      <c r="I264" s="246">
        <f>'K) Plafonnement aide'!J263</f>
        <v>0</v>
      </c>
      <c r="J264" s="246">
        <f>'J) Plafonnement effort'!I263</f>
        <v>0</v>
      </c>
      <c r="K264" s="246">
        <f>'L) Plafonnement taux'!Q264</f>
        <v>0</v>
      </c>
      <c r="L264" s="332">
        <f t="shared" si="8"/>
        <v>-69450.299402499804</v>
      </c>
      <c r="M264" s="332">
        <f>'M) Police'!O264</f>
        <v>327034.21610318485</v>
      </c>
      <c r="N264" s="332">
        <f t="shared" si="9"/>
        <v>257583.91670068505</v>
      </c>
      <c r="P264" s="445"/>
    </row>
    <row r="265" spans="1:16" s="237" customFormat="1" x14ac:dyDescent="0.25">
      <c r="A265" s="234">
        <f>'B) D RI'!A266</f>
        <v>5842</v>
      </c>
      <c r="B265" s="235" t="str">
        <f>'B) D RI'!B266</f>
        <v>Rossinière</v>
      </c>
      <c r="C265" s="402">
        <f>'B) D RI'!S266</f>
        <v>81</v>
      </c>
      <c r="D265" s="236">
        <f>'B) D RI'!AR266</f>
        <v>546</v>
      </c>
      <c r="E265" s="243">
        <f>'D) Ecrêtage'!M264</f>
        <v>13519.399629629628</v>
      </c>
      <c r="F265" s="246">
        <f>'E) Fact soc'!G270</f>
        <v>304679.76155911869</v>
      </c>
      <c r="G265" s="246">
        <f>'H) Péréquation directe'!I275</f>
        <v>-79727.335878808663</v>
      </c>
      <c r="H265" s="246">
        <f>'I) Dépenses thématiques'!O264</f>
        <v>-194661.53385193623</v>
      </c>
      <c r="I265" s="246">
        <f>'K) Plafonnement aide'!J264</f>
        <v>0</v>
      </c>
      <c r="J265" s="246">
        <f>'J) Plafonnement effort'!I264</f>
        <v>0</v>
      </c>
      <c r="K265" s="246">
        <f>'L) Plafonnement taux'!Q265</f>
        <v>0</v>
      </c>
      <c r="L265" s="332">
        <f t="shared" si="8"/>
        <v>30290.891828373802</v>
      </c>
      <c r="M265" s="332">
        <f>'M) Police'!O265</f>
        <v>42262.451432670125</v>
      </c>
      <c r="N265" s="332">
        <f t="shared" si="9"/>
        <v>72553.343261043919</v>
      </c>
      <c r="P265" s="445"/>
    </row>
    <row r="266" spans="1:16" s="237" customFormat="1" x14ac:dyDescent="0.25">
      <c r="A266" s="234">
        <f>'B) D RI'!A267</f>
        <v>5843</v>
      </c>
      <c r="B266" s="235" t="str">
        <f>'B) D RI'!B267</f>
        <v>Rougemont</v>
      </c>
      <c r="C266" s="402">
        <f>'B) D RI'!S267</f>
        <v>69</v>
      </c>
      <c r="D266" s="236">
        <f>'B) D RI'!AR267</f>
        <v>892</v>
      </c>
      <c r="E266" s="243">
        <f>'D) Ecrêtage'!M265</f>
        <v>71417.395342027579</v>
      </c>
      <c r="F266" s="246">
        <f>'E) Fact soc'!G271</f>
        <v>3046569.5171754109</v>
      </c>
      <c r="G266" s="246">
        <f>'H) Péréquation directe'!I276</f>
        <v>1237507.9757696087</v>
      </c>
      <c r="H266" s="246">
        <f>'I) Dépenses thématiques'!O265</f>
        <v>-997191.77692033432</v>
      </c>
      <c r="I266" s="246">
        <f>'K) Plafonnement aide'!J265</f>
        <v>0</v>
      </c>
      <c r="J266" s="246">
        <f>'J) Plafonnement effort'!I265</f>
        <v>0</v>
      </c>
      <c r="K266" s="246">
        <f>'L) Plafonnement taux'!Q266</f>
        <v>0</v>
      </c>
      <c r="L266" s="332">
        <f t="shared" si="8"/>
        <v>3286885.7160246847</v>
      </c>
      <c r="M266" s="332">
        <f>'M) Police'!O266</f>
        <v>169059.89455112355</v>
      </c>
      <c r="N266" s="332">
        <f t="shared" si="9"/>
        <v>3455945.6105758082</v>
      </c>
      <c r="P266" s="445"/>
    </row>
    <row r="267" spans="1:16" s="237" customFormat="1" x14ac:dyDescent="0.25">
      <c r="A267" s="234">
        <f>'B) D RI'!A268</f>
        <v>5851</v>
      </c>
      <c r="B267" s="235" t="str">
        <f>'B) D RI'!B268</f>
        <v>Allaman</v>
      </c>
      <c r="C267" s="402">
        <f>'B) D RI'!S268</f>
        <v>62</v>
      </c>
      <c r="D267" s="236">
        <f>'B) D RI'!AR268</f>
        <v>432</v>
      </c>
      <c r="E267" s="243">
        <f>'D) Ecrêtage'!M266</f>
        <v>25939.28319870276</v>
      </c>
      <c r="F267" s="246">
        <f>'E) Fact soc'!G272</f>
        <v>888560.59832920705</v>
      </c>
      <c r="G267" s="246">
        <f>'H) Péréquation directe'!I277</f>
        <v>438821.49066323036</v>
      </c>
      <c r="H267" s="246">
        <f>'I) Dépenses thématiques'!O266</f>
        <v>0</v>
      </c>
      <c r="I267" s="246">
        <f>'K) Plafonnement aide'!J266</f>
        <v>0</v>
      </c>
      <c r="J267" s="246">
        <f>'J) Plafonnement effort'!I266</f>
        <v>0</v>
      </c>
      <c r="K267" s="246">
        <f>'L) Plafonnement taux'!Q267</f>
        <v>0</v>
      </c>
      <c r="L267" s="332">
        <f t="shared" si="8"/>
        <v>1327382.0889924373</v>
      </c>
      <c r="M267" s="332">
        <f>'M) Police'!O267</f>
        <v>70803.21898713577</v>
      </c>
      <c r="N267" s="332">
        <f t="shared" si="9"/>
        <v>1398185.307979573</v>
      </c>
      <c r="P267" s="445"/>
    </row>
    <row r="268" spans="1:16" s="237" customFormat="1" x14ac:dyDescent="0.25">
      <c r="A268" s="234">
        <f>'B) D RI'!A269</f>
        <v>5852</v>
      </c>
      <c r="B268" s="235" t="str">
        <f>'B) D RI'!B269</f>
        <v>Bursinel</v>
      </c>
      <c r="C268" s="402">
        <f>'B) D RI'!S269</f>
        <v>65.5</v>
      </c>
      <c r="D268" s="236">
        <f>'B) D RI'!AR269</f>
        <v>485</v>
      </c>
      <c r="E268" s="243">
        <f>'D) Ecrêtage'!M267</f>
        <v>28943.315125070134</v>
      </c>
      <c r="F268" s="246">
        <f>'E) Fact soc'!G273</f>
        <v>504660.37569569593</v>
      </c>
      <c r="G268" s="246">
        <f>'H) Péréquation directe'!I278</f>
        <v>489348.64839164156</v>
      </c>
      <c r="H268" s="246">
        <f>'I) Dépenses thématiques'!O267</f>
        <v>-35947.109388926954</v>
      </c>
      <c r="I268" s="246">
        <f>'K) Plafonnement aide'!J267</f>
        <v>0</v>
      </c>
      <c r="J268" s="246">
        <f>'J) Plafonnement effort'!I267</f>
        <v>0</v>
      </c>
      <c r="K268" s="246">
        <f>'L) Plafonnement taux'!Q268</f>
        <v>0</v>
      </c>
      <c r="L268" s="332">
        <f t="shared" si="8"/>
        <v>958061.91469841055</v>
      </c>
      <c r="M268" s="332">
        <f>'M) Police'!O268</f>
        <v>79261.391221927464</v>
      </c>
      <c r="N268" s="332">
        <f t="shared" si="9"/>
        <v>1037323.305920338</v>
      </c>
      <c r="P268" s="445"/>
    </row>
    <row r="269" spans="1:16" s="237" customFormat="1" x14ac:dyDescent="0.25">
      <c r="A269" s="234">
        <f>'B) D RI'!A270</f>
        <v>5853</v>
      </c>
      <c r="B269" s="235" t="str">
        <f>'B) D RI'!B270</f>
        <v>Bursins</v>
      </c>
      <c r="C269" s="402">
        <f>'B) D RI'!S270</f>
        <v>71</v>
      </c>
      <c r="D269" s="236">
        <f>'B) D RI'!AR270</f>
        <v>766</v>
      </c>
      <c r="E269" s="243">
        <f>'D) Ecrêtage'!M268</f>
        <v>40543.223380281692</v>
      </c>
      <c r="F269" s="246">
        <f>'E) Fact soc'!G274</f>
        <v>785014.50727217051</v>
      </c>
      <c r="G269" s="246">
        <f>'H) Péréquation directe'!I279</f>
        <v>676929.75122724962</v>
      </c>
      <c r="H269" s="246">
        <f>'I) Dépenses thématiques'!O268</f>
        <v>-32275.928612121686</v>
      </c>
      <c r="I269" s="246">
        <f>'K) Plafonnement aide'!J268</f>
        <v>0</v>
      </c>
      <c r="J269" s="246">
        <f>'J) Plafonnement effort'!I268</f>
        <v>0</v>
      </c>
      <c r="K269" s="246">
        <f>'L) Plafonnement taux'!Q269</f>
        <v>0</v>
      </c>
      <c r="L269" s="332">
        <f t="shared" si="8"/>
        <v>1429668.3298872986</v>
      </c>
      <c r="M269" s="332">
        <f>'M) Police'!O269</f>
        <v>118565.32456797562</v>
      </c>
      <c r="N269" s="332">
        <f t="shared" si="9"/>
        <v>1548233.6544552743</v>
      </c>
      <c r="P269" s="445"/>
    </row>
    <row r="270" spans="1:16" s="237" customFormat="1" x14ac:dyDescent="0.25">
      <c r="A270" s="234">
        <f>'B) D RI'!A271</f>
        <v>5854</v>
      </c>
      <c r="B270" s="235" t="str">
        <f>'B) D RI'!B271</f>
        <v>Burtigny</v>
      </c>
      <c r="C270" s="402">
        <f>'B) D RI'!S271</f>
        <v>80</v>
      </c>
      <c r="D270" s="236">
        <f>'B) D RI'!AR271</f>
        <v>359</v>
      </c>
      <c r="E270" s="243">
        <f>'D) Ecrêtage'!M269</f>
        <v>10577.787833333332</v>
      </c>
      <c r="F270" s="246">
        <f>'E) Fact soc'!G275</f>
        <v>182244.37516893228</v>
      </c>
      <c r="G270" s="246">
        <f>'H) Péréquation directe'!I280</f>
        <v>26577.276528543938</v>
      </c>
      <c r="H270" s="246">
        <f>'I) Dépenses thématiques'!O269</f>
        <v>-27970.655552029551</v>
      </c>
      <c r="I270" s="246">
        <f>'K) Plafonnement aide'!J269</f>
        <v>0</v>
      </c>
      <c r="J270" s="246">
        <f>'J) Plafonnement effort'!I269</f>
        <v>0</v>
      </c>
      <c r="K270" s="246">
        <f>'L) Plafonnement taux'!Q270</f>
        <v>0</v>
      </c>
      <c r="L270" s="332">
        <f t="shared" si="8"/>
        <v>180850.99614544667</v>
      </c>
      <c r="M270" s="332">
        <f>'M) Police'!O270</f>
        <v>33128.098614204537</v>
      </c>
      <c r="N270" s="332">
        <f t="shared" si="9"/>
        <v>213979.0947596512</v>
      </c>
      <c r="P270" s="445"/>
    </row>
    <row r="271" spans="1:16" s="237" customFormat="1" x14ac:dyDescent="0.25">
      <c r="A271" s="234">
        <f>'B) D RI'!A272</f>
        <v>5855</v>
      </c>
      <c r="B271" s="235" t="str">
        <f>'B) D RI'!B272</f>
        <v>Dully</v>
      </c>
      <c r="C271" s="402">
        <f>'B) D RI'!S272</f>
        <v>49</v>
      </c>
      <c r="D271" s="236">
        <f>'B) D RI'!AR272</f>
        <v>633</v>
      </c>
      <c r="E271" s="243">
        <f>'D) Ecrêtage'!M270</f>
        <v>58067.398614193939</v>
      </c>
      <c r="F271" s="246">
        <f>'E) Fact soc'!G276</f>
        <v>2356696.3869985947</v>
      </c>
      <c r="G271" s="246">
        <f>'H) Péréquation directe'!I281</f>
        <v>1015277.5699630089</v>
      </c>
      <c r="H271" s="246">
        <f>'I) Dépenses thématiques'!O270</f>
        <v>0</v>
      </c>
      <c r="I271" s="246">
        <f>'K) Plafonnement aide'!J270</f>
        <v>0</v>
      </c>
      <c r="J271" s="246">
        <f>'J) Plafonnement effort'!I270</f>
        <v>0</v>
      </c>
      <c r="K271" s="246">
        <f>'L) Plafonnement taux'!Q271</f>
        <v>0</v>
      </c>
      <c r="L271" s="332">
        <f t="shared" si="8"/>
        <v>3371973.9569616038</v>
      </c>
      <c r="M271" s="332">
        <f>'M) Police'!O271</f>
        <v>129429.56548793559</v>
      </c>
      <c r="N271" s="332">
        <f t="shared" si="9"/>
        <v>3501403.5224495395</v>
      </c>
      <c r="P271" s="445"/>
    </row>
    <row r="272" spans="1:16" s="237" customFormat="1" x14ac:dyDescent="0.25">
      <c r="A272" s="234">
        <f>'B) D RI'!A273</f>
        <v>5856</v>
      </c>
      <c r="B272" s="235" t="str">
        <f>'B) D RI'!B273</f>
        <v>Essertines-sur-Rolle</v>
      </c>
      <c r="C272" s="402">
        <f>'B) D RI'!S273</f>
        <v>68</v>
      </c>
      <c r="D272" s="236">
        <f>'B) D RI'!AR273</f>
        <v>695</v>
      </c>
      <c r="E272" s="243">
        <f>'D) Ecrêtage'!M271</f>
        <v>31862.802285067875</v>
      </c>
      <c r="F272" s="246">
        <f>'E) Fact soc'!G277</f>
        <v>524667.59243888012</v>
      </c>
      <c r="G272" s="246">
        <f>'H) Péréquation directe'!I282</f>
        <v>522827.84738666285</v>
      </c>
      <c r="H272" s="246">
        <f>'I) Dépenses thématiques'!O271</f>
        <v>0</v>
      </c>
      <c r="I272" s="246">
        <f>'K) Plafonnement aide'!J271</f>
        <v>0</v>
      </c>
      <c r="J272" s="246">
        <f>'J) Plafonnement effort'!I271</f>
        <v>0</v>
      </c>
      <c r="K272" s="246">
        <f>'L) Plafonnement taux'!Q272</f>
        <v>0</v>
      </c>
      <c r="L272" s="332">
        <f t="shared" si="8"/>
        <v>1047495.439825543</v>
      </c>
      <c r="M272" s="332">
        <f>'M) Police'!O272</f>
        <v>99480.293892865462</v>
      </c>
      <c r="N272" s="332">
        <f t="shared" si="9"/>
        <v>1146975.7337184085</v>
      </c>
      <c r="P272" s="445"/>
    </row>
    <row r="273" spans="1:16" s="237" customFormat="1" x14ac:dyDescent="0.25">
      <c r="A273" s="234">
        <f>'B) D RI'!A274</f>
        <v>5857</v>
      </c>
      <c r="B273" s="235" t="str">
        <f>'B) D RI'!B274</f>
        <v>Gilly</v>
      </c>
      <c r="C273" s="402">
        <f>'B) D RI'!S274</f>
        <v>66</v>
      </c>
      <c r="D273" s="236">
        <f>'B) D RI'!AR274</f>
        <v>1230</v>
      </c>
      <c r="E273" s="243">
        <f>'D) Ecrêtage'!M272</f>
        <v>62540.44560606061</v>
      </c>
      <c r="F273" s="246">
        <f>'E) Fact soc'!G278</f>
        <v>1431780.4907025988</v>
      </c>
      <c r="G273" s="246">
        <f>'H) Péréquation directe'!I283</f>
        <v>982744.5678052064</v>
      </c>
      <c r="H273" s="246">
        <f>'I) Dépenses thématiques'!O272</f>
        <v>0</v>
      </c>
      <c r="I273" s="246">
        <f>'K) Plafonnement aide'!J272</f>
        <v>0</v>
      </c>
      <c r="J273" s="246">
        <f>'J) Plafonnement effort'!I272</f>
        <v>0</v>
      </c>
      <c r="K273" s="246">
        <f>'L) Plafonnement taux'!Q273</f>
        <v>0</v>
      </c>
      <c r="L273" s="332">
        <f t="shared" si="8"/>
        <v>2414525.0585078052</v>
      </c>
      <c r="M273" s="332">
        <f>'M) Police'!O273</f>
        <v>187105.77399618423</v>
      </c>
      <c r="N273" s="332">
        <f t="shared" si="9"/>
        <v>2601630.8325039893</v>
      </c>
      <c r="P273" s="445"/>
    </row>
    <row r="274" spans="1:16" s="237" customFormat="1" x14ac:dyDescent="0.25">
      <c r="A274" s="234">
        <f>'B) D RI'!A275</f>
        <v>5858</v>
      </c>
      <c r="B274" s="235" t="str">
        <f>'B) D RI'!B275</f>
        <v>Luins</v>
      </c>
      <c r="C274" s="402">
        <f>'B) D RI'!S275</f>
        <v>60</v>
      </c>
      <c r="D274" s="236">
        <f>'B) D RI'!AR275</f>
        <v>625</v>
      </c>
      <c r="E274" s="243">
        <f>'D) Ecrêtage'!M273</f>
        <v>35045.301944444444</v>
      </c>
      <c r="F274" s="246">
        <f>'E) Fact soc'!G279</f>
        <v>514807.69876425929</v>
      </c>
      <c r="G274" s="246">
        <f>'H) Péréquation directe'!I284</f>
        <v>588793.98881216231</v>
      </c>
      <c r="H274" s="246">
        <f>'I) Dépenses thématiques'!O273</f>
        <v>0</v>
      </c>
      <c r="I274" s="246">
        <f>'K) Plafonnement aide'!J273</f>
        <v>0</v>
      </c>
      <c r="J274" s="246">
        <f>'J) Plafonnement effort'!I273</f>
        <v>0</v>
      </c>
      <c r="K274" s="246">
        <f>'L) Plafonnement taux'!Q274</f>
        <v>0</v>
      </c>
      <c r="L274" s="332">
        <f t="shared" ref="L274:L324" si="10">F274+G274+H274+I274+J274+K274</f>
        <v>1103601.6875764215</v>
      </c>
      <c r="M274" s="332">
        <f>'M) Police'!O274</f>
        <v>99256.563937149025</v>
      </c>
      <c r="N274" s="332">
        <f t="shared" si="9"/>
        <v>1202858.2515135705</v>
      </c>
      <c r="P274" s="445"/>
    </row>
    <row r="275" spans="1:16" s="237" customFormat="1" x14ac:dyDescent="0.25">
      <c r="A275" s="234">
        <f>'B) D RI'!A276</f>
        <v>5859</v>
      </c>
      <c r="B275" s="235" t="str">
        <f>'B) D RI'!B276</f>
        <v>Mont-sur-Rolle</v>
      </c>
      <c r="C275" s="402">
        <f>'B) D RI'!S276</f>
        <v>64</v>
      </c>
      <c r="D275" s="236">
        <f>'B) D RI'!AR276</f>
        <v>2660</v>
      </c>
      <c r="E275" s="243">
        <f>'D) Ecrêtage'!M274</f>
        <v>130430.38093750003</v>
      </c>
      <c r="F275" s="246">
        <f>'E) Fact soc'!G280</f>
        <v>2263540.5024198005</v>
      </c>
      <c r="G275" s="246">
        <f>'H) Péréquation directe'!I285</f>
        <v>1749278.5709507586</v>
      </c>
      <c r="H275" s="246">
        <f>'I) Dépenses thématiques'!O274</f>
        <v>0</v>
      </c>
      <c r="I275" s="246">
        <f>'K) Plafonnement aide'!J274</f>
        <v>0</v>
      </c>
      <c r="J275" s="246">
        <f>'J) Plafonnement effort'!I274</f>
        <v>0</v>
      </c>
      <c r="K275" s="246">
        <f>'L) Plafonnement taux'!Q275</f>
        <v>0</v>
      </c>
      <c r="L275" s="332">
        <f t="shared" si="10"/>
        <v>4012819.0733705591</v>
      </c>
      <c r="M275" s="332">
        <f>'M) Police'!O275</f>
        <v>398464.25298991014</v>
      </c>
      <c r="N275" s="332">
        <f t="shared" si="9"/>
        <v>4411283.3263604697</v>
      </c>
      <c r="P275" s="445"/>
    </row>
    <row r="276" spans="1:16" s="237" customFormat="1" x14ac:dyDescent="0.25">
      <c r="A276" s="234">
        <f>'B) D RI'!A277</f>
        <v>5860</v>
      </c>
      <c r="B276" s="235" t="str">
        <f>'B) D RI'!B277</f>
        <v>Perroy</v>
      </c>
      <c r="C276" s="402">
        <f>'B) D RI'!S277</f>
        <v>60</v>
      </c>
      <c r="D276" s="236">
        <f>'B) D RI'!AR277</f>
        <v>1453</v>
      </c>
      <c r="E276" s="243">
        <f>'D) Ecrêtage'!M275</f>
        <v>88698.620322265895</v>
      </c>
      <c r="F276" s="246">
        <f>'E) Fact soc'!G281</f>
        <v>1793604.9635031547</v>
      </c>
      <c r="G276" s="246">
        <f>'H) Péréquation directe'!I286</f>
        <v>1391269.3608571633</v>
      </c>
      <c r="H276" s="246">
        <f>'I) Dépenses thématiques'!O275</f>
        <v>0</v>
      </c>
      <c r="I276" s="246">
        <f>'K) Plafonnement aide'!J275</f>
        <v>0</v>
      </c>
      <c r="J276" s="246">
        <f>'J) Plafonnement effort'!I275</f>
        <v>0</v>
      </c>
      <c r="K276" s="246">
        <f>'L) Plafonnement taux'!Q276</f>
        <v>0</v>
      </c>
      <c r="L276" s="332">
        <f t="shared" si="10"/>
        <v>3184874.324360318</v>
      </c>
      <c r="M276" s="332">
        <f>'M) Police'!O276</f>
        <v>240002.74065381789</v>
      </c>
      <c r="N276" s="332">
        <f t="shared" si="9"/>
        <v>3424877.065014136</v>
      </c>
      <c r="P276" s="445"/>
    </row>
    <row r="277" spans="1:16" s="237" customFormat="1" x14ac:dyDescent="0.25">
      <c r="A277" s="234">
        <f>'B) D RI'!A278</f>
        <v>5861</v>
      </c>
      <c r="B277" s="235" t="str">
        <f>'B) D RI'!B278</f>
        <v>Rolle</v>
      </c>
      <c r="C277" s="402">
        <f>'B) D RI'!S278</f>
        <v>59.5</v>
      </c>
      <c r="D277" s="236">
        <f>'B) D RI'!AR278</f>
        <v>6142</v>
      </c>
      <c r="E277" s="243">
        <f>'D) Ecrêtage'!M276</f>
        <v>591803.10012437461</v>
      </c>
      <c r="F277" s="246">
        <f>'E) Fact soc'!G282</f>
        <v>24119805.501387954</v>
      </c>
      <c r="G277" s="246">
        <f>'H) Péréquation directe'!I287</f>
        <v>8533210.7740760595</v>
      </c>
      <c r="H277" s="246">
        <f>'I) Dépenses thématiques'!O276</f>
        <v>0</v>
      </c>
      <c r="I277" s="246">
        <f>'K) Plafonnement aide'!J276</f>
        <v>0</v>
      </c>
      <c r="J277" s="246">
        <f>'J) Plafonnement effort'!I276</f>
        <v>0</v>
      </c>
      <c r="K277" s="246">
        <f>'L) Plafonnement taux'!Q277</f>
        <v>0</v>
      </c>
      <c r="L277" s="332">
        <f t="shared" si="10"/>
        <v>32653016.275464013</v>
      </c>
      <c r="M277" s="332">
        <f>'M) Police'!O277</f>
        <v>1292185.9081231141</v>
      </c>
      <c r="N277" s="332">
        <f t="shared" si="9"/>
        <v>33945202.183587126</v>
      </c>
      <c r="P277" s="445"/>
    </row>
    <row r="278" spans="1:16" s="237" customFormat="1" x14ac:dyDescent="0.25">
      <c r="A278" s="234">
        <f>'B) D RI'!A279</f>
        <v>5862</v>
      </c>
      <c r="B278" s="235" t="str">
        <f>'B) D RI'!B279</f>
        <v>Tartegnin</v>
      </c>
      <c r="C278" s="402">
        <f>'B) D RI'!S279</f>
        <v>84</v>
      </c>
      <c r="D278" s="236">
        <f>'B) D RI'!AR279</f>
        <v>236</v>
      </c>
      <c r="E278" s="243">
        <f>'D) Ecrêtage'!M277</f>
        <v>8301.4215873015874</v>
      </c>
      <c r="F278" s="246">
        <f>'E) Fact soc'!G283</f>
        <v>149220.09535884648</v>
      </c>
      <c r="G278" s="246">
        <f>'H) Péréquation directe'!I288</f>
        <v>71439.714658370794</v>
      </c>
      <c r="H278" s="246">
        <f>'I) Dépenses thématiques'!O277</f>
        <v>0</v>
      </c>
      <c r="I278" s="246">
        <f>'K) Plafonnement aide'!J277</f>
        <v>0</v>
      </c>
      <c r="J278" s="246">
        <f>'J) Plafonnement effort'!I277</f>
        <v>0</v>
      </c>
      <c r="K278" s="246">
        <f>'L) Plafonnement taux'!Q278</f>
        <v>0</v>
      </c>
      <c r="L278" s="332">
        <f t="shared" si="10"/>
        <v>220659.81001721727</v>
      </c>
      <c r="M278" s="332">
        <f>'M) Police'!O278</f>
        <v>26154.357008871175</v>
      </c>
      <c r="N278" s="332">
        <f t="shared" si="9"/>
        <v>246814.16702608846</v>
      </c>
      <c r="P278" s="445"/>
    </row>
    <row r="279" spans="1:16" s="237" customFormat="1" x14ac:dyDescent="0.25">
      <c r="A279" s="234">
        <f>'B) D RI'!A280</f>
        <v>5863</v>
      </c>
      <c r="B279" s="235" t="str">
        <f>'B) D RI'!B280</f>
        <v>Vinzel</v>
      </c>
      <c r="C279" s="402">
        <f>'B) D RI'!S280</f>
        <v>70</v>
      </c>
      <c r="D279" s="236">
        <f>'B) D RI'!AR280</f>
        <v>352</v>
      </c>
      <c r="E279" s="243">
        <f>'D) Ecrêtage'!M278</f>
        <v>22805.689688405353</v>
      </c>
      <c r="F279" s="246">
        <f>'E) Fact soc'!G284</f>
        <v>468554.35555856279</v>
      </c>
      <c r="G279" s="246">
        <f>'H) Péréquation directe'!I289</f>
        <v>388551.74194485642</v>
      </c>
      <c r="H279" s="246">
        <f>'I) Dépenses thématiques'!O278</f>
        <v>0</v>
      </c>
      <c r="I279" s="246">
        <f>'K) Plafonnement aide'!J278</f>
        <v>0</v>
      </c>
      <c r="J279" s="246">
        <f>'J) Plafonnement effort'!I278</f>
        <v>0</v>
      </c>
      <c r="K279" s="246">
        <f>'L) Plafonnement taux'!Q279</f>
        <v>0</v>
      </c>
      <c r="L279" s="332">
        <f t="shared" si="10"/>
        <v>857106.09750341927</v>
      </c>
      <c r="M279" s="332">
        <f>'M) Police'!O279</f>
        <v>59829.705519499621</v>
      </c>
      <c r="N279" s="332">
        <f t="shared" si="9"/>
        <v>916935.80302291887</v>
      </c>
      <c r="P279" s="445"/>
    </row>
    <row r="280" spans="1:16" s="237" customFormat="1" x14ac:dyDescent="0.25">
      <c r="A280" s="234">
        <f>'B) D RI'!A281</f>
        <v>5871</v>
      </c>
      <c r="B280" s="235" t="str">
        <f>'B) D RI'!B281</f>
        <v>L'Abbaye</v>
      </c>
      <c r="C280" s="402">
        <f>'B) D RI'!S281</f>
        <v>77.489999999999995</v>
      </c>
      <c r="D280" s="236">
        <f>'B) D RI'!AR281</f>
        <v>1439</v>
      </c>
      <c r="E280" s="243">
        <f>'D) Ecrêtage'!M279</f>
        <v>41169.431926700228</v>
      </c>
      <c r="F280" s="246">
        <f>'E) Fact soc'!G285</f>
        <v>897198.0231617362</v>
      </c>
      <c r="G280" s="246">
        <f>'H) Péréquation directe'!I290</f>
        <v>-20762.657786686555</v>
      </c>
      <c r="H280" s="246">
        <f>'I) Dépenses thématiques'!O279</f>
        <v>-282490.39380150614</v>
      </c>
      <c r="I280" s="246">
        <f>'K) Plafonnement aide'!J279</f>
        <v>0</v>
      </c>
      <c r="J280" s="246">
        <f>'J) Plafonnement effort'!I279</f>
        <v>0</v>
      </c>
      <c r="K280" s="246">
        <f>'L) Plafonnement taux'!Q280</f>
        <v>0</v>
      </c>
      <c r="L280" s="332">
        <f t="shared" si="10"/>
        <v>593944.9715735435</v>
      </c>
      <c r="M280" s="332">
        <f>'M) Police'!O280</f>
        <v>128828.38352145709</v>
      </c>
      <c r="N280" s="332">
        <f t="shared" si="9"/>
        <v>722773.35509500059</v>
      </c>
      <c r="P280" s="445"/>
    </row>
    <row r="281" spans="1:16" s="237" customFormat="1" x14ac:dyDescent="0.25">
      <c r="A281" s="234">
        <f>'B) D RI'!A282</f>
        <v>5872</v>
      </c>
      <c r="B281" s="235" t="str">
        <f>'B) D RI'!B282</f>
        <v>Le Chenit</v>
      </c>
      <c r="C281" s="402">
        <f>'B) D RI'!S282</f>
        <v>69.7</v>
      </c>
      <c r="D281" s="236">
        <f>'B) D RI'!AR282</f>
        <v>4608</v>
      </c>
      <c r="E281" s="243">
        <f>'D) Ecrêtage'!M280</f>
        <v>294979.41250367323</v>
      </c>
      <c r="F281" s="246">
        <f>'E) Fact soc'!G286</f>
        <v>7492944.3013770869</v>
      </c>
      <c r="G281" s="246">
        <f>'H) Péréquation directe'!I291</f>
        <v>3893181.3677922441</v>
      </c>
      <c r="H281" s="246">
        <f>'I) Dépenses thématiques'!O280</f>
        <v>-1318172.1657933106</v>
      </c>
      <c r="I281" s="246">
        <f>'K) Plafonnement aide'!J280</f>
        <v>0</v>
      </c>
      <c r="J281" s="246">
        <f>'J) Plafonnement effort'!I280</f>
        <v>0</v>
      </c>
      <c r="K281" s="246">
        <f>'L) Plafonnement taux'!Q281</f>
        <v>0</v>
      </c>
      <c r="L281" s="332">
        <f t="shared" si="10"/>
        <v>10067953.50337602</v>
      </c>
      <c r="M281" s="332">
        <f>'M) Police'!O281</f>
        <v>778657.12432704517</v>
      </c>
      <c r="N281" s="332">
        <f t="shared" si="9"/>
        <v>10846610.627703065</v>
      </c>
      <c r="P281" s="445"/>
    </row>
    <row r="282" spans="1:16" s="237" customFormat="1" x14ac:dyDescent="0.25">
      <c r="A282" s="234">
        <f>'B) D RI'!A283</f>
        <v>5873</v>
      </c>
      <c r="B282" s="235" t="str">
        <f>'B) D RI'!B283</f>
        <v>Le Lieu</v>
      </c>
      <c r="C282" s="402">
        <f>'B) D RI'!S283</f>
        <v>65</v>
      </c>
      <c r="D282" s="236">
        <f>'B) D RI'!AR283</f>
        <v>873</v>
      </c>
      <c r="E282" s="243">
        <f>'D) Ecrêtage'!M281</f>
        <v>30587.067025641027</v>
      </c>
      <c r="F282" s="246">
        <f>'E) Fact soc'!G287</f>
        <v>748960.55287067639</v>
      </c>
      <c r="G282" s="246">
        <f>'H) Péréquation directe'!I292</f>
        <v>348073.27516971354</v>
      </c>
      <c r="H282" s="246">
        <f>'I) Dépenses thématiques'!O281</f>
        <v>-908265.58612113982</v>
      </c>
      <c r="I282" s="246">
        <f>'K) Plafonnement aide'!J281</f>
        <v>0</v>
      </c>
      <c r="J282" s="246">
        <f>'J) Plafonnement effort'!I281</f>
        <v>0</v>
      </c>
      <c r="K282" s="246">
        <f>'L) Plafonnement taux'!Q282</f>
        <v>0</v>
      </c>
      <c r="L282" s="332">
        <f t="shared" si="10"/>
        <v>188768.24191924999</v>
      </c>
      <c r="M282" s="332">
        <f>'M) Police'!O282</f>
        <v>96174.778407950042</v>
      </c>
      <c r="N282" s="332">
        <f t="shared" si="9"/>
        <v>284943.02032720007</v>
      </c>
      <c r="P282" s="445"/>
    </row>
    <row r="283" spans="1:16" s="237" customFormat="1" x14ac:dyDescent="0.25">
      <c r="A283" s="234">
        <f>'B) D RI'!A284</f>
        <v>5881</v>
      </c>
      <c r="B283" s="235" t="str">
        <f>'B) D RI'!B284</f>
        <v>Blonay</v>
      </c>
      <c r="C283" s="402">
        <f>'B) D RI'!S284</f>
        <v>70</v>
      </c>
      <c r="D283" s="236">
        <f>'B) D RI'!AR284</f>
        <v>6116</v>
      </c>
      <c r="E283" s="243">
        <f>'D) Ecrêtage'!M282</f>
        <v>332407.86157142854</v>
      </c>
      <c r="F283" s="246">
        <f>'E) Fact soc'!G288</f>
        <v>6299600.5186384656</v>
      </c>
      <c r="G283" s="246">
        <f>'H) Péréquation directe'!I293</f>
        <v>3734415.9921734557</v>
      </c>
      <c r="H283" s="246">
        <f>'I) Dépenses thématiques'!O282</f>
        <v>-875309.37386886938</v>
      </c>
      <c r="I283" s="246">
        <f>'K) Plafonnement aide'!J282</f>
        <v>0</v>
      </c>
      <c r="J283" s="246">
        <f>'J) Plafonnement effort'!I282</f>
        <v>0</v>
      </c>
      <c r="K283" s="246">
        <f>'L) Plafonnement taux'!Q283</f>
        <v>0</v>
      </c>
      <c r="L283" s="332">
        <f t="shared" si="10"/>
        <v>9158707.1369430516</v>
      </c>
      <c r="M283" s="332">
        <f>'M) Police'!O283</f>
        <v>425605.99351998739</v>
      </c>
      <c r="N283" s="332">
        <f t="shared" si="9"/>
        <v>9584313.1304630395</v>
      </c>
      <c r="P283" s="445"/>
    </row>
    <row r="284" spans="1:16" s="237" customFormat="1" x14ac:dyDescent="0.25">
      <c r="A284" s="234">
        <f>'B) D RI'!A285</f>
        <v>5882</v>
      </c>
      <c r="B284" s="235" t="str">
        <f>'B) D RI'!B285</f>
        <v>Chardonne</v>
      </c>
      <c r="C284" s="402">
        <f>'B) D RI'!S285</f>
        <v>68</v>
      </c>
      <c r="D284" s="236">
        <f>'B) D RI'!AR285</f>
        <v>2916</v>
      </c>
      <c r="E284" s="243">
        <f>'D) Ecrêtage'!M283</f>
        <v>151089.46617647054</v>
      </c>
      <c r="F284" s="246">
        <f>'E) Fact soc'!G289</f>
        <v>2818476.5050710109</v>
      </c>
      <c r="G284" s="246">
        <f>'H) Péréquation directe'!I294</f>
        <v>2044357.1912480518</v>
      </c>
      <c r="H284" s="246">
        <f>'I) Dépenses thématiques'!O283</f>
        <v>-317534.12617652869</v>
      </c>
      <c r="I284" s="246">
        <f>'K) Plafonnement aide'!J283</f>
        <v>0</v>
      </c>
      <c r="J284" s="246">
        <f>'J) Plafonnement effort'!I283</f>
        <v>0</v>
      </c>
      <c r="K284" s="246">
        <f>'L) Plafonnement taux'!Q284</f>
        <v>0</v>
      </c>
      <c r="L284" s="332">
        <f t="shared" si="10"/>
        <v>4545299.5701425336</v>
      </c>
      <c r="M284" s="332">
        <f>'M) Police'!O284</f>
        <v>193450.8469759021</v>
      </c>
      <c r="N284" s="332">
        <f t="shared" si="9"/>
        <v>4738750.4171184357</v>
      </c>
      <c r="P284" s="445"/>
    </row>
    <row r="285" spans="1:16" s="237" customFormat="1" x14ac:dyDescent="0.25">
      <c r="A285" s="234">
        <f>'B) D RI'!A286</f>
        <v>5883</v>
      </c>
      <c r="B285" s="235" t="str">
        <f>'B) D RI'!B286</f>
        <v>Corseaux</v>
      </c>
      <c r="C285" s="402">
        <f>'B) D RI'!S286</f>
        <v>64</v>
      </c>
      <c r="D285" s="236">
        <f>'B) D RI'!AR286</f>
        <v>2212</v>
      </c>
      <c r="E285" s="243">
        <f>'D) Ecrêtage'!M284</f>
        <v>141379.66208827455</v>
      </c>
      <c r="F285" s="246">
        <f>'E) Fact soc'!G290</f>
        <v>3170508.1543549933</v>
      </c>
      <c r="G285" s="246">
        <f>'H) Péréquation directe'!I295</f>
        <v>2107080.312439655</v>
      </c>
      <c r="H285" s="246">
        <f>'I) Dépenses thématiques'!O284</f>
        <v>0</v>
      </c>
      <c r="I285" s="246">
        <f>'K) Plafonnement aide'!J284</f>
        <v>0</v>
      </c>
      <c r="J285" s="246">
        <f>'J) Plafonnement effort'!I284</f>
        <v>0</v>
      </c>
      <c r="K285" s="246">
        <f>'L) Plafonnement taux'!Q285</f>
        <v>0</v>
      </c>
      <c r="L285" s="332">
        <f t="shared" si="10"/>
        <v>5277588.4667946482</v>
      </c>
      <c r="M285" s="332">
        <f>'M) Police'!O285</f>
        <v>181018.67766346518</v>
      </c>
      <c r="N285" s="332">
        <f t="shared" si="9"/>
        <v>5458607.1444581132</v>
      </c>
      <c r="P285" s="445"/>
    </row>
    <row r="286" spans="1:16" s="237" customFormat="1" x14ac:dyDescent="0.25">
      <c r="A286" s="234">
        <f>'B) D RI'!A287</f>
        <v>5884</v>
      </c>
      <c r="B286" s="235" t="str">
        <f>'B) D RI'!B287</f>
        <v>Corsier-sur-Vevey</v>
      </c>
      <c r="C286" s="402">
        <f>'B) D RI'!S287</f>
        <v>66</v>
      </c>
      <c r="D286" s="236">
        <f>'B) D RI'!AR287</f>
        <v>3403</v>
      </c>
      <c r="E286" s="243">
        <f>'D) Ecrêtage'!M285</f>
        <v>116440.6211111111</v>
      </c>
      <c r="F286" s="246">
        <f>'E) Fact soc'!G291</f>
        <v>2044738.1583040599</v>
      </c>
      <c r="G286" s="246">
        <f>'H) Péréquation directe'!I296</f>
        <v>588453.11555905873</v>
      </c>
      <c r="H286" s="246">
        <f>'I) Dépenses thématiques'!O285</f>
        <v>-905034.53083508054</v>
      </c>
      <c r="I286" s="246">
        <f>'K) Plafonnement aide'!J285</f>
        <v>0</v>
      </c>
      <c r="J286" s="246">
        <f>'J) Plafonnement effort'!I285</f>
        <v>0</v>
      </c>
      <c r="K286" s="246">
        <f>'L) Plafonnement taux'!Q286</f>
        <v>0</v>
      </c>
      <c r="L286" s="332">
        <f t="shared" si="10"/>
        <v>1728156.7430280382</v>
      </c>
      <c r="M286" s="332">
        <f>'M) Police'!O286</f>
        <v>149087.40725865704</v>
      </c>
      <c r="N286" s="332">
        <f t="shared" si="9"/>
        <v>1877244.1502866952</v>
      </c>
      <c r="P286" s="445"/>
    </row>
    <row r="287" spans="1:16" s="237" customFormat="1" x14ac:dyDescent="0.25">
      <c r="A287" s="234">
        <f>'B) D RI'!A288</f>
        <v>5885</v>
      </c>
      <c r="B287" s="235" t="str">
        <f>'B) D RI'!B288</f>
        <v>Jongny</v>
      </c>
      <c r="C287" s="402">
        <f>'B) D RI'!S288</f>
        <v>71</v>
      </c>
      <c r="D287" s="236">
        <f>'B) D RI'!AR288</f>
        <v>1488</v>
      </c>
      <c r="E287" s="243">
        <f>'D) Ecrêtage'!M286</f>
        <v>81843.123028169022</v>
      </c>
      <c r="F287" s="246">
        <f>'E) Fact soc'!G292</f>
        <v>1416484.286135071</v>
      </c>
      <c r="G287" s="246">
        <f>'H) Péréquation directe'!I297</f>
        <v>1251959.1669486472</v>
      </c>
      <c r="H287" s="246">
        <f>'I) Dépenses thématiques'!O286</f>
        <v>-66688.576345247115</v>
      </c>
      <c r="I287" s="246">
        <f>'K) Plafonnement aide'!J286</f>
        <v>0</v>
      </c>
      <c r="J287" s="246">
        <f>'J) Plafonnement effort'!I286</f>
        <v>0</v>
      </c>
      <c r="K287" s="246">
        <f>'L) Plafonnement taux'!Q287</f>
        <v>0</v>
      </c>
      <c r="L287" s="332">
        <f t="shared" si="10"/>
        <v>2601754.876738471</v>
      </c>
      <c r="M287" s="332">
        <f>'M) Police'!O287</f>
        <v>104789.71082246037</v>
      </c>
      <c r="N287" s="332">
        <f t="shared" si="9"/>
        <v>2706544.5875609312</v>
      </c>
      <c r="P287" s="445"/>
    </row>
    <row r="288" spans="1:16" s="237" customFormat="1" x14ac:dyDescent="0.25">
      <c r="A288" s="234">
        <f>'B) D RI'!A289</f>
        <v>5886</v>
      </c>
      <c r="B288" s="235" t="str">
        <f>'B) D RI'!B289</f>
        <v>Montreux</v>
      </c>
      <c r="C288" s="402">
        <f>'B) D RI'!S289</f>
        <v>65</v>
      </c>
      <c r="D288" s="236">
        <f>'B) D RI'!AR289</f>
        <v>26402</v>
      </c>
      <c r="E288" s="243">
        <f>'D) Ecrêtage'!M287</f>
        <v>1175239.0178974359</v>
      </c>
      <c r="F288" s="246">
        <f>'E) Fact soc'!G293</f>
        <v>24315913.28262499</v>
      </c>
      <c r="G288" s="246">
        <f>'H) Péréquation directe'!I298</f>
        <v>395372.54982239008</v>
      </c>
      <c r="H288" s="246">
        <f>'I) Dépenses thématiques'!O287</f>
        <v>-5084694.492644066</v>
      </c>
      <c r="I288" s="246">
        <f>'K) Plafonnement aide'!J287</f>
        <v>0</v>
      </c>
      <c r="J288" s="246">
        <f>'J) Plafonnement effort'!I287</f>
        <v>0</v>
      </c>
      <c r="K288" s="246">
        <f>'L) Plafonnement taux'!Q288</f>
        <v>0</v>
      </c>
      <c r="L288" s="332">
        <f t="shared" si="10"/>
        <v>19626591.339803316</v>
      </c>
      <c r="M288" s="332">
        <f>'M) Police'!O288</f>
        <v>1504744.1040386187</v>
      </c>
      <c r="N288" s="332">
        <f t="shared" si="9"/>
        <v>21131335.443841934</v>
      </c>
      <c r="P288" s="445"/>
    </row>
    <row r="289" spans="1:16" s="237" customFormat="1" x14ac:dyDescent="0.25">
      <c r="A289" s="234">
        <f>'B) D RI'!A290</f>
        <v>5888</v>
      </c>
      <c r="B289" s="235" t="str">
        <f>'B) D RI'!B290</f>
        <v>Saint-Légier-La Chiésaz</v>
      </c>
      <c r="C289" s="402">
        <f>'B) D RI'!S290</f>
        <v>67</v>
      </c>
      <c r="D289" s="236">
        <f>'B) D RI'!AR290</f>
        <v>5130</v>
      </c>
      <c r="E289" s="243">
        <f>'D) Ecrêtage'!M288</f>
        <v>300151.00262707792</v>
      </c>
      <c r="F289" s="246">
        <f>'E) Fact soc'!G294</f>
        <v>5594477.1710605668</v>
      </c>
      <c r="G289" s="246">
        <f>'H) Péréquation directe'!I299</f>
        <v>3719021.2367476719</v>
      </c>
      <c r="H289" s="246">
        <f>'I) Dépenses thématiques'!O288</f>
        <v>-260860.05672527911</v>
      </c>
      <c r="I289" s="246">
        <f>'K) Plafonnement aide'!J288</f>
        <v>0</v>
      </c>
      <c r="J289" s="246">
        <f>'J) Plafonnement effort'!I288</f>
        <v>0</v>
      </c>
      <c r="K289" s="246">
        <f>'L) Plafonnement taux'!Q289</f>
        <v>0</v>
      </c>
      <c r="L289" s="332">
        <f t="shared" si="10"/>
        <v>9052638.3510829601</v>
      </c>
      <c r="M289" s="332">
        <f>'M) Police'!O289</f>
        <v>384305.18783523858</v>
      </c>
      <c r="N289" s="332">
        <f t="shared" si="9"/>
        <v>9436943.538918199</v>
      </c>
      <c r="P289" s="445"/>
    </row>
    <row r="290" spans="1:16" s="237" customFormat="1" x14ac:dyDescent="0.25">
      <c r="A290" s="234">
        <f>'B) D RI'!A291</f>
        <v>5889</v>
      </c>
      <c r="B290" s="235" t="str">
        <f>'B) D RI'!B291</f>
        <v>La Tour-de-Peilz</v>
      </c>
      <c r="C290" s="402">
        <f>'B) D RI'!S291</f>
        <v>64</v>
      </c>
      <c r="D290" s="236">
        <f>'B) D RI'!AR291</f>
        <v>11637</v>
      </c>
      <c r="E290" s="243">
        <f>'D) Ecrêtage'!M289</f>
        <v>618611.02559895837</v>
      </c>
      <c r="F290" s="246">
        <f>'E) Fact soc'!G295</f>
        <v>11233033.972794957</v>
      </c>
      <c r="G290" s="246">
        <f>'H) Péréquation directe'!I300</f>
        <v>5130216.9740286265</v>
      </c>
      <c r="H290" s="246">
        <f>'I) Dépenses thématiques'!O289</f>
        <v>0</v>
      </c>
      <c r="I290" s="246">
        <f>'K) Plafonnement aide'!J289</f>
        <v>0</v>
      </c>
      <c r="J290" s="246">
        <f>'J) Plafonnement effort'!I289</f>
        <v>0</v>
      </c>
      <c r="K290" s="246">
        <f>'L) Plafonnement taux'!Q290</f>
        <v>0</v>
      </c>
      <c r="L290" s="332">
        <f t="shared" si="10"/>
        <v>16363250.946823584</v>
      </c>
      <c r="M290" s="332">
        <f>'M) Police'!O290</f>
        <v>792052.74781351059</v>
      </c>
      <c r="N290" s="332">
        <f t="shared" si="9"/>
        <v>17155303.694637094</v>
      </c>
      <c r="P290" s="445"/>
    </row>
    <row r="291" spans="1:16" s="237" customFormat="1" x14ac:dyDescent="0.25">
      <c r="A291" s="234">
        <f>'B) D RI'!A292</f>
        <v>5890</v>
      </c>
      <c r="B291" s="235" t="str">
        <f>'B) D RI'!B292</f>
        <v>Vevey</v>
      </c>
      <c r="C291" s="402">
        <f>'B) D RI'!S292</f>
        <v>73</v>
      </c>
      <c r="D291" s="236">
        <f>'B) D RI'!AR292</f>
        <v>19605</v>
      </c>
      <c r="E291" s="243">
        <f>'D) Ecrêtage'!M290</f>
        <v>909212.90865296812</v>
      </c>
      <c r="F291" s="246">
        <f>'E) Fact soc'!G296</f>
        <v>15667163.625780936</v>
      </c>
      <c r="G291" s="246">
        <f>'H) Péréquation directe'!I301</f>
        <v>2494464.6390882488</v>
      </c>
      <c r="H291" s="246">
        <f>'I) Dépenses thématiques'!O290</f>
        <v>-1792000.1684187874</v>
      </c>
      <c r="I291" s="246">
        <f>'K) Plafonnement aide'!J290</f>
        <v>0</v>
      </c>
      <c r="J291" s="246">
        <f>'J) Plafonnement effort'!I290</f>
        <v>0</v>
      </c>
      <c r="K291" s="246">
        <f>'L) Plafonnement taux'!Q291</f>
        <v>0</v>
      </c>
      <c r="L291" s="332">
        <f t="shared" si="10"/>
        <v>16369628.096450396</v>
      </c>
      <c r="M291" s="332">
        <f>'M) Police'!O291</f>
        <v>1164131.5024232415</v>
      </c>
      <c r="N291" s="332">
        <f t="shared" si="9"/>
        <v>17533759.598873638</v>
      </c>
      <c r="P291" s="445"/>
    </row>
    <row r="292" spans="1:16" s="237" customFormat="1" x14ac:dyDescent="0.25">
      <c r="A292" s="234">
        <f>'B) D RI'!A293</f>
        <v>5891</v>
      </c>
      <c r="B292" s="235" t="str">
        <f>'B) D RI'!B293</f>
        <v>Veytaux</v>
      </c>
      <c r="C292" s="402">
        <f>'B) D RI'!S293</f>
        <v>69</v>
      </c>
      <c r="D292" s="236">
        <f>'B) D RI'!AR293</f>
        <v>850</v>
      </c>
      <c r="E292" s="243">
        <f>'D) Ecrêtage'!M291</f>
        <v>39510.481835748789</v>
      </c>
      <c r="F292" s="246">
        <f>'E) Fact soc'!G297</f>
        <v>740379.77877078811</v>
      </c>
      <c r="G292" s="246">
        <f>'H) Péréquation directe'!I302</f>
        <v>649481.17653385038</v>
      </c>
      <c r="H292" s="246">
        <f>'I) Dépenses thématiques'!O291</f>
        <v>-285810.1243231644</v>
      </c>
      <c r="I292" s="246">
        <f>'K) Plafonnement aide'!J291</f>
        <v>0</v>
      </c>
      <c r="J292" s="246">
        <f>'J) Plafonnement effort'!I291</f>
        <v>0</v>
      </c>
      <c r="K292" s="246">
        <f>'L) Plafonnement taux'!Q292</f>
        <v>0</v>
      </c>
      <c r="L292" s="332">
        <f t="shared" si="10"/>
        <v>1104050.8309814741</v>
      </c>
      <c r="M292" s="332">
        <f>'M) Police'!O292</f>
        <v>50588.147334005938</v>
      </c>
      <c r="N292" s="332">
        <f t="shared" si="9"/>
        <v>1154638.9783154801</v>
      </c>
      <c r="P292" s="445"/>
    </row>
    <row r="293" spans="1:16" s="237" customFormat="1" x14ac:dyDescent="0.25">
      <c r="A293" s="234">
        <f>'B) D RI'!A294</f>
        <v>5902</v>
      </c>
      <c r="B293" s="235" t="str">
        <f>'B) D RI'!B294</f>
        <v>Belmont-sur-Yverdon</v>
      </c>
      <c r="C293" s="402">
        <f>'B) D RI'!S294</f>
        <v>76</v>
      </c>
      <c r="D293" s="236">
        <f>'B) D RI'!AR294</f>
        <v>368</v>
      </c>
      <c r="E293" s="243">
        <f>'D) Ecrêtage'!M292</f>
        <v>9227.1448684210518</v>
      </c>
      <c r="F293" s="246">
        <f>'E) Fact soc'!G298</f>
        <v>143538.18625945519</v>
      </c>
      <c r="G293" s="246">
        <f>'H) Péréquation directe'!I303</f>
        <v>-26617.789368052385</v>
      </c>
      <c r="H293" s="246">
        <f>'I) Dépenses thématiques'!O292</f>
        <v>-7512.5726124002404</v>
      </c>
      <c r="I293" s="246">
        <f>'K) Plafonnement aide'!J292</f>
        <v>0</v>
      </c>
      <c r="J293" s="246">
        <f>'J) Plafonnement effort'!I292</f>
        <v>0</v>
      </c>
      <c r="K293" s="246">
        <f>'L) Plafonnement taux'!Q293</f>
        <v>0</v>
      </c>
      <c r="L293" s="332">
        <f t="shared" si="10"/>
        <v>109407.82427900257</v>
      </c>
      <c r="M293" s="332">
        <f>'M) Police'!O293</f>
        <v>28944.367404721157</v>
      </c>
      <c r="N293" s="332">
        <f t="shared" si="9"/>
        <v>138352.19168372374</v>
      </c>
      <c r="P293" s="445"/>
    </row>
    <row r="294" spans="1:16" s="237" customFormat="1" x14ac:dyDescent="0.25">
      <c r="A294" s="234">
        <f>'B) D RI'!A295</f>
        <v>5903</v>
      </c>
      <c r="B294" s="235" t="str">
        <f>'B) D RI'!B295</f>
        <v>Bioley-Magnoux</v>
      </c>
      <c r="C294" s="402">
        <f>'B) D RI'!S295</f>
        <v>74</v>
      </c>
      <c r="D294" s="236">
        <f>'B) D RI'!AR295</f>
        <v>230</v>
      </c>
      <c r="E294" s="243">
        <f>'D) Ecrêtage'!M293</f>
        <v>5953.911158301159</v>
      </c>
      <c r="F294" s="246">
        <f>'E) Fact soc'!G299</f>
        <v>100260.36614700397</v>
      </c>
      <c r="G294" s="246">
        <f>'H) Péréquation directe'!I304</f>
        <v>-3829.876520965714</v>
      </c>
      <c r="H294" s="246">
        <f>'I) Dépenses thématiques'!O293</f>
        <v>-219662.8369534979</v>
      </c>
      <c r="I294" s="246">
        <f>'K) Plafonnement aide'!J293</f>
        <v>0</v>
      </c>
      <c r="J294" s="246">
        <f>'J) Plafonnement effort'!I293</f>
        <v>0</v>
      </c>
      <c r="K294" s="246">
        <f>'L) Plafonnement taux'!Q294</f>
        <v>0</v>
      </c>
      <c r="L294" s="332">
        <f t="shared" si="10"/>
        <v>-123232.34732745965</v>
      </c>
      <c r="M294" s="332">
        <f>'M) Police'!O294</f>
        <v>18637.189306186367</v>
      </c>
      <c r="N294" s="332">
        <f t="shared" si="9"/>
        <v>-104595.15802127328</v>
      </c>
      <c r="P294" s="445"/>
    </row>
    <row r="295" spans="1:16" s="237" customFormat="1" x14ac:dyDescent="0.25">
      <c r="A295" s="234">
        <f>'B) D RI'!A296</f>
        <v>5904</v>
      </c>
      <c r="B295" s="235" t="str">
        <f>'B) D RI'!B296</f>
        <v>Chamblon</v>
      </c>
      <c r="C295" s="402">
        <f>'B) D RI'!S296</f>
        <v>66</v>
      </c>
      <c r="D295" s="236">
        <f>'B) D RI'!AR296</f>
        <v>548</v>
      </c>
      <c r="E295" s="243">
        <f>'D) Ecrêtage'!M294</f>
        <v>22914.009848484849</v>
      </c>
      <c r="F295" s="246">
        <f>'E) Fact soc'!G300</f>
        <v>369900.8779295836</v>
      </c>
      <c r="G295" s="246">
        <f>'H) Péréquation directe'!I305</f>
        <v>349475.4602012267</v>
      </c>
      <c r="H295" s="246">
        <f>'I) Dépenses thématiques'!O294</f>
        <v>0</v>
      </c>
      <c r="I295" s="246">
        <f>'K) Plafonnement aide'!J294</f>
        <v>0</v>
      </c>
      <c r="J295" s="246">
        <f>'J) Plafonnement effort'!I294</f>
        <v>0</v>
      </c>
      <c r="K295" s="246">
        <f>'L) Plafonnement taux'!Q295</f>
        <v>0</v>
      </c>
      <c r="L295" s="332">
        <f t="shared" si="10"/>
        <v>719376.3381308103</v>
      </c>
      <c r="M295" s="332">
        <f>'M) Police'!O295</f>
        <v>29338.475573314816</v>
      </c>
      <c r="N295" s="332">
        <f t="shared" si="9"/>
        <v>748714.81370412512</v>
      </c>
      <c r="P295" s="445"/>
    </row>
    <row r="296" spans="1:16" s="237" customFormat="1" x14ac:dyDescent="0.25">
      <c r="A296" s="234">
        <f>'B) D RI'!A297</f>
        <v>5905</v>
      </c>
      <c r="B296" s="235" t="str">
        <f>'B) D RI'!B297</f>
        <v>Champvent</v>
      </c>
      <c r="C296" s="402">
        <f>'B) D RI'!S297</f>
        <v>71</v>
      </c>
      <c r="D296" s="236">
        <f>'B) D RI'!AR297</f>
        <v>652</v>
      </c>
      <c r="E296" s="243">
        <f>'D) Ecrêtage'!M295</f>
        <v>21038.740140845071</v>
      </c>
      <c r="F296" s="246">
        <f>'E) Fact soc'!G301</f>
        <v>441457.90810924215</v>
      </c>
      <c r="G296" s="246">
        <f>'H) Péréquation directe'!I306</f>
        <v>170825.71777228749</v>
      </c>
      <c r="H296" s="246">
        <f>'I) Dépenses thématiques'!O295</f>
        <v>-44689.497988925126</v>
      </c>
      <c r="I296" s="246">
        <f>'K) Plafonnement aide'!J295</f>
        <v>0</v>
      </c>
      <c r="J296" s="246">
        <f>'J) Plafonnement effort'!I295</f>
        <v>0</v>
      </c>
      <c r="K296" s="246">
        <f>'L) Plafonnement taux'!Q296</f>
        <v>0</v>
      </c>
      <c r="L296" s="332">
        <f t="shared" si="10"/>
        <v>567594.12789260456</v>
      </c>
      <c r="M296" s="332">
        <f>'M) Police'!O296</f>
        <v>66467.524153636245</v>
      </c>
      <c r="N296" s="332">
        <f t="shared" si="9"/>
        <v>634061.65204624087</v>
      </c>
      <c r="P296" s="445"/>
    </row>
    <row r="297" spans="1:16" s="237" customFormat="1" x14ac:dyDescent="0.25">
      <c r="A297" s="234">
        <f>'B) D RI'!A298</f>
        <v>5907</v>
      </c>
      <c r="B297" s="235" t="str">
        <f>'B) D RI'!B298</f>
        <v>Chavannes-le-Chêne</v>
      </c>
      <c r="C297" s="402">
        <f>'B) D RI'!S298</f>
        <v>78</v>
      </c>
      <c r="D297" s="236">
        <f>'B) D RI'!AR298</f>
        <v>300</v>
      </c>
      <c r="E297" s="243">
        <f>'D) Ecrêtage'!M296</f>
        <v>8819.3566666666684</v>
      </c>
      <c r="F297" s="246">
        <f>'E) Fact soc'!G302</f>
        <v>156559.88679271331</v>
      </c>
      <c r="G297" s="246">
        <f>'H) Péréquation directe'!I307</f>
        <v>26894.155949883454</v>
      </c>
      <c r="H297" s="246">
        <f>'I) Dépenses thématiques'!O296</f>
        <v>-72147.942656886793</v>
      </c>
      <c r="I297" s="246">
        <f>'K) Plafonnement aide'!J296</f>
        <v>0</v>
      </c>
      <c r="J297" s="246">
        <f>'J) Plafonnement effort'!I296</f>
        <v>0</v>
      </c>
      <c r="K297" s="246">
        <f>'L) Plafonnement taux'!Q297</f>
        <v>0</v>
      </c>
      <c r="L297" s="332">
        <f t="shared" si="10"/>
        <v>111306.10008570997</v>
      </c>
      <c r="M297" s="332">
        <f>'M) Police'!O297</f>
        <v>27943.203604175847</v>
      </c>
      <c r="N297" s="332">
        <f t="shared" si="9"/>
        <v>139249.30368988583</v>
      </c>
      <c r="P297" s="445"/>
    </row>
    <row r="298" spans="1:16" s="237" customFormat="1" x14ac:dyDescent="0.25">
      <c r="A298" s="234">
        <f>'B) D RI'!A299</f>
        <v>5908</v>
      </c>
      <c r="B298" s="235" t="str">
        <f>'B) D RI'!B299</f>
        <v>Chêne-Pâquier</v>
      </c>
      <c r="C298" s="402">
        <f>'B) D RI'!S299</f>
        <v>79</v>
      </c>
      <c r="D298" s="236">
        <f>'B) D RI'!AR299</f>
        <v>140</v>
      </c>
      <c r="E298" s="243">
        <f>'D) Ecrêtage'!M297</f>
        <v>2915.1287341772154</v>
      </c>
      <c r="F298" s="246">
        <f>'E) Fact soc'!G303</f>
        <v>48731.722189448061</v>
      </c>
      <c r="G298" s="246">
        <f>'H) Péréquation directe'!I308</f>
        <v>-40967.335134493907</v>
      </c>
      <c r="H298" s="246">
        <f>'I) Dépenses thématiques'!O297</f>
        <v>-12463.35188828981</v>
      </c>
      <c r="I298" s="246">
        <f>'K) Plafonnement aide'!J297</f>
        <v>0</v>
      </c>
      <c r="J298" s="246">
        <f>'J) Plafonnement effort'!I297</f>
        <v>0</v>
      </c>
      <c r="K298" s="246">
        <f>'L) Plafonnement taux'!Q298</f>
        <v>0</v>
      </c>
      <c r="L298" s="332">
        <f t="shared" si="10"/>
        <v>-4698.9648333356563</v>
      </c>
      <c r="M298" s="332">
        <f>'M) Police'!O298</f>
        <v>9155.504024236423</v>
      </c>
      <c r="N298" s="332">
        <f t="shared" si="9"/>
        <v>4456.5391909007667</v>
      </c>
      <c r="P298" s="445"/>
    </row>
    <row r="299" spans="1:16" s="237" customFormat="1" x14ac:dyDescent="0.25">
      <c r="A299" s="234">
        <f>'B) D RI'!A300</f>
        <v>5909</v>
      </c>
      <c r="B299" s="235" t="str">
        <f>'B) D RI'!B300</f>
        <v>Cheseaux-Noréaz</v>
      </c>
      <c r="C299" s="402">
        <f>'B) D RI'!S300</f>
        <v>70</v>
      </c>
      <c r="D299" s="236">
        <f>'B) D RI'!AR300</f>
        <v>670</v>
      </c>
      <c r="E299" s="243">
        <f>'D) Ecrêtage'!M298</f>
        <v>24771.110857142852</v>
      </c>
      <c r="F299" s="246">
        <f>'E) Fact soc'!G304</f>
        <v>414904.52900509251</v>
      </c>
      <c r="G299" s="246">
        <f>'H) Péréquation directe'!I309</f>
        <v>300214.42620745761</v>
      </c>
      <c r="H299" s="246">
        <f>'I) Dépenses thématiques'!O298</f>
        <v>-120143.05860538578</v>
      </c>
      <c r="I299" s="246">
        <f>'K) Plafonnement aide'!J298</f>
        <v>0</v>
      </c>
      <c r="J299" s="246">
        <f>'J) Plafonnement effort'!I298</f>
        <v>0</v>
      </c>
      <c r="K299" s="246">
        <f>'L) Plafonnement taux'!Q299</f>
        <v>0</v>
      </c>
      <c r="L299" s="332">
        <f t="shared" si="10"/>
        <v>594975.89660716429</v>
      </c>
      <c r="M299" s="332">
        <f>'M) Police'!O299</f>
        <v>31716.257242257139</v>
      </c>
      <c r="N299" s="332">
        <f t="shared" si="9"/>
        <v>626692.15384942142</v>
      </c>
      <c r="P299" s="445"/>
    </row>
    <row r="300" spans="1:16" s="237" customFormat="1" x14ac:dyDescent="0.25">
      <c r="A300" s="234">
        <f>'B) D RI'!A301</f>
        <v>5910</v>
      </c>
      <c r="B300" s="235" t="str">
        <f>'B) D RI'!B301</f>
        <v>Cronay</v>
      </c>
      <c r="C300" s="402">
        <f>'B) D RI'!S301</f>
        <v>79</v>
      </c>
      <c r="D300" s="236">
        <f>'B) D RI'!AR301</f>
        <v>380</v>
      </c>
      <c r="E300" s="243">
        <f>'D) Ecrêtage'!M299</f>
        <v>10097.267848101266</v>
      </c>
      <c r="F300" s="246">
        <f>'E) Fact soc'!G305</f>
        <v>166848.45003250497</v>
      </c>
      <c r="G300" s="246">
        <f>'H) Péréquation directe'!I310</f>
        <v>-16155.608462530188</v>
      </c>
      <c r="H300" s="246">
        <f>'I) Dépenses thématiques'!O299</f>
        <v>-116659.90751669504</v>
      </c>
      <c r="I300" s="246">
        <f>'K) Plafonnement aide'!J299</f>
        <v>0</v>
      </c>
      <c r="J300" s="246">
        <f>'J) Plafonnement effort'!I299</f>
        <v>0</v>
      </c>
      <c r="K300" s="246">
        <f>'L) Plafonnement taux'!Q300</f>
        <v>0</v>
      </c>
      <c r="L300" s="332">
        <f t="shared" si="10"/>
        <v>34032.934053279751</v>
      </c>
      <c r="M300" s="332">
        <f>'M) Police'!O300</f>
        <v>31845.992951783592</v>
      </c>
      <c r="N300" s="332">
        <f t="shared" si="9"/>
        <v>65878.927005063335</v>
      </c>
      <c r="P300" s="445"/>
    </row>
    <row r="301" spans="1:16" s="237" customFormat="1" x14ac:dyDescent="0.25">
      <c r="A301" s="234">
        <f>'B) D RI'!A302</f>
        <v>5911</v>
      </c>
      <c r="B301" s="235" t="str">
        <f>'B) D RI'!B302</f>
        <v>Cuarny</v>
      </c>
      <c r="C301" s="402">
        <f>'B) D RI'!S302</f>
        <v>79</v>
      </c>
      <c r="D301" s="236">
        <f>'B) D RI'!AR302</f>
        <v>237</v>
      </c>
      <c r="E301" s="243">
        <f>'D) Ecrêtage'!M300</f>
        <v>7741.5774683544305</v>
      </c>
      <c r="F301" s="246">
        <f>'E) Fact soc'!G306</f>
        <v>114566.75144681893</v>
      </c>
      <c r="G301" s="246">
        <f>'H) Péréquation directe'!I311</f>
        <v>52743.538130591929</v>
      </c>
      <c r="H301" s="246">
        <f>'I) Dépenses thématiques'!O300</f>
        <v>-102983.70504771129</v>
      </c>
      <c r="I301" s="246">
        <f>'K) Plafonnement aide'!J300</f>
        <v>0</v>
      </c>
      <c r="J301" s="246">
        <f>'J) Plafonnement effort'!I300</f>
        <v>0</v>
      </c>
      <c r="K301" s="246">
        <f>'L) Plafonnement taux'!Q301</f>
        <v>0</v>
      </c>
      <c r="L301" s="332">
        <f t="shared" si="10"/>
        <v>64326.584529699554</v>
      </c>
      <c r="M301" s="332">
        <f>'M) Police'!O301</f>
        <v>24647.785683688286</v>
      </c>
      <c r="N301" s="332">
        <f t="shared" si="9"/>
        <v>88974.37021338784</v>
      </c>
      <c r="P301" s="445"/>
    </row>
    <row r="302" spans="1:16" s="237" customFormat="1" x14ac:dyDescent="0.25">
      <c r="A302" s="234">
        <f>'B) D RI'!A303</f>
        <v>5912</v>
      </c>
      <c r="B302" s="235" t="str">
        <f>'B) D RI'!B303</f>
        <v>Démoret</v>
      </c>
      <c r="C302" s="402">
        <f>'B) D RI'!S303</f>
        <v>81</v>
      </c>
      <c r="D302" s="236">
        <f>'B) D RI'!AR303</f>
        <v>126</v>
      </c>
      <c r="E302" s="243">
        <f>'D) Ecrêtage'!M301</f>
        <v>2761.8208641975311</v>
      </c>
      <c r="F302" s="246">
        <f>'E) Fact soc'!G307</f>
        <v>45510.398561168382</v>
      </c>
      <c r="G302" s="246">
        <f>'H) Péréquation directe'!I312</f>
        <v>-34431.8857492022</v>
      </c>
      <c r="H302" s="246">
        <f>'I) Dépenses thématiques'!O301</f>
        <v>-16774.62513680488</v>
      </c>
      <c r="I302" s="246">
        <f>'K) Plafonnement aide'!J301</f>
        <v>0</v>
      </c>
      <c r="J302" s="246">
        <f>'J) Plafonnement effort'!I301</f>
        <v>0</v>
      </c>
      <c r="K302" s="246">
        <f>'L) Plafonnement taux'!Q302</f>
        <v>0</v>
      </c>
      <c r="L302" s="332">
        <f t="shared" si="10"/>
        <v>-5696.1123248386975</v>
      </c>
      <c r="M302" s="332">
        <f>'M) Police'!O302</f>
        <v>8648.9996475069893</v>
      </c>
      <c r="N302" s="332">
        <f t="shared" si="9"/>
        <v>2952.8873226682917</v>
      </c>
      <c r="P302" s="445"/>
    </row>
    <row r="303" spans="1:16" s="237" customFormat="1" x14ac:dyDescent="0.25">
      <c r="A303" s="234">
        <f>'B) D RI'!A304</f>
        <v>5913</v>
      </c>
      <c r="B303" s="235" t="str">
        <f>'B) D RI'!B304</f>
        <v>Donneloye</v>
      </c>
      <c r="C303" s="402">
        <f>'B) D RI'!S304</f>
        <v>73</v>
      </c>
      <c r="D303" s="236">
        <f>'B) D RI'!AR304</f>
        <v>779</v>
      </c>
      <c r="E303" s="243">
        <f>'D) Ecrêtage'!M302</f>
        <v>21023.999589041094</v>
      </c>
      <c r="F303" s="246">
        <f>'E) Fact soc'!G308</f>
        <v>374190.16621333698</v>
      </c>
      <c r="G303" s="246">
        <f>'H) Péréquation directe'!I313</f>
        <v>29573.19130963512</v>
      </c>
      <c r="H303" s="246">
        <f>'I) Dépenses thématiques'!O302</f>
        <v>-73963.349134067495</v>
      </c>
      <c r="I303" s="246">
        <f>'K) Plafonnement aide'!J302</f>
        <v>0</v>
      </c>
      <c r="J303" s="246">
        <f>'J) Plafonnement effort'!I302</f>
        <v>0</v>
      </c>
      <c r="K303" s="246">
        <f>'L) Plafonnement taux'!Q303</f>
        <v>0</v>
      </c>
      <c r="L303" s="332">
        <f t="shared" si="10"/>
        <v>329800.00838890462</v>
      </c>
      <c r="M303" s="332">
        <f>'M) Police'!O303</f>
        <v>66142.573410339653</v>
      </c>
      <c r="N303" s="332">
        <f t="shared" si="9"/>
        <v>395942.58179924428</v>
      </c>
      <c r="P303" s="445"/>
    </row>
    <row r="304" spans="1:16" s="237" customFormat="1" x14ac:dyDescent="0.25">
      <c r="A304" s="234">
        <f>'B) D RI'!A305</f>
        <v>5914</v>
      </c>
      <c r="B304" s="235" t="str">
        <f>'B) D RI'!B305</f>
        <v>Ependes</v>
      </c>
      <c r="C304" s="402">
        <f>'B) D RI'!S305</f>
        <v>75</v>
      </c>
      <c r="D304" s="236">
        <f>'B) D RI'!AR305</f>
        <v>350</v>
      </c>
      <c r="E304" s="243">
        <f>'D) Ecrêtage'!M303</f>
        <v>8838.0616000000009</v>
      </c>
      <c r="F304" s="246">
        <f>'E) Fact soc'!G309</f>
        <v>136679.07411250714</v>
      </c>
      <c r="G304" s="246">
        <f>'H) Péréquation directe'!I314</f>
        <v>-18743.695861680753</v>
      </c>
      <c r="H304" s="246">
        <f>'I) Dépenses thématiques'!O303</f>
        <v>-36178.008682419633</v>
      </c>
      <c r="I304" s="246">
        <f>'K) Plafonnement aide'!J303</f>
        <v>0</v>
      </c>
      <c r="J304" s="246">
        <f>'J) Plafonnement effort'!I303</f>
        <v>0</v>
      </c>
      <c r="K304" s="246">
        <f>'L) Plafonnement taux'!Q304</f>
        <v>0</v>
      </c>
      <c r="L304" s="332">
        <f t="shared" si="10"/>
        <v>81757.36956840675</v>
      </c>
      <c r="M304" s="332">
        <f>'M) Police'!O304</f>
        <v>11316.013918192375</v>
      </c>
      <c r="N304" s="332">
        <f t="shared" si="9"/>
        <v>93073.383486599123</v>
      </c>
      <c r="P304" s="445"/>
    </row>
    <row r="305" spans="1:16" s="237" customFormat="1" x14ac:dyDescent="0.25">
      <c r="A305" s="234">
        <f>'B) D RI'!A306</f>
        <v>5915</v>
      </c>
      <c r="B305" s="235" t="str">
        <f>'B) D RI'!B306</f>
        <v>Essert-Pittet</v>
      </c>
      <c r="C305" s="402">
        <f>'B) D RI'!S306</f>
        <v>75</v>
      </c>
      <c r="D305" s="236">
        <f>'B) D RI'!AR306</f>
        <v>170</v>
      </c>
      <c r="E305" s="243">
        <f>'D) Ecrêtage'!M304</f>
        <v>3860.3839529411766</v>
      </c>
      <c r="F305" s="246">
        <f>'E) Fact soc'!G310</f>
        <v>56673.507962618023</v>
      </c>
      <c r="G305" s="246">
        <f>'H) Péréquation directe'!I315</f>
        <v>-26849.241101053209</v>
      </c>
      <c r="H305" s="246">
        <f>'I) Dépenses thématiques'!O304</f>
        <v>-38640.312369613916</v>
      </c>
      <c r="I305" s="246">
        <f>'K) Plafonnement aide'!J304</f>
        <v>0</v>
      </c>
      <c r="J305" s="246">
        <f>'J) Plafonnement effort'!I304</f>
        <v>0</v>
      </c>
      <c r="K305" s="246">
        <f>'L) Plafonnement taux'!Q305</f>
        <v>0</v>
      </c>
      <c r="L305" s="332">
        <f t="shared" si="10"/>
        <v>-8816.045508049101</v>
      </c>
      <c r="M305" s="332">
        <f>'M) Police'!O305</f>
        <v>4942.7307160937698</v>
      </c>
      <c r="N305" s="332">
        <f t="shared" si="9"/>
        <v>-3873.3147919553312</v>
      </c>
      <c r="P305" s="445"/>
    </row>
    <row r="306" spans="1:16" s="237" customFormat="1" x14ac:dyDescent="0.25">
      <c r="A306" s="234">
        <f>'B) D RI'!A307</f>
        <v>5919</v>
      </c>
      <c r="B306" s="235" t="str">
        <f>'B) D RI'!B307</f>
        <v>Mathod</v>
      </c>
      <c r="C306" s="402">
        <f>'B) D RI'!S307</f>
        <v>74</v>
      </c>
      <c r="D306" s="236">
        <f>'B) D RI'!AR307</f>
        <v>614</v>
      </c>
      <c r="E306" s="243">
        <f>'D) Ecrêtage'!M305</f>
        <v>16883.878828828827</v>
      </c>
      <c r="F306" s="246">
        <f>'E) Fact soc'!G311</f>
        <v>333216.84541399078</v>
      </c>
      <c r="G306" s="246">
        <f>'H) Péréquation directe'!I316</f>
        <v>29796.563755036797</v>
      </c>
      <c r="H306" s="246">
        <f>'I) Dépenses thématiques'!O305</f>
        <v>-98817.292974421274</v>
      </c>
      <c r="I306" s="246">
        <f>'K) Plafonnement aide'!J305</f>
        <v>0</v>
      </c>
      <c r="J306" s="246">
        <f>'J) Plafonnement effort'!I305</f>
        <v>0</v>
      </c>
      <c r="K306" s="246">
        <f>'L) Plafonnement taux'!Q306</f>
        <v>0</v>
      </c>
      <c r="L306" s="332">
        <f t="shared" si="10"/>
        <v>264196.11619460629</v>
      </c>
      <c r="M306" s="332">
        <f>'M) Police'!O306</f>
        <v>21617.659670996247</v>
      </c>
      <c r="N306" s="332">
        <f t="shared" si="9"/>
        <v>285813.77586560254</v>
      </c>
      <c r="P306" s="445"/>
    </row>
    <row r="307" spans="1:16" s="237" customFormat="1" x14ac:dyDescent="0.25">
      <c r="A307" s="234">
        <f>'B) D RI'!A308</f>
        <v>5921</v>
      </c>
      <c r="B307" s="235" t="str">
        <f>'B) D RI'!B308</f>
        <v>Molondin</v>
      </c>
      <c r="C307" s="402">
        <f>'B) D RI'!S308</f>
        <v>81</v>
      </c>
      <c r="D307" s="236">
        <f>'B) D RI'!AR308</f>
        <v>218</v>
      </c>
      <c r="E307" s="243">
        <f>'D) Ecrêtage'!M306</f>
        <v>5518.0840740740732</v>
      </c>
      <c r="F307" s="246">
        <f>'E) Fact soc'!G312</f>
        <v>98501.822249687044</v>
      </c>
      <c r="G307" s="246">
        <f>'H) Péréquation directe'!I317</f>
        <v>-26448.620573744935</v>
      </c>
      <c r="H307" s="246">
        <f>'I) Dépenses thématiques'!O306</f>
        <v>-63362.313663010107</v>
      </c>
      <c r="I307" s="246">
        <f>'K) Plafonnement aide'!J306</f>
        <v>0</v>
      </c>
      <c r="J307" s="246">
        <f>'J) Plafonnement effort'!I306</f>
        <v>0</v>
      </c>
      <c r="K307" s="246">
        <f>'L) Plafonnement taux'!Q307</f>
        <v>0</v>
      </c>
      <c r="L307" s="332">
        <f t="shared" si="10"/>
        <v>8690.8880129320023</v>
      </c>
      <c r="M307" s="332">
        <f>'M) Police'!O307</f>
        <v>17387.574289635668</v>
      </c>
      <c r="N307" s="332">
        <f t="shared" si="9"/>
        <v>26078.46230256767</v>
      </c>
      <c r="P307" s="445"/>
    </row>
    <row r="308" spans="1:16" s="237" customFormat="1" x14ac:dyDescent="0.25">
      <c r="A308" s="234">
        <f>'B) D RI'!A309</f>
        <v>5922</v>
      </c>
      <c r="B308" s="235" t="str">
        <f>'B) D RI'!B309</f>
        <v>Montagny-près-Yverdon</v>
      </c>
      <c r="C308" s="402">
        <f>'B) D RI'!S309</f>
        <v>61</v>
      </c>
      <c r="D308" s="236">
        <f>'B) D RI'!AR309</f>
        <v>733</v>
      </c>
      <c r="E308" s="243">
        <f>'D) Ecrêtage'!M307</f>
        <v>43618.831931545668</v>
      </c>
      <c r="F308" s="246">
        <f>'E) Fact soc'!G313</f>
        <v>790375.36283341108</v>
      </c>
      <c r="G308" s="246">
        <f>'H) Péréquation directe'!I318</f>
        <v>737264.18901025574</v>
      </c>
      <c r="H308" s="246">
        <f>'I) Dépenses thématiques'!O307</f>
        <v>-112478.84724111996</v>
      </c>
      <c r="I308" s="246">
        <f>'K) Plafonnement aide'!J307</f>
        <v>0</v>
      </c>
      <c r="J308" s="246">
        <f>'J) Plafonnement effort'!I307</f>
        <v>0</v>
      </c>
      <c r="K308" s="246">
        <f>'L) Plafonnement taux'!Q308</f>
        <v>0</v>
      </c>
      <c r="L308" s="332">
        <f t="shared" si="10"/>
        <v>1415160.704602547</v>
      </c>
      <c r="M308" s="332">
        <f>'M) Police'!O308</f>
        <v>119631.69517153785</v>
      </c>
      <c r="N308" s="332">
        <f t="shared" si="9"/>
        <v>1534792.3997740848</v>
      </c>
      <c r="P308" s="445"/>
    </row>
    <row r="309" spans="1:16" s="237" customFormat="1" x14ac:dyDescent="0.25">
      <c r="A309" s="234">
        <f>'B) D RI'!A310</f>
        <v>5923</v>
      </c>
      <c r="B309" s="235" t="str">
        <f>'B) D RI'!B310</f>
        <v>Oppens</v>
      </c>
      <c r="C309" s="402">
        <f>'B) D RI'!S310</f>
        <v>81</v>
      </c>
      <c r="D309" s="236">
        <f>'B) D RI'!AR310</f>
        <v>182</v>
      </c>
      <c r="E309" s="243">
        <f>'D) Ecrêtage'!M308</f>
        <v>4881.0219753086412</v>
      </c>
      <c r="F309" s="246">
        <f>'E) Fact soc'!G314</f>
        <v>102604.52512356729</v>
      </c>
      <c r="G309" s="246">
        <f>'H) Péréquation directe'!I319</f>
        <v>-9802.9643775467994</v>
      </c>
      <c r="H309" s="246">
        <f>'I) Dépenses thématiques'!O308</f>
        <v>-36753.443619043086</v>
      </c>
      <c r="I309" s="246">
        <f>'K) Plafonnement aide'!J308</f>
        <v>0</v>
      </c>
      <c r="J309" s="246">
        <f>'J) Plafonnement effort'!I308</f>
        <v>0</v>
      </c>
      <c r="K309" s="246">
        <f>'L) Plafonnement taux'!Q309</f>
        <v>0</v>
      </c>
      <c r="L309" s="332">
        <f t="shared" si="10"/>
        <v>56048.117126977406</v>
      </c>
      <c r="M309" s="332">
        <f>'M) Police'!O309</f>
        <v>15451.685437254375</v>
      </c>
      <c r="N309" s="332">
        <f t="shared" si="9"/>
        <v>71499.802564231781</v>
      </c>
      <c r="P309" s="445"/>
    </row>
    <row r="310" spans="1:16" s="237" customFormat="1" x14ac:dyDescent="0.25">
      <c r="A310" s="234">
        <f>'B) D RI'!A311</f>
        <v>5924</v>
      </c>
      <c r="B310" s="235" t="str">
        <f>'B) D RI'!B311</f>
        <v>Orges</v>
      </c>
      <c r="C310" s="402">
        <f>'B) D RI'!S311</f>
        <v>74</v>
      </c>
      <c r="D310" s="236">
        <f>'B) D RI'!AR311</f>
        <v>292</v>
      </c>
      <c r="E310" s="243">
        <f>'D) Ecrêtage'!M309</f>
        <v>9476.448378378378</v>
      </c>
      <c r="F310" s="246">
        <f>'E) Fact soc'!G315</f>
        <v>158058.02691959252</v>
      </c>
      <c r="G310" s="246">
        <f>'H) Péréquation directe'!I320</f>
        <v>72692.561357783023</v>
      </c>
      <c r="H310" s="246">
        <f>'I) Dépenses thématiques'!O309</f>
        <v>0</v>
      </c>
      <c r="I310" s="246">
        <f>'K) Plafonnement aide'!J309</f>
        <v>0</v>
      </c>
      <c r="J310" s="246">
        <f>'J) Plafonnement effort'!I309</f>
        <v>0</v>
      </c>
      <c r="K310" s="246">
        <f>'L) Plafonnement taux'!Q310</f>
        <v>0</v>
      </c>
      <c r="L310" s="332">
        <f t="shared" si="10"/>
        <v>230750.58827737556</v>
      </c>
      <c r="M310" s="332">
        <f>'M) Police'!O310</f>
        <v>29946.978353854392</v>
      </c>
      <c r="N310" s="332">
        <f t="shared" si="9"/>
        <v>260697.56663122994</v>
      </c>
      <c r="P310" s="445"/>
    </row>
    <row r="311" spans="1:16" s="237" customFormat="1" x14ac:dyDescent="0.25">
      <c r="A311" s="234">
        <f>'B) D RI'!A312</f>
        <v>5925</v>
      </c>
      <c r="B311" s="235" t="str">
        <f>'B) D RI'!B312</f>
        <v>Orzens</v>
      </c>
      <c r="C311" s="402">
        <f>'B) D RI'!S312</f>
        <v>79</v>
      </c>
      <c r="D311" s="236">
        <f>'B) D RI'!AR312</f>
        <v>200</v>
      </c>
      <c r="E311" s="243">
        <f>'D) Ecrêtage'!M310</f>
        <v>4875.4426582278484</v>
      </c>
      <c r="F311" s="246">
        <f>'E) Fact soc'!G316</f>
        <v>83564.727578737322</v>
      </c>
      <c r="G311" s="246">
        <f>'H) Péréquation directe'!I321</f>
        <v>-27596.231064143591</v>
      </c>
      <c r="H311" s="246">
        <f>'I) Dépenses thématiques'!O310</f>
        <v>-11319.48615467803</v>
      </c>
      <c r="I311" s="246">
        <f>'K) Plafonnement aide'!J310</f>
        <v>0</v>
      </c>
      <c r="J311" s="246">
        <f>'J) Plafonnement effort'!I310</f>
        <v>0</v>
      </c>
      <c r="K311" s="246">
        <f>'L) Plafonnement taux'!Q311</f>
        <v>0</v>
      </c>
      <c r="L311" s="332">
        <f t="shared" si="10"/>
        <v>44649.010359915701</v>
      </c>
      <c r="M311" s="332">
        <f>'M) Police'!O311</f>
        <v>15269.555692810387</v>
      </c>
      <c r="N311" s="332">
        <f t="shared" si="9"/>
        <v>59918.566052726092</v>
      </c>
      <c r="P311" s="445"/>
    </row>
    <row r="312" spans="1:16" s="237" customFormat="1" x14ac:dyDescent="0.25">
      <c r="A312" s="234">
        <f>'B) D RI'!A313</f>
        <v>5926</v>
      </c>
      <c r="B312" s="235" t="str">
        <f>'B) D RI'!B313</f>
        <v>Pomy</v>
      </c>
      <c r="C312" s="402">
        <f>'B) D RI'!S313</f>
        <v>71</v>
      </c>
      <c r="D312" s="236">
        <f>'B) D RI'!AR313</f>
        <v>760</v>
      </c>
      <c r="E312" s="243">
        <f>'D) Ecrêtage'!M311</f>
        <v>22774.42661971831</v>
      </c>
      <c r="F312" s="246">
        <f>'E) Fact soc'!G317</f>
        <v>405814.40844017087</v>
      </c>
      <c r="G312" s="246">
        <f>'H) Péréquation directe'!I322</f>
        <v>131415.50034886628</v>
      </c>
      <c r="H312" s="246">
        <f>'I) Dépenses thématiques'!O311</f>
        <v>-20413.419257890073</v>
      </c>
      <c r="I312" s="246">
        <f>'K) Plafonnement aide'!J311</f>
        <v>0</v>
      </c>
      <c r="J312" s="246">
        <f>'J) Plafonnement effort'!I311</f>
        <v>0</v>
      </c>
      <c r="K312" s="246">
        <f>'L) Plafonnement taux'!Q312</f>
        <v>0</v>
      </c>
      <c r="L312" s="332">
        <f t="shared" si="10"/>
        <v>516816.48953114706</v>
      </c>
      <c r="M312" s="332">
        <f>'M) Police'!O312</f>
        <v>29159.757000062466</v>
      </c>
      <c r="N312" s="332">
        <f t="shared" si="9"/>
        <v>545976.24653120956</v>
      </c>
      <c r="P312" s="445"/>
    </row>
    <row r="313" spans="1:16" s="237" customFormat="1" x14ac:dyDescent="0.25">
      <c r="A313" s="234">
        <f>'B) D RI'!A314</f>
        <v>5928</v>
      </c>
      <c r="B313" s="235" t="str">
        <f>'B) D RI'!B314</f>
        <v>Rovray</v>
      </c>
      <c r="C313" s="402">
        <f>'B) D RI'!S314</f>
        <v>73</v>
      </c>
      <c r="D313" s="236">
        <f>'B) D RI'!AR314</f>
        <v>172</v>
      </c>
      <c r="E313" s="243">
        <f>'D) Ecrêtage'!M312</f>
        <v>4451.7282191780823</v>
      </c>
      <c r="F313" s="246">
        <f>'E) Fact soc'!G318</f>
        <v>74634.038805688135</v>
      </c>
      <c r="G313" s="246">
        <f>'H) Péréquation directe'!I323</f>
        <v>-1054.5013316179393</v>
      </c>
      <c r="H313" s="246">
        <f>'I) Dépenses thématiques'!O312</f>
        <v>-10000.129792550528</v>
      </c>
      <c r="I313" s="246">
        <f>'K) Plafonnement aide'!J312</f>
        <v>0</v>
      </c>
      <c r="J313" s="246">
        <f>'J) Plafonnement effort'!I312</f>
        <v>0</v>
      </c>
      <c r="K313" s="246">
        <f>'L) Plafonnement taux'!Q313</f>
        <v>0</v>
      </c>
      <c r="L313" s="332">
        <f t="shared" si="10"/>
        <v>63579.407681519668</v>
      </c>
      <c r="M313" s="332">
        <f>'M) Police'!O313</f>
        <v>14067.52554476311</v>
      </c>
      <c r="N313" s="332">
        <f t="shared" si="9"/>
        <v>77646.933226282781</v>
      </c>
      <c r="P313" s="445"/>
    </row>
    <row r="314" spans="1:16" s="237" customFormat="1" x14ac:dyDescent="0.25">
      <c r="A314" s="234">
        <f>'B) D RI'!A315</f>
        <v>5929</v>
      </c>
      <c r="B314" s="235" t="str">
        <f>'B) D RI'!B315</f>
        <v>Suchy</v>
      </c>
      <c r="C314" s="402">
        <f>'B) D RI'!S315</f>
        <v>70</v>
      </c>
      <c r="D314" s="236">
        <f>'B) D RI'!AR315</f>
        <v>606</v>
      </c>
      <c r="E314" s="243">
        <f>'D) Ecrêtage'!M313</f>
        <v>16583.788428571432</v>
      </c>
      <c r="F314" s="246">
        <f>'E) Fact soc'!G319</f>
        <v>271509.15859155904</v>
      </c>
      <c r="G314" s="246">
        <f>'H) Péréquation directe'!I324</f>
        <v>49505.931116492255</v>
      </c>
      <c r="H314" s="246">
        <f>'I) Dépenses thématiques'!O313</f>
        <v>-15028.558919846888</v>
      </c>
      <c r="I314" s="246">
        <f>'K) Plafonnement aide'!J313</f>
        <v>0</v>
      </c>
      <c r="J314" s="246">
        <f>'J) Plafonnement effort'!I313</f>
        <v>0</v>
      </c>
      <c r="K314" s="246">
        <f>'L) Plafonnement taux'!Q314</f>
        <v>0</v>
      </c>
      <c r="L314" s="332">
        <f t="shared" si="10"/>
        <v>305986.5307882044</v>
      </c>
      <c r="M314" s="332">
        <f>'M) Police'!O314</f>
        <v>21233.432076788416</v>
      </c>
      <c r="N314" s="332">
        <f t="shared" si="9"/>
        <v>327219.96286499279</v>
      </c>
      <c r="P314" s="445"/>
    </row>
    <row r="315" spans="1:16" s="237" customFormat="1" x14ac:dyDescent="0.25">
      <c r="A315" s="234">
        <f>'B) D RI'!A316</f>
        <v>5930</v>
      </c>
      <c r="B315" s="235" t="str">
        <f>'B) D RI'!B316</f>
        <v>Suscévaz</v>
      </c>
      <c r="C315" s="402">
        <f>'B) D RI'!S316</f>
        <v>66</v>
      </c>
      <c r="D315" s="236">
        <f>'B) D RI'!AR316</f>
        <v>202</v>
      </c>
      <c r="E315" s="243">
        <f>'D) Ecrêtage'!M314</f>
        <v>4886.5228787878787</v>
      </c>
      <c r="F315" s="246">
        <f>'E) Fact soc'!G320</f>
        <v>84627.737777063303</v>
      </c>
      <c r="G315" s="246">
        <f>'H) Péréquation directe'!I325</f>
        <v>778.69271332203061</v>
      </c>
      <c r="H315" s="246">
        <f>'I) Dépenses thématiques'!O314</f>
        <v>-365.38029868571073</v>
      </c>
      <c r="I315" s="246">
        <f>'K) Plafonnement aide'!J314</f>
        <v>0</v>
      </c>
      <c r="J315" s="246">
        <f>'J) Plafonnement effort'!I314</f>
        <v>0</v>
      </c>
      <c r="K315" s="246">
        <f>'L) Plafonnement taux'!Q315</f>
        <v>0</v>
      </c>
      <c r="L315" s="332">
        <f t="shared" si="10"/>
        <v>85041.050191699629</v>
      </c>
      <c r="M315" s="332">
        <f>'M) Police'!O315</f>
        <v>6256.5711137303115</v>
      </c>
      <c r="N315" s="332">
        <f t="shared" si="9"/>
        <v>91297.621305429944</v>
      </c>
      <c r="P315" s="445"/>
    </row>
    <row r="316" spans="1:16" s="237" customFormat="1" x14ac:dyDescent="0.25">
      <c r="A316" s="234">
        <f>'B) D RI'!A317</f>
        <v>5931</v>
      </c>
      <c r="B316" s="235" t="str">
        <f>'B) D RI'!B317</f>
        <v>Treycovagnes</v>
      </c>
      <c r="C316" s="402">
        <f>'B) D RI'!S317</f>
        <v>77</v>
      </c>
      <c r="D316" s="236">
        <f>'B) D RI'!AR317</f>
        <v>446</v>
      </c>
      <c r="E316" s="243">
        <f>'D) Ecrêtage'!M315</f>
        <v>16368.774155844154</v>
      </c>
      <c r="F316" s="246">
        <f>'E) Fact soc'!G321</f>
        <v>254001.31529667889</v>
      </c>
      <c r="G316" s="246">
        <f>'H) Péréquation directe'!I326</f>
        <v>181680.97560535531</v>
      </c>
      <c r="H316" s="246">
        <f>'I) Dépenses thématiques'!O315</f>
        <v>0</v>
      </c>
      <c r="I316" s="246">
        <f>'K) Plafonnement aide'!J315</f>
        <v>0</v>
      </c>
      <c r="J316" s="246">
        <f>'J) Plafonnement effort'!I315</f>
        <v>0</v>
      </c>
      <c r="K316" s="246">
        <f>'L) Plafonnement taux'!Q316</f>
        <v>0</v>
      </c>
      <c r="L316" s="332">
        <f t="shared" si="10"/>
        <v>435682.2909020342</v>
      </c>
      <c r="M316" s="332">
        <f>'M) Police'!O316</f>
        <v>20958.133644517715</v>
      </c>
      <c r="N316" s="332">
        <f t="shared" si="9"/>
        <v>456640.42454655189</v>
      </c>
      <c r="P316" s="445"/>
    </row>
    <row r="317" spans="1:16" s="237" customFormat="1" x14ac:dyDescent="0.25">
      <c r="A317" s="234">
        <f>'B) D RI'!A318</f>
        <v>5932</v>
      </c>
      <c r="B317" s="235" t="str">
        <f>'B) D RI'!B318</f>
        <v>Ursins</v>
      </c>
      <c r="C317" s="402">
        <f>'B) D RI'!S318</f>
        <v>78</v>
      </c>
      <c r="D317" s="236">
        <f>'B) D RI'!AR318</f>
        <v>210</v>
      </c>
      <c r="E317" s="243">
        <f>'D) Ecrêtage'!M316</f>
        <v>6366.2738461538456</v>
      </c>
      <c r="F317" s="246">
        <f>'E) Fact soc'!G322</f>
        <v>102000.52287775814</v>
      </c>
      <c r="G317" s="246">
        <f>'H) Péréquation directe'!I327</f>
        <v>27088.811553328589</v>
      </c>
      <c r="H317" s="246">
        <f>'I) Dépenses thématiques'!O316</f>
        <v>-141988.24395593384</v>
      </c>
      <c r="I317" s="246">
        <f>'K) Plafonnement aide'!J316</f>
        <v>0</v>
      </c>
      <c r="J317" s="246">
        <f>'J) Plafonnement effort'!I316</f>
        <v>0</v>
      </c>
      <c r="K317" s="246">
        <f>'L) Plafonnement taux'!Q317</f>
        <v>0</v>
      </c>
      <c r="L317" s="332">
        <f t="shared" si="10"/>
        <v>-12898.909524847113</v>
      </c>
      <c r="M317" s="332">
        <f>'M) Police'!O317</f>
        <v>20110.528658825657</v>
      </c>
      <c r="N317" s="332">
        <f t="shared" si="9"/>
        <v>7211.6191339785437</v>
      </c>
      <c r="P317" s="445"/>
    </row>
    <row r="318" spans="1:16" s="237" customFormat="1" x14ac:dyDescent="0.25">
      <c r="A318" s="234">
        <f>'B) D RI'!A319</f>
        <v>5933</v>
      </c>
      <c r="B318" s="235" t="str">
        <f>'B) D RI'!B319</f>
        <v>Valeyres-sous-Montagny</v>
      </c>
      <c r="C318" s="402">
        <f>'B) D RI'!S319</f>
        <v>72</v>
      </c>
      <c r="D318" s="236">
        <f>'B) D RI'!AR319</f>
        <v>689</v>
      </c>
      <c r="E318" s="243">
        <f>'D) Ecrêtage'!M317</f>
        <v>19578.46263888889</v>
      </c>
      <c r="F318" s="246">
        <f>'E) Fact soc'!G323</f>
        <v>334089.46041869593</v>
      </c>
      <c r="G318" s="246">
        <f>'H) Péréquation directe'!I328</f>
        <v>71613.020185391128</v>
      </c>
      <c r="H318" s="246">
        <f>'I) Dépenses thématiques'!O317</f>
        <v>-271343.18063533684</v>
      </c>
      <c r="I318" s="246">
        <f>'K) Plafonnement aide'!J317</f>
        <v>0</v>
      </c>
      <c r="J318" s="246">
        <f>'J) Plafonnement effort'!I317</f>
        <v>0</v>
      </c>
      <c r="K318" s="246">
        <f>'L) Plafonnement taux'!Q318</f>
        <v>0</v>
      </c>
      <c r="L318" s="332">
        <f t="shared" si="10"/>
        <v>134359.29996875022</v>
      </c>
      <c r="M318" s="332">
        <f>'M) Police'!O318</f>
        <v>61394.124895475441</v>
      </c>
      <c r="N318" s="332">
        <f t="shared" si="9"/>
        <v>195753.42486422567</v>
      </c>
      <c r="P318" s="445"/>
    </row>
    <row r="319" spans="1:16" s="237" customFormat="1" x14ac:dyDescent="0.25">
      <c r="A319" s="234">
        <f>'B) D RI'!A320</f>
        <v>5934</v>
      </c>
      <c r="B319" s="235" t="str">
        <f>'B) D RI'!B320</f>
        <v>Valeyres-sous-Ursins</v>
      </c>
      <c r="C319" s="402">
        <f>'B) D RI'!S320</f>
        <v>79</v>
      </c>
      <c r="D319" s="236">
        <f>'B) D RI'!AR320</f>
        <v>247</v>
      </c>
      <c r="E319" s="243">
        <f>'D) Ecrêtage'!M318</f>
        <v>6856.0722784810141</v>
      </c>
      <c r="F319" s="246">
        <f>'E) Fact soc'!G324</f>
        <v>118602.91121872519</v>
      </c>
      <c r="G319" s="246">
        <f>'H) Péréquation directe'!I329</f>
        <v>2238.2470647104783</v>
      </c>
      <c r="H319" s="246">
        <f>'I) Dépenses thématiques'!O318</f>
        <v>-9219.158068908082</v>
      </c>
      <c r="I319" s="246">
        <f>'K) Plafonnement aide'!J318</f>
        <v>0</v>
      </c>
      <c r="J319" s="246">
        <f>'J) Plafonnement effort'!I318</f>
        <v>0</v>
      </c>
      <c r="K319" s="246">
        <f>'L) Plafonnement taux'!Q319</f>
        <v>0</v>
      </c>
      <c r="L319" s="332">
        <f t="shared" si="10"/>
        <v>111622.00021452758</v>
      </c>
      <c r="M319" s="332">
        <f>'M) Police'!O319</f>
        <v>21822.678267275049</v>
      </c>
      <c r="N319" s="332">
        <f t="shared" si="9"/>
        <v>133444.67848180264</v>
      </c>
      <c r="P319" s="445"/>
    </row>
    <row r="320" spans="1:16" s="237" customFormat="1" x14ac:dyDescent="0.25">
      <c r="A320" s="234">
        <f>'B) D RI'!A321</f>
        <v>5935</v>
      </c>
      <c r="B320" s="235" t="str">
        <f>'B) D RI'!B321</f>
        <v>Villars-Epeney</v>
      </c>
      <c r="C320" s="402">
        <f>'B) D RI'!S321</f>
        <v>60</v>
      </c>
      <c r="D320" s="236">
        <f>'B) D RI'!AR321</f>
        <v>105</v>
      </c>
      <c r="E320" s="243">
        <f>'D) Ecrêtage'!M319</f>
        <v>4252.6353333333336</v>
      </c>
      <c r="F320" s="246">
        <f>'E) Fact soc'!G325</f>
        <v>72424.528688540682</v>
      </c>
      <c r="G320" s="246">
        <f>'H) Péréquation directe'!I330</f>
        <v>63144.413020958847</v>
      </c>
      <c r="H320" s="246">
        <f>'I) Dépenses thématiques'!O319</f>
        <v>-12429.663068372771</v>
      </c>
      <c r="I320" s="246">
        <f>'K) Plafonnement aide'!J319</f>
        <v>0</v>
      </c>
      <c r="J320" s="246">
        <f>'J) Plafonnement effort'!I319</f>
        <v>0</v>
      </c>
      <c r="K320" s="246">
        <f>'L) Plafonnement taux'!Q320</f>
        <v>0</v>
      </c>
      <c r="L320" s="332">
        <f t="shared" si="10"/>
        <v>123139.27864112674</v>
      </c>
      <c r="M320" s="332">
        <f>'M) Police'!O320</f>
        <v>13366.597724998779</v>
      </c>
      <c r="N320" s="332">
        <f t="shared" si="9"/>
        <v>136505.87636612554</v>
      </c>
      <c r="P320" s="445"/>
    </row>
    <row r="321" spans="1:16" s="237" customFormat="1" x14ac:dyDescent="0.25">
      <c r="A321" s="234">
        <f>'B) D RI'!A322</f>
        <v>5937</v>
      </c>
      <c r="B321" s="235" t="str">
        <f>'B) D RI'!B322</f>
        <v>Vugelles-La Mothe</v>
      </c>
      <c r="C321" s="402">
        <f>'B) D RI'!S322</f>
        <v>70</v>
      </c>
      <c r="D321" s="236">
        <f>'B) D RI'!AR322</f>
        <v>134</v>
      </c>
      <c r="E321" s="243">
        <f>'D) Ecrêtage'!M320</f>
        <v>2272.9823469387752</v>
      </c>
      <c r="F321" s="246">
        <f>'E) Fact soc'!G326</f>
        <v>40660.181834418734</v>
      </c>
      <c r="G321" s="246">
        <f>'H) Péréquation directe'!I331</f>
        <v>-42225.829673448425</v>
      </c>
      <c r="H321" s="246">
        <f>'I) Dépenses thématiques'!O320</f>
        <v>-29025.556736505852</v>
      </c>
      <c r="I321" s="246">
        <f>'K) Plafonnement aide'!J320</f>
        <v>0</v>
      </c>
      <c r="J321" s="246">
        <f>'J) Plafonnement effort'!I320</f>
        <v>0</v>
      </c>
      <c r="K321" s="246">
        <f>'L) Plafonnement taux'!Q321</f>
        <v>0</v>
      </c>
      <c r="L321" s="332">
        <f t="shared" si="10"/>
        <v>-30591.204575535543</v>
      </c>
      <c r="M321" s="332">
        <f>'M) Police'!O321</f>
        <v>7052.3519766940954</v>
      </c>
      <c r="N321" s="332">
        <f t="shared" si="9"/>
        <v>-23538.852598841448</v>
      </c>
      <c r="P321" s="445"/>
    </row>
    <row r="322" spans="1:16" s="237" customFormat="1" x14ac:dyDescent="0.25">
      <c r="A322" s="234">
        <f>'B) D RI'!A323</f>
        <v>5938</v>
      </c>
      <c r="B322" s="235" t="str">
        <f>'B) D RI'!B323</f>
        <v>Yverdon-les-Bains</v>
      </c>
      <c r="C322" s="402">
        <f>'B) D RI'!S323</f>
        <v>76.5</v>
      </c>
      <c r="D322" s="236">
        <f>'B) D RI'!AR323</f>
        <v>29570</v>
      </c>
      <c r="E322" s="243">
        <f>'D) Ecrêtage'!M321</f>
        <v>809245.0162091502</v>
      </c>
      <c r="F322" s="246">
        <f>'E) Fact soc'!G327</f>
        <v>14901085.042176116</v>
      </c>
      <c r="G322" s="246">
        <f>'H) Péréquation directe'!I332</f>
        <v>-21245923.153387148</v>
      </c>
      <c r="H322" s="246">
        <f>'I) Dépenses thématiques'!O321</f>
        <v>-7420204.6259360835</v>
      </c>
      <c r="I322" s="246">
        <f>'K) Plafonnement aide'!J321</f>
        <v>1893990.5220607065</v>
      </c>
      <c r="J322" s="246">
        <f>'J) Plafonnement effort'!I321</f>
        <v>0</v>
      </c>
      <c r="K322" s="246">
        <f>'L) Plafonnement taux'!Q322</f>
        <v>0</v>
      </c>
      <c r="L322" s="332">
        <f t="shared" si="10"/>
        <v>-11871052.215086408</v>
      </c>
      <c r="M322" s="332">
        <f>'M) Police'!O322</f>
        <v>1036135.3293408315</v>
      </c>
      <c r="N322" s="332">
        <f t="shared" si="9"/>
        <v>-10834916.885745576</v>
      </c>
      <c r="P322" s="445"/>
    </row>
    <row r="323" spans="1:16" s="237" customFormat="1" x14ac:dyDescent="0.25">
      <c r="A323" s="238">
        <f>'B) D RI'!A324</f>
        <v>5939</v>
      </c>
      <c r="B323" s="235" t="str">
        <f>'B) D RI'!B324</f>
        <v>Yvonand</v>
      </c>
      <c r="C323" s="402">
        <f>'B) D RI'!S324</f>
        <v>73</v>
      </c>
      <c r="D323" s="236">
        <f>'B) D RI'!AR324</f>
        <v>3236</v>
      </c>
      <c r="E323" s="243">
        <f>'D) Ecrêtage'!M322</f>
        <v>88261.067808219188</v>
      </c>
      <c r="F323" s="246">
        <f>'E) Fact soc'!G328</f>
        <v>1741210.6191769037</v>
      </c>
      <c r="G323" s="246">
        <f>'H) Péréquation directe'!I333</f>
        <v>-426254.23403404769</v>
      </c>
      <c r="H323" s="246">
        <f>'I) Dépenses thématiques'!O322</f>
        <v>-264170.5144456671</v>
      </c>
      <c r="I323" s="246">
        <f>'K) Plafonnement aide'!J322</f>
        <v>0</v>
      </c>
      <c r="J323" s="246">
        <f>'J) Plafonnement effort'!I322</f>
        <v>0</v>
      </c>
      <c r="K323" s="246">
        <f>'L) Plafonnement taux'!Q323</f>
        <v>0</v>
      </c>
      <c r="L323" s="332">
        <f t="shared" si="10"/>
        <v>1050785.8706971889</v>
      </c>
      <c r="M323" s="334">
        <f>'M) Police'!O323</f>
        <v>276129.07292562089</v>
      </c>
      <c r="N323" s="334">
        <f t="shared" si="9"/>
        <v>1326914.9436228098</v>
      </c>
      <c r="P323" s="445"/>
    </row>
    <row r="324" spans="1:16" x14ac:dyDescent="0.25">
      <c r="B324" s="27">
        <f>COUNTA(B6:B323)</f>
        <v>318</v>
      </c>
      <c r="C324" s="403"/>
      <c r="D324" s="244">
        <f>SUM(D6:D323)</f>
        <v>778251</v>
      </c>
      <c r="E324" s="244">
        <f>SUM(E6:E323)</f>
        <v>34317025.774862766</v>
      </c>
      <c r="F324" s="224">
        <f>'E) Fact soc'!G329</f>
        <v>740601543.0000006</v>
      </c>
      <c r="G324" s="224">
        <f>'H) Péréquation directe'!I334</f>
        <v>135088107.09945148</v>
      </c>
      <c r="H324" s="224">
        <f>'I) Dépenses thématiques'!O323</f>
        <v>-137268103.09945095</v>
      </c>
      <c r="I324" s="224">
        <f>'K) Plafonnement aide'!J323</f>
        <v>4713108.6170783248</v>
      </c>
      <c r="J324" s="224">
        <f>'J) Plafonnement effort'!I323</f>
        <v>-2014242.2475740064</v>
      </c>
      <c r="K324" s="224">
        <f>'L) Plafonnement taux'!Q324</f>
        <v>-68870.333007649868</v>
      </c>
      <c r="L324" s="333">
        <f t="shared" si="10"/>
        <v>741051543.03649771</v>
      </c>
      <c r="M324" s="333">
        <f>SUM(M6:M323)</f>
        <v>64955762.999999955</v>
      </c>
      <c r="N324" s="333">
        <f>SUM(N6:N323)</f>
        <v>806007306.03649676</v>
      </c>
    </row>
    <row r="325" spans="1:16" x14ac:dyDescent="0.25">
      <c r="D325" s="14"/>
      <c r="E325" s="14"/>
      <c r="L325" s="6"/>
      <c r="M325" s="6"/>
      <c r="N325" s="6"/>
    </row>
    <row r="326" spans="1:16" x14ac:dyDescent="0.25">
      <c r="H326" s="239"/>
      <c r="I326" s="239"/>
      <c r="J326" s="239"/>
      <c r="K326" s="239"/>
      <c r="L326" s="6"/>
      <c r="M326" s="6"/>
      <c r="N326" s="6"/>
    </row>
  </sheetData>
  <mergeCells count="16">
    <mergeCell ref="O4:O5"/>
    <mergeCell ref="M4:M5"/>
    <mergeCell ref="N4:N5"/>
    <mergeCell ref="A1:E1"/>
    <mergeCell ref="L4:L5"/>
    <mergeCell ref="K4:K5"/>
    <mergeCell ref="J4:J5"/>
    <mergeCell ref="I4:I5"/>
    <mergeCell ref="H4:H5"/>
    <mergeCell ref="G4:G5"/>
    <mergeCell ref="F4:F5"/>
    <mergeCell ref="E4:E5"/>
    <mergeCell ref="D4:D5"/>
    <mergeCell ref="C4:C5"/>
    <mergeCell ref="B4:B5"/>
    <mergeCell ref="A4:A5"/>
  </mergeCells>
  <phoneticPr fontId="0" type="noConversion"/>
  <printOptions horizontalCentered="1" verticalCentered="1"/>
  <pageMargins left="0.59055118110236227" right="0.59055118110236227" top="0.78740157480314965" bottom="0.78740157480314965" header="0.51181102362204722" footer="0.51181102362204722"/>
  <pageSetup paperSize="8" scale="94" fitToHeight="7" orientation="landscape" horizontalDpi="4294967292" verticalDpi="4294967292" r:id="rId1"/>
  <headerFooter alignWithMargins="0">
    <oddFooter>&amp;LSCL - Division finances communales&amp;C- &amp;P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28"/>
  <sheetViews>
    <sheetView workbookViewId="0">
      <selection activeCell="N36" sqref="N36"/>
    </sheetView>
  </sheetViews>
  <sheetFormatPr baseColWidth="10" defaultColWidth="10.875" defaultRowHeight="15" x14ac:dyDescent="0.25"/>
  <cols>
    <col min="1" max="1" width="6.875" style="14" customWidth="1"/>
    <col min="2" max="2" width="17.375" style="14" bestFit="1" customWidth="1"/>
    <col min="3" max="3" width="10.75" style="14" bestFit="1" customWidth="1"/>
    <col min="4" max="4" width="9.5" style="14" bestFit="1" customWidth="1"/>
    <col min="5" max="5" width="9.375" style="14" customWidth="1"/>
    <col min="6" max="6" width="10.125" style="14" bestFit="1" customWidth="1"/>
    <col min="7" max="7" width="9.25" style="14" bestFit="1" customWidth="1"/>
    <col min="8" max="8" width="9.5" style="14" bestFit="1" customWidth="1"/>
    <col min="9" max="9" width="9.125" style="14" bestFit="1" customWidth="1"/>
    <col min="10" max="10" width="8.625" style="14" bestFit="1" customWidth="1"/>
    <col min="11" max="11" width="9.625" style="14" customWidth="1"/>
    <col min="12" max="16384" width="10.875" style="431"/>
  </cols>
  <sheetData>
    <row r="1" spans="1:11" ht="21" x14ac:dyDescent="0.2">
      <c r="A1" s="604" t="s">
        <v>535</v>
      </c>
      <c r="B1" s="605"/>
      <c r="C1" s="605"/>
      <c r="D1" s="605"/>
      <c r="E1" s="605"/>
      <c r="F1" s="92"/>
      <c r="G1" s="92"/>
      <c r="H1" s="92"/>
      <c r="I1" s="92"/>
      <c r="J1" s="92"/>
      <c r="K1" s="92"/>
    </row>
    <row r="2" spans="1:11" ht="21" x14ac:dyDescent="0.2">
      <c r="A2" s="241" t="s">
        <v>653</v>
      </c>
      <c r="B2" s="46"/>
      <c r="C2" s="401"/>
      <c r="D2" s="424"/>
      <c r="E2" s="424"/>
      <c r="F2" s="92"/>
      <c r="G2" s="92"/>
      <c r="H2" s="92"/>
      <c r="I2" s="92"/>
      <c r="J2" s="92"/>
      <c r="K2" s="92"/>
    </row>
    <row r="4" spans="1:11" ht="12.6" customHeight="1" x14ac:dyDescent="0.2">
      <c r="A4" s="551" t="s">
        <v>50</v>
      </c>
      <c r="B4" s="581" t="s">
        <v>654</v>
      </c>
      <c r="C4" s="607" t="s">
        <v>117</v>
      </c>
      <c r="D4" s="606"/>
      <c r="E4" s="602"/>
      <c r="F4" s="606" t="s">
        <v>630</v>
      </c>
      <c r="G4" s="606"/>
      <c r="H4" s="602"/>
      <c r="I4" s="606" t="s">
        <v>557</v>
      </c>
      <c r="J4" s="606"/>
      <c r="K4" s="602"/>
    </row>
    <row r="5" spans="1:11" ht="12.6" customHeight="1" x14ac:dyDescent="0.2">
      <c r="A5" s="552"/>
      <c r="B5" s="582"/>
      <c r="C5" s="429" t="s">
        <v>631</v>
      </c>
      <c r="D5" s="433" t="s">
        <v>633</v>
      </c>
      <c r="E5" s="430" t="s">
        <v>634</v>
      </c>
      <c r="F5" s="432" t="s">
        <v>631</v>
      </c>
      <c r="G5" s="433" t="s">
        <v>633</v>
      </c>
      <c r="H5" s="430" t="s">
        <v>634</v>
      </c>
      <c r="I5" s="432" t="s">
        <v>631</v>
      </c>
      <c r="J5" s="432" t="s">
        <v>633</v>
      </c>
      <c r="K5" s="430" t="s">
        <v>632</v>
      </c>
    </row>
    <row r="6" spans="1:11" x14ac:dyDescent="0.25">
      <c r="A6" s="234">
        <f>'B) D RI'!A7</f>
        <v>5401</v>
      </c>
      <c r="B6" s="235" t="str">
        <f>'B) D RI'!B7</f>
        <v>Aigle</v>
      </c>
      <c r="C6" s="390">
        <v>4440521.1435461491</v>
      </c>
      <c r="D6" s="332">
        <f>+Synthèse!F6</f>
        <v>5461045.809481631</v>
      </c>
      <c r="E6" s="246">
        <f>D6-C6</f>
        <v>1020524.6659354819</v>
      </c>
      <c r="F6" s="246">
        <v>-5336776.266209472</v>
      </c>
      <c r="G6" s="332">
        <f>+Synthèse!G6+Synthèse!H6+Synthèse!I6+Synthèse!J6+Synthèse!K6</f>
        <v>-4621041.8116717245</v>
      </c>
      <c r="H6" s="246">
        <f>G6-F6</f>
        <v>715734.45453774743</v>
      </c>
      <c r="I6" s="246">
        <v>345991.04622443515</v>
      </c>
      <c r="J6" s="332">
        <f>+'M) Police'!O6</f>
        <v>351083.56484556745</v>
      </c>
      <c r="K6" s="246">
        <f>J6-I6</f>
        <v>5092.5186211323016</v>
      </c>
    </row>
    <row r="7" spans="1:11" x14ac:dyDescent="0.25">
      <c r="A7" s="234">
        <f>'B) D RI'!A8</f>
        <v>5402</v>
      </c>
      <c r="B7" s="235" t="str">
        <f>'B) D RI'!B8</f>
        <v>Bex</v>
      </c>
      <c r="C7" s="390">
        <v>3025899.8811206319</v>
      </c>
      <c r="D7" s="332">
        <f>+Synthèse!F7</f>
        <v>3076452.4027602822</v>
      </c>
      <c r="E7" s="246">
        <f t="shared" ref="E7:E70" si="0">D7-C7</f>
        <v>50552.521639650222</v>
      </c>
      <c r="F7" s="246">
        <v>-4816985.5873405635</v>
      </c>
      <c r="G7" s="332">
        <f>+Synthèse!G7+Synthèse!H7+Synthèse!I7+Synthèse!J7+Synthèse!K7</f>
        <v>-5021464.5424565077</v>
      </c>
      <c r="H7" s="246">
        <f t="shared" ref="H7:H70" si="1">G7-F7</f>
        <v>-204478.95511594415</v>
      </c>
      <c r="I7" s="246">
        <v>221006.69984900032</v>
      </c>
      <c r="J7" s="332">
        <f>+'M) Police'!O7</f>
        <v>215894.7396110773</v>
      </c>
      <c r="K7" s="246">
        <f t="shared" ref="K7:K70" si="2">J7-I7</f>
        <v>-5111.96023792302</v>
      </c>
    </row>
    <row r="8" spans="1:11" x14ac:dyDescent="0.25">
      <c r="A8" s="234">
        <f>'B) D RI'!A9</f>
        <v>5403</v>
      </c>
      <c r="B8" s="235" t="str">
        <f>'B) D RI'!B9</f>
        <v>Chessel</v>
      </c>
      <c r="C8" s="390">
        <v>138943.90732521223</v>
      </c>
      <c r="D8" s="332">
        <f>+Synthèse!F8</f>
        <v>148916.83921541114</v>
      </c>
      <c r="E8" s="246">
        <f t="shared" si="0"/>
        <v>9972.9318901989027</v>
      </c>
      <c r="F8" s="246">
        <v>-111888.31493761885</v>
      </c>
      <c r="G8" s="332">
        <f>+Synthèse!G8+Synthèse!H8+Synthèse!I8+Synthèse!J8+Synthèse!K8</f>
        <v>-122858.81413372699</v>
      </c>
      <c r="H8" s="246">
        <f t="shared" si="1"/>
        <v>-10970.49919610814</v>
      </c>
      <c r="I8" s="246">
        <v>24995.456774707811</v>
      </c>
      <c r="J8" s="332">
        <f>+'M) Police'!O8</f>
        <v>26028.877575969553</v>
      </c>
      <c r="K8" s="246">
        <f t="shared" si="2"/>
        <v>1033.4208012617419</v>
      </c>
    </row>
    <row r="9" spans="1:11" x14ac:dyDescent="0.25">
      <c r="A9" s="234">
        <f>'B) D RI'!A10</f>
        <v>5404</v>
      </c>
      <c r="B9" s="235" t="str">
        <f>'B) D RI'!B10</f>
        <v>Corbeyrier</v>
      </c>
      <c r="C9" s="390">
        <v>222625.02159776547</v>
      </c>
      <c r="D9" s="332">
        <f>+Synthèse!F9</f>
        <v>984086.94595979468</v>
      </c>
      <c r="E9" s="246">
        <f t="shared" si="0"/>
        <v>761461.92436202918</v>
      </c>
      <c r="F9" s="246">
        <v>-286871.11563209281</v>
      </c>
      <c r="G9" s="332">
        <f>+Synthèse!G9+Synthèse!H9+Synthèse!I9+Synthèse!J9+Synthèse!K9</f>
        <v>493549.73298607441</v>
      </c>
      <c r="H9" s="246">
        <f t="shared" si="1"/>
        <v>780420.84861816722</v>
      </c>
      <c r="I9" s="246">
        <v>27425.737280394278</v>
      </c>
      <c r="J9" s="332">
        <f>+'M) Police'!O9</f>
        <v>81214.150457995842</v>
      </c>
      <c r="K9" s="246">
        <f t="shared" si="2"/>
        <v>53788.413177601564</v>
      </c>
    </row>
    <row r="10" spans="1:11" x14ac:dyDescent="0.25">
      <c r="A10" s="234">
        <f>'B) D RI'!A11</f>
        <v>5405</v>
      </c>
      <c r="B10" s="235" t="str">
        <f>'B) D RI'!B11</f>
        <v>Gryon</v>
      </c>
      <c r="C10" s="390">
        <v>1396957.1373063545</v>
      </c>
      <c r="D10" s="332">
        <f>+Synthèse!F10</f>
        <v>1254853.7123839322</v>
      </c>
      <c r="E10" s="246">
        <f t="shared" si="0"/>
        <v>-142103.42492242227</v>
      </c>
      <c r="F10" s="246">
        <v>442688</v>
      </c>
      <c r="G10" s="332">
        <f>+Synthèse!G10+Synthèse!H10+Synthèse!I10+Synthèse!J10+Synthèse!K10</f>
        <v>577310.95671770559</v>
      </c>
      <c r="H10" s="246">
        <f t="shared" si="1"/>
        <v>134622.95671770559</v>
      </c>
      <c r="I10" s="246">
        <v>197880.06434605984</v>
      </c>
      <c r="J10" s="332">
        <f>+'M) Police'!O10</f>
        <v>199155.65680112981</v>
      </c>
      <c r="K10" s="246">
        <f t="shared" si="2"/>
        <v>1275.592455069971</v>
      </c>
    </row>
    <row r="11" spans="1:11" x14ac:dyDescent="0.25">
      <c r="A11" s="234">
        <f>'B) D RI'!A12</f>
        <v>5406</v>
      </c>
      <c r="B11" s="235" t="str">
        <f>'B) D RI'!B12</f>
        <v>Lavey-Morcles</v>
      </c>
      <c r="C11" s="390">
        <v>347821.40268950962</v>
      </c>
      <c r="D11" s="332">
        <f>+Synthèse!F11</f>
        <v>310298.45489932544</v>
      </c>
      <c r="E11" s="246">
        <f t="shared" si="0"/>
        <v>-37522.947790184175</v>
      </c>
      <c r="F11" s="246">
        <v>-205595.72172126267</v>
      </c>
      <c r="G11" s="332">
        <f>+Synthèse!G11+Synthèse!H11+Synthèse!I11+Synthèse!J11+Synthèse!K11</f>
        <v>-197675.50057457952</v>
      </c>
      <c r="H11" s="246">
        <f t="shared" si="1"/>
        <v>7920.2211466831504</v>
      </c>
      <c r="I11" s="246">
        <v>60502.48814978428</v>
      </c>
      <c r="J11" s="332">
        <f>+'M) Police'!O11</f>
        <v>62450.433584685066</v>
      </c>
      <c r="K11" s="246">
        <f t="shared" si="2"/>
        <v>1947.9454349007865</v>
      </c>
    </row>
    <row r="12" spans="1:11" x14ac:dyDescent="0.25">
      <c r="A12" s="234">
        <f>'B) D RI'!A13</f>
        <v>5407</v>
      </c>
      <c r="B12" s="235" t="str">
        <f>'B) D RI'!B13</f>
        <v>Leysin</v>
      </c>
      <c r="C12" s="390">
        <v>1986054.966392369</v>
      </c>
      <c r="D12" s="332">
        <f>+Synthèse!F12</f>
        <v>1477606.7843782261</v>
      </c>
      <c r="E12" s="246">
        <f t="shared" si="0"/>
        <v>-508448.18201414286</v>
      </c>
      <c r="F12" s="246">
        <v>-3402614.7489335244</v>
      </c>
      <c r="G12" s="332">
        <f>+Synthèse!G12+Synthèse!H12+Synthèse!I12+Synthèse!J12+Synthèse!K12</f>
        <v>-4077132.4449334461</v>
      </c>
      <c r="H12" s="246">
        <f t="shared" si="1"/>
        <v>-674517.69599992177</v>
      </c>
      <c r="I12" s="246">
        <v>312678.65055144741</v>
      </c>
      <c r="J12" s="332">
        <f>+'M) Police'!O12</f>
        <v>249465.21729424151</v>
      </c>
      <c r="K12" s="246">
        <f t="shared" si="2"/>
        <v>-63213.433257205907</v>
      </c>
    </row>
    <row r="13" spans="1:11" x14ac:dyDescent="0.25">
      <c r="A13" s="234">
        <f>'B) D RI'!A14</f>
        <v>5408</v>
      </c>
      <c r="B13" s="235" t="str">
        <f>'B) D RI'!B14</f>
        <v>Noville</v>
      </c>
      <c r="C13" s="390">
        <v>512311.31256617577</v>
      </c>
      <c r="D13" s="332">
        <f>+Synthèse!F13</f>
        <v>632898.81813312578</v>
      </c>
      <c r="E13" s="246">
        <f t="shared" si="0"/>
        <v>120587.50556695001</v>
      </c>
      <c r="F13" s="246">
        <v>-136717.11121044453</v>
      </c>
      <c r="G13" s="332">
        <f>+Synthèse!G13+Synthèse!H13+Synthèse!I13+Synthèse!J13+Synthèse!K13</f>
        <v>69445.108192006519</v>
      </c>
      <c r="H13" s="246">
        <f t="shared" si="1"/>
        <v>206162.21940245107</v>
      </c>
      <c r="I13" s="246">
        <v>89382.657913168412</v>
      </c>
      <c r="J13" s="332">
        <f>+'M) Police'!O13</f>
        <v>104209.00065182958</v>
      </c>
      <c r="K13" s="246">
        <f t="shared" si="2"/>
        <v>14826.342738661173</v>
      </c>
    </row>
    <row r="14" spans="1:11" x14ac:dyDescent="0.25">
      <c r="A14" s="234">
        <f>'B) D RI'!A15</f>
        <v>5409</v>
      </c>
      <c r="B14" s="235" t="str">
        <f>'B) D RI'!B15</f>
        <v>Ollon</v>
      </c>
      <c r="C14" s="390">
        <v>6998026.0375354476</v>
      </c>
      <c r="D14" s="332">
        <f>+Synthèse!F14</f>
        <v>7319120.9057379616</v>
      </c>
      <c r="E14" s="246">
        <f t="shared" si="0"/>
        <v>321094.86820251402</v>
      </c>
      <c r="F14" s="246">
        <v>2059799</v>
      </c>
      <c r="G14" s="332">
        <f>+Synthèse!G14+Synthèse!H14+Synthèse!I14+Synthèse!J14+Synthèse!K14</f>
        <v>1963571.9090033395</v>
      </c>
      <c r="H14" s="246">
        <f t="shared" si="1"/>
        <v>-96227.090996660525</v>
      </c>
      <c r="I14" s="246">
        <v>503523.05090833682</v>
      </c>
      <c r="J14" s="332">
        <f>+'M) Police'!O14</f>
        <v>468660.934128522</v>
      </c>
      <c r="K14" s="246">
        <f t="shared" si="2"/>
        <v>-34862.116779814824</v>
      </c>
    </row>
    <row r="15" spans="1:11" x14ac:dyDescent="0.25">
      <c r="A15" s="234">
        <f>'B) D RI'!A16</f>
        <v>5410</v>
      </c>
      <c r="B15" s="235" t="str">
        <f>'B) D RI'!B16</f>
        <v>Ormont-Dessous</v>
      </c>
      <c r="C15" s="390">
        <v>594135.29369914043</v>
      </c>
      <c r="D15" s="332">
        <f>+Synthèse!F15</f>
        <v>652669.197608324</v>
      </c>
      <c r="E15" s="246">
        <f t="shared" si="0"/>
        <v>58533.903909183573</v>
      </c>
      <c r="F15" s="246">
        <v>-718135.35146816354</v>
      </c>
      <c r="G15" s="332">
        <f>+Synthèse!G15+Synthèse!H15+Synthèse!I15+Synthèse!J15+Synthèse!K15</f>
        <v>-544463.9220769112</v>
      </c>
      <c r="H15" s="246">
        <f t="shared" si="1"/>
        <v>173671.42939125234</v>
      </c>
      <c r="I15" s="246">
        <v>97491.415765783895</v>
      </c>
      <c r="J15" s="332">
        <f>+'M) Police'!O15</f>
        <v>110364.96577260442</v>
      </c>
      <c r="K15" s="246">
        <f t="shared" si="2"/>
        <v>12873.550006820529</v>
      </c>
    </row>
    <row r="16" spans="1:11" x14ac:dyDescent="0.25">
      <c r="A16" s="234">
        <f>'B) D RI'!A17</f>
        <v>5411</v>
      </c>
      <c r="B16" s="235" t="str">
        <f>'B) D RI'!B17</f>
        <v>Ormont-Dessus</v>
      </c>
      <c r="C16" s="390">
        <v>1341369.5469881108</v>
      </c>
      <c r="D16" s="332">
        <f>+Synthèse!F16</f>
        <v>1321221.6174278462</v>
      </c>
      <c r="E16" s="246">
        <f t="shared" si="0"/>
        <v>-20147.929560264573</v>
      </c>
      <c r="F16" s="246">
        <v>58683</v>
      </c>
      <c r="G16" s="332">
        <f>+Synthèse!G16+Synthèse!H16+Synthèse!I16+Synthèse!J16+Synthèse!K16</f>
        <v>219199.58914328972</v>
      </c>
      <c r="H16" s="246">
        <f t="shared" si="1"/>
        <v>160516.58914328972</v>
      </c>
      <c r="I16" s="246">
        <v>207573.00758167455</v>
      </c>
      <c r="J16" s="332">
        <f>+'M) Police'!O16</f>
        <v>222160.58749464544</v>
      </c>
      <c r="K16" s="246">
        <f t="shared" si="2"/>
        <v>14587.57991297089</v>
      </c>
    </row>
    <row r="17" spans="1:11" x14ac:dyDescent="0.25">
      <c r="A17" s="234">
        <f>'B) D RI'!A18</f>
        <v>5412</v>
      </c>
      <c r="B17" s="235" t="str">
        <f>'B) D RI'!B18</f>
        <v>Rennaz</v>
      </c>
      <c r="C17" s="390">
        <v>579628.97377734375</v>
      </c>
      <c r="D17" s="332">
        <f>+Synthèse!F17</f>
        <v>488583.24623196508</v>
      </c>
      <c r="E17" s="246">
        <f t="shared" si="0"/>
        <v>-91045.727545378671</v>
      </c>
      <c r="F17" s="246">
        <v>158825.69728180746</v>
      </c>
      <c r="G17" s="332">
        <f>+Synthèse!G17+Synthèse!H17+Synthèse!I17+Synthèse!J17+Synthèse!K17</f>
        <v>107361.60780734423</v>
      </c>
      <c r="H17" s="246">
        <f t="shared" si="1"/>
        <v>-51464.089474463224</v>
      </c>
      <c r="I17" s="246">
        <v>76904.671048143689</v>
      </c>
      <c r="J17" s="332">
        <f>+'M) Police'!O17</f>
        <v>79507.835062391852</v>
      </c>
      <c r="K17" s="246">
        <f t="shared" si="2"/>
        <v>2603.1640142481629</v>
      </c>
    </row>
    <row r="18" spans="1:11" x14ac:dyDescent="0.25">
      <c r="A18" s="234">
        <f>'B) D RI'!A19</f>
        <v>5413</v>
      </c>
      <c r="B18" s="235" t="str">
        <f>'B) D RI'!B19</f>
        <v>Roche</v>
      </c>
      <c r="C18" s="390">
        <v>734599.73219872103</v>
      </c>
      <c r="D18" s="332">
        <f>+Synthèse!F18</f>
        <v>748418.471832813</v>
      </c>
      <c r="E18" s="246">
        <f t="shared" si="0"/>
        <v>13818.739634091966</v>
      </c>
      <c r="F18" s="246">
        <v>-176370.23981076607</v>
      </c>
      <c r="G18" s="332">
        <f>+Synthèse!G18+Synthèse!H18+Synthèse!I18+Synthèse!J18+Synthèse!K18</f>
        <v>-164234.93573165871</v>
      </c>
      <c r="H18" s="246">
        <f t="shared" si="1"/>
        <v>12135.304079107358</v>
      </c>
      <c r="I18" s="246">
        <v>111776.5378087182</v>
      </c>
      <c r="J18" s="332">
        <f>+'M) Police'!O18</f>
        <v>121881.37081298527</v>
      </c>
      <c r="K18" s="246">
        <f t="shared" si="2"/>
        <v>10104.833004267071</v>
      </c>
    </row>
    <row r="19" spans="1:11" x14ac:dyDescent="0.25">
      <c r="A19" s="234">
        <f>'B) D RI'!A20</f>
        <v>5414</v>
      </c>
      <c r="B19" s="235" t="str">
        <f>'B) D RI'!B20</f>
        <v>Villeneuve</v>
      </c>
      <c r="C19" s="390">
        <v>3580698.8634700216</v>
      </c>
      <c r="D19" s="332">
        <f>+Synthèse!F19</f>
        <v>3066231.672072202</v>
      </c>
      <c r="E19" s="246">
        <f t="shared" si="0"/>
        <v>-514467.19139781967</v>
      </c>
      <c r="F19" s="246">
        <v>-823719.58456570096</v>
      </c>
      <c r="G19" s="332">
        <f>+Synthèse!G19+Synthèse!H19+Synthèse!I19+Synthèse!J19+Synthèse!K19</f>
        <v>-2096725.0239189286</v>
      </c>
      <c r="H19" s="246">
        <f t="shared" si="1"/>
        <v>-1273005.4393532276</v>
      </c>
      <c r="I19" s="246">
        <v>567421.80537908257</v>
      </c>
      <c r="J19" s="332">
        <f>+'M) Police'!O19</f>
        <v>490940.40617705457</v>
      </c>
      <c r="K19" s="246">
        <f t="shared" si="2"/>
        <v>-76481.399202027998</v>
      </c>
    </row>
    <row r="20" spans="1:11" x14ac:dyDescent="0.25">
      <c r="A20" s="234">
        <f>'B) D RI'!A21</f>
        <v>5415</v>
      </c>
      <c r="B20" s="235" t="str">
        <f>'B) D RI'!B21</f>
        <v>Yvorne</v>
      </c>
      <c r="C20" s="390">
        <v>754084.6761665754</v>
      </c>
      <c r="D20" s="332">
        <f>+Synthèse!F20</f>
        <v>645972.77497196989</v>
      </c>
      <c r="E20" s="246">
        <f t="shared" si="0"/>
        <v>-108111.90119460551</v>
      </c>
      <c r="F20" s="246">
        <v>157665.67777046515</v>
      </c>
      <c r="G20" s="332">
        <f>+Synthèse!G20+Synthèse!H20+Synthèse!I20+Synthèse!J20+Synthèse!K20</f>
        <v>248473.16188609734</v>
      </c>
      <c r="H20" s="246">
        <f t="shared" si="1"/>
        <v>90807.484115632193</v>
      </c>
      <c r="I20" s="246">
        <v>128181.72308252612</v>
      </c>
      <c r="J20" s="332">
        <f>+'M) Police'!O20</f>
        <v>110803.22086346793</v>
      </c>
      <c r="K20" s="246">
        <f t="shared" si="2"/>
        <v>-17378.502219058195</v>
      </c>
    </row>
    <row r="21" spans="1:11" x14ac:dyDescent="0.25">
      <c r="A21" s="234">
        <f>'B) D RI'!A22</f>
        <v>5421</v>
      </c>
      <c r="B21" s="235" t="str">
        <f>'B) D RI'!B22</f>
        <v>Apples</v>
      </c>
      <c r="C21" s="390">
        <v>872356.95204905374</v>
      </c>
      <c r="D21" s="332">
        <f>+Synthèse!F21</f>
        <v>896089.69796731276</v>
      </c>
      <c r="E21" s="246">
        <f t="shared" si="0"/>
        <v>23732.745918259025</v>
      </c>
      <c r="F21" s="246">
        <v>367026.86134767218</v>
      </c>
      <c r="G21" s="332">
        <f>+Synthèse!G21+Synthèse!H21+Synthèse!I21+Synthèse!J21+Synthèse!K21</f>
        <v>514752.57028913003</v>
      </c>
      <c r="H21" s="246">
        <f t="shared" si="1"/>
        <v>147725.70894145785</v>
      </c>
      <c r="I21" s="246">
        <v>157693.23915767617</v>
      </c>
      <c r="J21" s="332">
        <f>+'M) Police'!O21</f>
        <v>186161.95348188299</v>
      </c>
      <c r="K21" s="246">
        <f t="shared" si="2"/>
        <v>28468.714324206812</v>
      </c>
    </row>
    <row r="22" spans="1:11" x14ac:dyDescent="0.25">
      <c r="A22" s="234">
        <f>'B) D RI'!A23</f>
        <v>5422</v>
      </c>
      <c r="B22" s="235" t="str">
        <f>'B) D RI'!B23</f>
        <v>Aubonne</v>
      </c>
      <c r="C22" s="390">
        <v>6300165.7399612498</v>
      </c>
      <c r="D22" s="332">
        <f>+Synthèse!F22</f>
        <v>4383390.7289111996</v>
      </c>
      <c r="E22" s="246">
        <f t="shared" si="0"/>
        <v>-1916775.0110500501</v>
      </c>
      <c r="F22" s="246">
        <v>3262632</v>
      </c>
      <c r="G22" s="332">
        <f>+Synthèse!G22+Synthèse!H22+Synthèse!I22+Synthèse!J22+Synthèse!K22</f>
        <v>2878012.0177806532</v>
      </c>
      <c r="H22" s="246">
        <f t="shared" si="1"/>
        <v>-384619.9822193468</v>
      </c>
      <c r="I22" s="246">
        <v>559433.2852851419</v>
      </c>
      <c r="J22" s="332">
        <f>+'M) Police'!O22</f>
        <v>548757.7401093574</v>
      </c>
      <c r="K22" s="246">
        <f t="shared" si="2"/>
        <v>-10675.5451757845</v>
      </c>
    </row>
    <row r="23" spans="1:11" x14ac:dyDescent="0.25">
      <c r="A23" s="234">
        <f>'B) D RI'!A24</f>
        <v>5423</v>
      </c>
      <c r="B23" s="235" t="str">
        <f>'B) D RI'!B24</f>
        <v>Ballens</v>
      </c>
      <c r="C23" s="390">
        <v>254934.99562344252</v>
      </c>
      <c r="D23" s="332">
        <f>+Synthèse!F23</f>
        <v>235476.04804394406</v>
      </c>
      <c r="E23" s="246">
        <f t="shared" si="0"/>
        <v>-19458.947579498461</v>
      </c>
      <c r="F23" s="246">
        <v>77201.202884098544</v>
      </c>
      <c r="G23" s="332">
        <f>+Synthèse!G23+Synthèse!H23+Synthèse!I23+Synthèse!J23+Synthèse!K23</f>
        <v>43900.627243397859</v>
      </c>
      <c r="H23" s="246">
        <f t="shared" si="1"/>
        <v>-33300.575640700685</v>
      </c>
      <c r="I23" s="246">
        <v>51805.469936686473</v>
      </c>
      <c r="J23" s="332">
        <f>+'M) Police'!O23</f>
        <v>48393.648939211103</v>
      </c>
      <c r="K23" s="246">
        <f t="shared" si="2"/>
        <v>-3411.8209974753699</v>
      </c>
    </row>
    <row r="24" spans="1:11" x14ac:dyDescent="0.25">
      <c r="A24" s="234">
        <f>'B) D RI'!A25</f>
        <v>5424</v>
      </c>
      <c r="B24" s="235" t="str">
        <f>'B) D RI'!B25</f>
        <v>Berolle</v>
      </c>
      <c r="C24" s="390">
        <v>144838.5885931064</v>
      </c>
      <c r="D24" s="332">
        <f>+Synthèse!F24</f>
        <v>156474.83332575159</v>
      </c>
      <c r="E24" s="246">
        <f t="shared" si="0"/>
        <v>11636.244732645195</v>
      </c>
      <c r="F24" s="246">
        <v>17934.606925831453</v>
      </c>
      <c r="G24" s="332">
        <f>+Synthèse!G24+Synthèse!H24+Synthèse!I24+Synthèse!J24+Synthèse!K24</f>
        <v>11833.635537385017</v>
      </c>
      <c r="H24" s="246">
        <f t="shared" si="1"/>
        <v>-6100.9713884464363</v>
      </c>
      <c r="I24" s="246">
        <v>30255.512760067417</v>
      </c>
      <c r="J24" s="332">
        <f>+'M) Police'!O24</f>
        <v>28428.322822102404</v>
      </c>
      <c r="K24" s="246">
        <f t="shared" si="2"/>
        <v>-1827.1899379650131</v>
      </c>
    </row>
    <row r="25" spans="1:11" x14ac:dyDescent="0.25">
      <c r="A25" s="234">
        <f>'B) D RI'!A26</f>
        <v>5425</v>
      </c>
      <c r="B25" s="235" t="str">
        <f>'B) D RI'!B26</f>
        <v>Bière</v>
      </c>
      <c r="C25" s="390">
        <v>612676.5586655701</v>
      </c>
      <c r="D25" s="332">
        <f>+Synthèse!F25</f>
        <v>765374.40565724554</v>
      </c>
      <c r="E25" s="246">
        <f t="shared" si="0"/>
        <v>152697.84699167544</v>
      </c>
      <c r="F25" s="246">
        <v>-601785.38660484704</v>
      </c>
      <c r="G25" s="332">
        <f>+Synthèse!G25+Synthèse!H25+Synthèse!I25+Synthèse!J25+Synthèse!K25</f>
        <v>-558554.18631714326</v>
      </c>
      <c r="H25" s="246">
        <f t="shared" si="1"/>
        <v>43231.200287703774</v>
      </c>
      <c r="I25" s="246">
        <v>118835.66456416567</v>
      </c>
      <c r="J25" s="332">
        <f>+'M) Police'!O25</f>
        <v>123354.99380876537</v>
      </c>
      <c r="K25" s="246">
        <f t="shared" si="2"/>
        <v>4519.3292445997067</v>
      </c>
    </row>
    <row r="26" spans="1:11" x14ac:dyDescent="0.25">
      <c r="A26" s="234">
        <f>'B) D RI'!A27</f>
        <v>5426</v>
      </c>
      <c r="B26" s="235" t="str">
        <f>'B) D RI'!B27</f>
        <v>Bougy-Villars</v>
      </c>
      <c r="C26" s="390">
        <v>1658408.3733189474</v>
      </c>
      <c r="D26" s="332">
        <f>+Synthèse!F26</f>
        <v>3787280.8476168825</v>
      </c>
      <c r="E26" s="246">
        <f t="shared" si="0"/>
        <v>2128872.4742979351</v>
      </c>
      <c r="F26" s="246">
        <v>683005</v>
      </c>
      <c r="G26" s="332">
        <f>+Synthèse!G26+Synthèse!H26+Synthèse!I26+Synthèse!J26+Synthèse!K26</f>
        <v>-1397899.6015802603</v>
      </c>
      <c r="H26" s="246">
        <f t="shared" si="1"/>
        <v>-2080904.6015802603</v>
      </c>
      <c r="I26" s="246">
        <v>91049.200250020978</v>
      </c>
      <c r="J26" s="332">
        <f>+'M) Police'!O26</f>
        <v>86333.780957682146</v>
      </c>
      <c r="K26" s="246">
        <f t="shared" si="2"/>
        <v>-4715.4192923388327</v>
      </c>
    </row>
    <row r="27" spans="1:11" x14ac:dyDescent="0.25">
      <c r="A27" s="234">
        <f>'B) D RI'!A28</f>
        <v>5427</v>
      </c>
      <c r="B27" s="235" t="str">
        <f>'B) D RI'!B28</f>
        <v>Féchy</v>
      </c>
      <c r="C27" s="390">
        <v>1870118.2329741861</v>
      </c>
      <c r="D27" s="332">
        <f>+Synthèse!F27</f>
        <v>1554818.4716064897</v>
      </c>
      <c r="E27" s="246">
        <f t="shared" si="0"/>
        <v>-315299.76136769634</v>
      </c>
      <c r="F27" s="246">
        <v>1092257</v>
      </c>
      <c r="G27" s="332">
        <f>+Synthèse!G27+Synthèse!H27+Synthèse!I27+Synthèse!J27+Synthèse!K27</f>
        <v>1049743.4691397685</v>
      </c>
      <c r="H27" s="246">
        <f t="shared" si="1"/>
        <v>-42513.530860231491</v>
      </c>
      <c r="I27" s="246">
        <v>159295.93853855826</v>
      </c>
      <c r="J27" s="332">
        <f>+'M) Police'!O27</f>
        <v>155637.21434292535</v>
      </c>
      <c r="K27" s="246">
        <f t="shared" si="2"/>
        <v>-3658.724195632909</v>
      </c>
    </row>
    <row r="28" spans="1:11" x14ac:dyDescent="0.25">
      <c r="A28" s="234">
        <f>'B) D RI'!A29</f>
        <v>5428</v>
      </c>
      <c r="B28" s="235" t="str">
        <f>'B) D RI'!B29</f>
        <v>Gimel</v>
      </c>
      <c r="C28" s="390">
        <v>1002744.3583812624</v>
      </c>
      <c r="D28" s="332">
        <f>+Synthèse!F28</f>
        <v>1165431.2310440191</v>
      </c>
      <c r="E28" s="246">
        <f t="shared" si="0"/>
        <v>162686.87266275671</v>
      </c>
      <c r="F28" s="246">
        <v>-294763.76863143092</v>
      </c>
      <c r="G28" s="332">
        <f>+Synthèse!G28+Synthèse!H28+Synthèse!I28+Synthèse!J28+Synthèse!K28</f>
        <v>-206225.25705813372</v>
      </c>
      <c r="H28" s="246">
        <f t="shared" si="1"/>
        <v>88538.511573297204</v>
      </c>
      <c r="I28" s="246">
        <v>173496.16578992415</v>
      </c>
      <c r="J28" s="332">
        <f>+'M) Police'!O28</f>
        <v>181184.7497878338</v>
      </c>
      <c r="K28" s="246">
        <f t="shared" si="2"/>
        <v>7688.583997909649</v>
      </c>
    </row>
    <row r="29" spans="1:11" x14ac:dyDescent="0.25">
      <c r="A29" s="234">
        <f>'B) D RI'!A30</f>
        <v>5429</v>
      </c>
      <c r="B29" s="235" t="str">
        <f>'B) D RI'!B30</f>
        <v>Longirod</v>
      </c>
      <c r="C29" s="390">
        <v>262562.31872078881</v>
      </c>
      <c r="D29" s="332">
        <f>+Synthèse!F29</f>
        <v>262000.46521027939</v>
      </c>
      <c r="E29" s="246">
        <f t="shared" si="0"/>
        <v>-561.85351050941972</v>
      </c>
      <c r="F29" s="246">
        <v>30785.896074296965</v>
      </c>
      <c r="G29" s="332">
        <f>+Synthèse!G29+Synthèse!H29+Synthèse!I29+Synthèse!J29+Synthèse!K29</f>
        <v>-137931.86973785248</v>
      </c>
      <c r="H29" s="246">
        <f t="shared" si="1"/>
        <v>-168717.76581214945</v>
      </c>
      <c r="I29" s="246">
        <v>47029.665123739906</v>
      </c>
      <c r="J29" s="332">
        <f>+'M) Police'!O29</f>
        <v>37718.129623098066</v>
      </c>
      <c r="K29" s="246">
        <f t="shared" si="2"/>
        <v>-9311.5355006418395</v>
      </c>
    </row>
    <row r="30" spans="1:11" x14ac:dyDescent="0.25">
      <c r="A30" s="234">
        <f>'B) D RI'!A31</f>
        <v>5430</v>
      </c>
      <c r="B30" s="235" t="str">
        <f>'B) D RI'!B31</f>
        <v>Marchissy</v>
      </c>
      <c r="C30" s="390">
        <v>234434.20245942898</v>
      </c>
      <c r="D30" s="332">
        <f>+Synthèse!F30</f>
        <v>202647.17670431596</v>
      </c>
      <c r="E30" s="246">
        <f t="shared" si="0"/>
        <v>-31787.02575511302</v>
      </c>
      <c r="F30" s="246">
        <v>-243246.28752248292</v>
      </c>
      <c r="G30" s="332">
        <f>+Synthèse!G30+Synthèse!H30+Synthèse!I30+Synthèse!J30+Synthèse!K30</f>
        <v>-183361.05349792063</v>
      </c>
      <c r="H30" s="246">
        <f t="shared" si="1"/>
        <v>59885.234024562291</v>
      </c>
      <c r="I30" s="246">
        <v>41905.595952195246</v>
      </c>
      <c r="J30" s="332">
        <f>+'M) Police'!O30</f>
        <v>32649.545305862579</v>
      </c>
      <c r="K30" s="246">
        <f t="shared" si="2"/>
        <v>-9256.0506463326674</v>
      </c>
    </row>
    <row r="31" spans="1:11" x14ac:dyDescent="0.25">
      <c r="A31" s="234">
        <f>'B) D RI'!A32</f>
        <v>5431</v>
      </c>
      <c r="B31" s="235" t="str">
        <f>'B) D RI'!B32</f>
        <v>Mollens</v>
      </c>
      <c r="C31" s="390">
        <v>140073.74547733818</v>
      </c>
      <c r="D31" s="332">
        <f>+Synthèse!F31</f>
        <v>189219.73880831711</v>
      </c>
      <c r="E31" s="246">
        <f t="shared" si="0"/>
        <v>49145.993330978934</v>
      </c>
      <c r="F31" s="246">
        <v>8137.0683446249022</v>
      </c>
      <c r="G31" s="332">
        <f>+Synthèse!G31+Synthèse!H31+Synthèse!I31+Synthèse!J31+Synthèse!K31</f>
        <v>122031.62401112962</v>
      </c>
      <c r="H31" s="246">
        <f t="shared" si="1"/>
        <v>113894.55566650472</v>
      </c>
      <c r="I31" s="246">
        <v>25644.728844533875</v>
      </c>
      <c r="J31" s="332">
        <f>+'M) Police'!O31</f>
        <v>35445.573373199062</v>
      </c>
      <c r="K31" s="246">
        <f t="shared" si="2"/>
        <v>9800.8445286651877</v>
      </c>
    </row>
    <row r="32" spans="1:11" x14ac:dyDescent="0.25">
      <c r="A32" s="234">
        <f>'B) D RI'!A33</f>
        <v>5432</v>
      </c>
      <c r="B32" s="235" t="str">
        <f>'B) D RI'!B33</f>
        <v>Montherod</v>
      </c>
      <c r="C32" s="390">
        <v>334188.72908448591</v>
      </c>
      <c r="D32" s="332">
        <f>+Synthèse!F32</f>
        <v>318794.43177137681</v>
      </c>
      <c r="E32" s="246">
        <f t="shared" si="0"/>
        <v>-15394.297313109098</v>
      </c>
      <c r="F32" s="246">
        <v>168203.91932957942</v>
      </c>
      <c r="G32" s="332">
        <f>+Synthèse!G32+Synthèse!H32+Synthèse!I32+Synthèse!J32+Synthèse!K32</f>
        <v>138874.62551812487</v>
      </c>
      <c r="H32" s="246">
        <f t="shared" si="1"/>
        <v>-29329.293811454554</v>
      </c>
      <c r="I32" s="246">
        <v>57265.950015517374</v>
      </c>
      <c r="J32" s="332">
        <f>+'M) Police'!O32</f>
        <v>55666.729750057522</v>
      </c>
      <c r="K32" s="246">
        <f t="shared" si="2"/>
        <v>-1599.2202654598514</v>
      </c>
    </row>
    <row r="33" spans="1:11" x14ac:dyDescent="0.25">
      <c r="A33" s="234">
        <f>'B) D RI'!A34</f>
        <v>5434</v>
      </c>
      <c r="B33" s="235" t="str">
        <f>'B) D RI'!B34</f>
        <v>Saint-George</v>
      </c>
      <c r="C33" s="390">
        <v>715047.61096866324</v>
      </c>
      <c r="D33" s="332">
        <f>+Synthèse!F33</f>
        <v>630368.1586157016</v>
      </c>
      <c r="E33" s="246">
        <f t="shared" si="0"/>
        <v>-84679.452352961642</v>
      </c>
      <c r="F33" s="246">
        <v>377346.00322455028</v>
      </c>
      <c r="G33" s="332">
        <f>+Synthèse!G33+Synthèse!H33+Synthèse!I33+Synthèse!J33+Synthèse!K33</f>
        <v>351540.75964588573</v>
      </c>
      <c r="H33" s="246">
        <f t="shared" si="1"/>
        <v>-25805.243578664551</v>
      </c>
      <c r="I33" s="246">
        <v>112078.1311174642</v>
      </c>
      <c r="J33" s="332">
        <f>+'M) Police'!O33</f>
        <v>111894.84367163663</v>
      </c>
      <c r="K33" s="246">
        <f t="shared" si="2"/>
        <v>-183.28744582757645</v>
      </c>
    </row>
    <row r="34" spans="1:11" x14ac:dyDescent="0.25">
      <c r="A34" s="234">
        <f>'B) D RI'!A35</f>
        <v>5435</v>
      </c>
      <c r="B34" s="235" t="str">
        <f>'B) D RI'!B35</f>
        <v>Saint-Livres</v>
      </c>
      <c r="C34" s="390">
        <v>396031.61066266429</v>
      </c>
      <c r="D34" s="332">
        <f>+Synthèse!F34</f>
        <v>338534.44392400485</v>
      </c>
      <c r="E34" s="246">
        <f t="shared" si="0"/>
        <v>-57497.166738659434</v>
      </c>
      <c r="F34" s="246">
        <v>68072.840798806545</v>
      </c>
      <c r="G34" s="332">
        <f>+Synthèse!G34+Synthèse!H34+Synthèse!I34+Synthèse!J34+Synthèse!K34</f>
        <v>110474.8725044359</v>
      </c>
      <c r="H34" s="246">
        <f t="shared" si="1"/>
        <v>42402.031705629357</v>
      </c>
      <c r="I34" s="246">
        <v>69022.659160800424</v>
      </c>
      <c r="J34" s="332">
        <f>+'M) Police'!O34</f>
        <v>70071.398215636116</v>
      </c>
      <c r="K34" s="246">
        <f t="shared" si="2"/>
        <v>1048.7390548356925</v>
      </c>
    </row>
    <row r="35" spans="1:11" x14ac:dyDescent="0.25">
      <c r="A35" s="234">
        <f>'B) D RI'!A36</f>
        <v>5436</v>
      </c>
      <c r="B35" s="235" t="str">
        <f>'B) D RI'!B36</f>
        <v>Saint-Oyens</v>
      </c>
      <c r="C35" s="390">
        <v>221160.11041380261</v>
      </c>
      <c r="D35" s="332">
        <f>+Synthèse!F35</f>
        <v>185866.6092759842</v>
      </c>
      <c r="E35" s="246">
        <f t="shared" si="0"/>
        <v>-35293.501137818414</v>
      </c>
      <c r="F35" s="246">
        <v>-125520.98302463644</v>
      </c>
      <c r="G35" s="332">
        <f>+Synthèse!G35+Synthèse!H35+Synthèse!I35+Synthèse!J35+Synthèse!K35</f>
        <v>-12382.410183833126</v>
      </c>
      <c r="H35" s="246">
        <f t="shared" si="1"/>
        <v>113138.57284080332</v>
      </c>
      <c r="I35" s="246">
        <v>36693.679741052933</v>
      </c>
      <c r="J35" s="332">
        <f>+'M) Police'!O35</f>
        <v>32857.071973652492</v>
      </c>
      <c r="K35" s="246">
        <f t="shared" si="2"/>
        <v>-3836.6077674004409</v>
      </c>
    </row>
    <row r="36" spans="1:11" x14ac:dyDescent="0.25">
      <c r="A36" s="234">
        <f>'B) D RI'!A37</f>
        <v>5437</v>
      </c>
      <c r="B36" s="235" t="str">
        <f>'B) D RI'!B37</f>
        <v>Saubraz</v>
      </c>
      <c r="C36" s="390">
        <v>179749.06904757852</v>
      </c>
      <c r="D36" s="332">
        <f>+Synthèse!F36</f>
        <v>200345.50484690437</v>
      </c>
      <c r="E36" s="246">
        <f t="shared" si="0"/>
        <v>20596.435799325845</v>
      </c>
      <c r="F36" s="246">
        <v>-187037.67190212198</v>
      </c>
      <c r="G36" s="332">
        <f>+Synthèse!G36+Synthèse!H36+Synthèse!I36+Synthèse!J36+Synthèse!K36</f>
        <v>-114374.75170631151</v>
      </c>
      <c r="H36" s="246">
        <f t="shared" si="1"/>
        <v>72662.920195810468</v>
      </c>
      <c r="I36" s="246">
        <v>26186.674601096711</v>
      </c>
      <c r="J36" s="332">
        <f>+'M) Police'!O36</f>
        <v>31757.265218348461</v>
      </c>
      <c r="K36" s="246">
        <f t="shared" si="2"/>
        <v>5570.5906172517498</v>
      </c>
    </row>
    <row r="37" spans="1:11" x14ac:dyDescent="0.25">
      <c r="A37" s="234">
        <f>'B) D RI'!A38</f>
        <v>5451</v>
      </c>
      <c r="B37" s="235" t="str">
        <f>'B) D RI'!B38</f>
        <v>Avenches</v>
      </c>
      <c r="C37" s="390">
        <v>2030077.4603920116</v>
      </c>
      <c r="D37" s="332">
        <f>+Synthèse!F37</f>
        <v>2187018.9768558252</v>
      </c>
      <c r="E37" s="246">
        <f t="shared" si="0"/>
        <v>156941.5164638136</v>
      </c>
      <c r="F37" s="246">
        <v>-2247518.6094945422</v>
      </c>
      <c r="G37" s="332">
        <f>+Synthèse!G37+Synthèse!H37+Synthèse!I37+Synthèse!J37+Synthèse!K37</f>
        <v>-2262425.7495762622</v>
      </c>
      <c r="H37" s="246">
        <f t="shared" si="1"/>
        <v>-14907.140081719961</v>
      </c>
      <c r="I37" s="246">
        <v>323613.52570184181</v>
      </c>
      <c r="J37" s="332">
        <f>+'M) Police'!O37</f>
        <v>331924.64249957871</v>
      </c>
      <c r="K37" s="246">
        <f t="shared" si="2"/>
        <v>8311.1167977369041</v>
      </c>
    </row>
    <row r="38" spans="1:11" x14ac:dyDescent="0.25">
      <c r="A38" s="234">
        <f>'B) D RI'!A39</f>
        <v>5456</v>
      </c>
      <c r="B38" s="235" t="str">
        <f>'B) D RI'!B39</f>
        <v>Cudrefin</v>
      </c>
      <c r="C38" s="390">
        <v>900676.18406529492</v>
      </c>
      <c r="D38" s="332">
        <f>+Synthèse!F38</f>
        <v>840207.56612322386</v>
      </c>
      <c r="E38" s="246">
        <f t="shared" si="0"/>
        <v>-60468.617942071054</v>
      </c>
      <c r="F38" s="246">
        <v>16571.714238312095</v>
      </c>
      <c r="G38" s="332">
        <f>+Synthèse!G38+Synthèse!H38+Synthèse!I38+Synthèse!J38+Synthèse!K38</f>
        <v>136447.92718481593</v>
      </c>
      <c r="H38" s="246">
        <f t="shared" si="1"/>
        <v>119876.21294650383</v>
      </c>
      <c r="I38" s="246">
        <v>143216.23321823202</v>
      </c>
      <c r="J38" s="332">
        <f>+'M) Police'!O38</f>
        <v>158963.21430523583</v>
      </c>
      <c r="K38" s="246">
        <f t="shared" si="2"/>
        <v>15746.981087003805</v>
      </c>
    </row>
    <row r="39" spans="1:11" x14ac:dyDescent="0.25">
      <c r="A39" s="234">
        <f>'B) D RI'!A40</f>
        <v>5458</v>
      </c>
      <c r="B39" s="235" t="str">
        <f>'B) D RI'!B40</f>
        <v>Faoug</v>
      </c>
      <c r="C39" s="390">
        <v>569278.69521502848</v>
      </c>
      <c r="D39" s="332">
        <f>+Synthèse!F39</f>
        <v>538626.43139395991</v>
      </c>
      <c r="E39" s="246">
        <f t="shared" si="0"/>
        <v>-30652.263821068569</v>
      </c>
      <c r="F39" s="246">
        <v>155030.19156850036</v>
      </c>
      <c r="G39" s="332">
        <f>+Synthèse!G39+Synthèse!H39+Synthèse!I39+Synthèse!J39+Synthèse!K39</f>
        <v>320252.81658170809</v>
      </c>
      <c r="H39" s="246">
        <f t="shared" si="1"/>
        <v>165222.62501320773</v>
      </c>
      <c r="I39" s="246">
        <v>84542.413031093922</v>
      </c>
      <c r="J39" s="332">
        <f>+'M) Police'!O39</f>
        <v>98711.932175834998</v>
      </c>
      <c r="K39" s="246">
        <f t="shared" si="2"/>
        <v>14169.519144741076</v>
      </c>
    </row>
    <row r="40" spans="1:11" x14ac:dyDescent="0.25">
      <c r="A40" s="234">
        <f>'B) D RI'!A41</f>
        <v>5464</v>
      </c>
      <c r="B40" s="235" t="str">
        <f>'B) D RI'!B41</f>
        <v>Vully-les-Lacs</v>
      </c>
      <c r="C40" s="390">
        <v>1647817.7052027155</v>
      </c>
      <c r="D40" s="332">
        <f>+Synthèse!F40</f>
        <v>1944069.0422891583</v>
      </c>
      <c r="E40" s="246">
        <f t="shared" si="0"/>
        <v>296251.33708644286</v>
      </c>
      <c r="F40" s="246">
        <v>-276666.67904781713</v>
      </c>
      <c r="G40" s="332">
        <f>+Synthèse!G40+Synthèse!H40+Synthèse!I40+Synthèse!J40+Synthèse!K40</f>
        <v>-91582.224144210166</v>
      </c>
      <c r="H40" s="246">
        <f t="shared" si="1"/>
        <v>185084.45490360697</v>
      </c>
      <c r="I40" s="246">
        <v>291316.99567349453</v>
      </c>
      <c r="J40" s="332">
        <f>+'M) Police'!O40</f>
        <v>298775.68576677691</v>
      </c>
      <c r="K40" s="246">
        <f t="shared" si="2"/>
        <v>7458.6900932823773</v>
      </c>
    </row>
    <row r="41" spans="1:11" x14ac:dyDescent="0.25">
      <c r="A41" s="234">
        <f>'B) D RI'!A42</f>
        <v>5471</v>
      </c>
      <c r="B41" s="235" t="str">
        <f>'B) D RI'!B42</f>
        <v>Bettens</v>
      </c>
      <c r="C41" s="390">
        <v>405063.01773217699</v>
      </c>
      <c r="D41" s="332">
        <f>+Synthèse!F41</f>
        <v>269060.82190243527</v>
      </c>
      <c r="E41" s="246">
        <f t="shared" si="0"/>
        <v>-136002.19582974171</v>
      </c>
      <c r="F41" s="246">
        <v>203281.48748771078</v>
      </c>
      <c r="G41" s="332">
        <f>+Synthèse!G41+Synthèse!H41+Synthèse!I41+Synthèse!J41+Synthèse!K41</f>
        <v>39335.85713125077</v>
      </c>
      <c r="H41" s="246">
        <f t="shared" si="1"/>
        <v>-163945.63035645999</v>
      </c>
      <c r="I41" s="246">
        <v>60346.87223944196</v>
      </c>
      <c r="J41" s="332">
        <f>+'M) Police'!O41</f>
        <v>51296.847785160389</v>
      </c>
      <c r="K41" s="246">
        <f t="shared" si="2"/>
        <v>-9050.0244542815708</v>
      </c>
    </row>
    <row r="42" spans="1:11" x14ac:dyDescent="0.25">
      <c r="A42" s="234">
        <f>'B) D RI'!A43</f>
        <v>5472</v>
      </c>
      <c r="B42" s="235" t="str">
        <f>'B) D RI'!B43</f>
        <v>Bournens</v>
      </c>
      <c r="C42" s="390">
        <v>218027.57609462808</v>
      </c>
      <c r="D42" s="332">
        <f>+Synthèse!F42</f>
        <v>263351.50104667601</v>
      </c>
      <c r="E42" s="246">
        <f t="shared" si="0"/>
        <v>45323.924952047935</v>
      </c>
      <c r="F42" s="246">
        <v>94287.467751029253</v>
      </c>
      <c r="G42" s="332">
        <f>+Synthèse!G42+Synthèse!H42+Synthèse!I42+Synthèse!J42+Synthèse!K42</f>
        <v>137183.61111850504</v>
      </c>
      <c r="H42" s="246">
        <f t="shared" si="1"/>
        <v>42896.143367475786</v>
      </c>
      <c r="I42" s="246">
        <v>41341.077364919503</v>
      </c>
      <c r="J42" s="332">
        <f>+'M) Police'!O42</f>
        <v>44788.970030171069</v>
      </c>
      <c r="K42" s="246">
        <f t="shared" si="2"/>
        <v>3447.8926652515656</v>
      </c>
    </row>
    <row r="43" spans="1:11" x14ac:dyDescent="0.25">
      <c r="A43" s="234">
        <f>'B) D RI'!A44</f>
        <v>5473</v>
      </c>
      <c r="B43" s="235" t="str">
        <f>'B) D RI'!B44</f>
        <v>Boussens</v>
      </c>
      <c r="C43" s="390">
        <v>548235.16386814648</v>
      </c>
      <c r="D43" s="332">
        <f>+Synthèse!F43</f>
        <v>537295.81938209338</v>
      </c>
      <c r="E43" s="246">
        <f t="shared" si="0"/>
        <v>-10939.344486053102</v>
      </c>
      <c r="F43" s="246">
        <v>355297.30718085123</v>
      </c>
      <c r="G43" s="332">
        <f>+Synthèse!G43+Synthèse!H43+Synthèse!I43+Synthèse!J43+Synthèse!K43</f>
        <v>312371.48142519197</v>
      </c>
      <c r="H43" s="246">
        <f t="shared" si="1"/>
        <v>-42925.825755659258</v>
      </c>
      <c r="I43" s="246">
        <v>105405.23965740958</v>
      </c>
      <c r="J43" s="332">
        <f>+'M) Police'!O43</f>
        <v>102539.601301626</v>
      </c>
      <c r="K43" s="246">
        <f t="shared" si="2"/>
        <v>-2865.6383557835798</v>
      </c>
    </row>
    <row r="44" spans="1:11" x14ac:dyDescent="0.25">
      <c r="A44" s="234">
        <f>'B) D RI'!A45</f>
        <v>5474</v>
      </c>
      <c r="B44" s="235" t="str">
        <f>'B) D RI'!B45</f>
        <v>La Chaux (Cossonay)</v>
      </c>
      <c r="C44" s="390">
        <v>223108.8434867411</v>
      </c>
      <c r="D44" s="332">
        <f>+Synthèse!F44</f>
        <v>240669.13068747448</v>
      </c>
      <c r="E44" s="246">
        <f t="shared" si="0"/>
        <v>17560.287200733379</v>
      </c>
      <c r="F44" s="246">
        <v>-73322.894204274489</v>
      </c>
      <c r="G44" s="332">
        <f>+Synthèse!G44+Synthèse!H44+Synthèse!I44+Synthèse!J44+Synthèse!K44</f>
        <v>-40384.317029172962</v>
      </c>
      <c r="H44" s="246">
        <f t="shared" si="1"/>
        <v>32938.577175101527</v>
      </c>
      <c r="I44" s="246">
        <v>41801.642721732496</v>
      </c>
      <c r="J44" s="332">
        <f>+'M) Police'!O44</f>
        <v>40679.971577664386</v>
      </c>
      <c r="K44" s="246">
        <f t="shared" si="2"/>
        <v>-1121.6711440681102</v>
      </c>
    </row>
    <row r="45" spans="1:11" x14ac:dyDescent="0.25">
      <c r="A45" s="234">
        <f>'B) D RI'!A46</f>
        <v>5475</v>
      </c>
      <c r="B45" s="235" t="str">
        <f>'B) D RI'!B46</f>
        <v>Chavannes-le-Veyron</v>
      </c>
      <c r="C45" s="390">
        <v>59026.713687714306</v>
      </c>
      <c r="D45" s="332">
        <f>+Synthèse!F45</f>
        <v>73241.627702732832</v>
      </c>
      <c r="E45" s="246">
        <f t="shared" si="0"/>
        <v>14214.914015018527</v>
      </c>
      <c r="F45" s="246">
        <v>-52073.161353095915</v>
      </c>
      <c r="G45" s="332">
        <f>+Synthèse!G45+Synthèse!H45+Synthèse!I45+Synthèse!J45+Synthèse!K45</f>
        <v>-96840.698076801724</v>
      </c>
      <c r="H45" s="246">
        <f t="shared" si="1"/>
        <v>-44767.536723705809</v>
      </c>
      <c r="I45" s="246">
        <v>9123.7069901384948</v>
      </c>
      <c r="J45" s="332">
        <f>+'M) Police'!O45</f>
        <v>8261.1833789490756</v>
      </c>
      <c r="K45" s="246">
        <f t="shared" si="2"/>
        <v>-862.52361118941917</v>
      </c>
    </row>
    <row r="46" spans="1:11" x14ac:dyDescent="0.25">
      <c r="A46" s="234">
        <f>'B) D RI'!A47</f>
        <v>5476</v>
      </c>
      <c r="B46" s="235" t="str">
        <f>'B) D RI'!B47</f>
        <v>Chevilly</v>
      </c>
      <c r="C46" s="390">
        <v>150680.68713148718</v>
      </c>
      <c r="D46" s="332">
        <f>+Synthèse!F46</f>
        <v>176985.90068982943</v>
      </c>
      <c r="E46" s="246">
        <f t="shared" si="0"/>
        <v>26305.21355834225</v>
      </c>
      <c r="F46" s="246">
        <v>-6107.3411516833585</v>
      </c>
      <c r="G46" s="332">
        <f>+Synthèse!G46+Synthèse!H46+Synthèse!I46+Synthèse!J46+Synthèse!K46</f>
        <v>70115.505769137337</v>
      </c>
      <c r="H46" s="246">
        <f t="shared" si="1"/>
        <v>76222.846920820695</v>
      </c>
      <c r="I46" s="246">
        <v>23156.95339687659</v>
      </c>
      <c r="J46" s="332">
        <f>+'M) Police'!O46</f>
        <v>32293.571375271444</v>
      </c>
      <c r="K46" s="246">
        <f t="shared" si="2"/>
        <v>9136.6179783948537</v>
      </c>
    </row>
    <row r="47" spans="1:11" x14ac:dyDescent="0.25">
      <c r="A47" s="234">
        <f>'B) D RI'!A48</f>
        <v>5477</v>
      </c>
      <c r="B47" s="235" t="str">
        <f>'B) D RI'!B48</f>
        <v>Cossonay</v>
      </c>
      <c r="C47" s="390">
        <v>2187067.0755105871</v>
      </c>
      <c r="D47" s="332">
        <f>+Synthèse!F47</f>
        <v>2177004.2355464855</v>
      </c>
      <c r="E47" s="246">
        <f t="shared" si="0"/>
        <v>-10062.839964101557</v>
      </c>
      <c r="F47" s="246">
        <v>83278.781868273392</v>
      </c>
      <c r="G47" s="332">
        <f>+Synthèse!G47+Synthèse!H47+Synthèse!I47+Synthèse!J47+Synthèse!K47</f>
        <v>-37145.664160099579</v>
      </c>
      <c r="H47" s="246">
        <f t="shared" si="1"/>
        <v>-120424.44602837297</v>
      </c>
      <c r="I47" s="246">
        <v>405597.15667074756</v>
      </c>
      <c r="J47" s="332">
        <f>+'M) Police'!O47</f>
        <v>396955.91428931174</v>
      </c>
      <c r="K47" s="246">
        <f t="shared" si="2"/>
        <v>-8641.242381435819</v>
      </c>
    </row>
    <row r="48" spans="1:11" x14ac:dyDescent="0.25">
      <c r="A48" s="234">
        <f>'B) D RI'!A49</f>
        <v>5478</v>
      </c>
      <c r="B48" s="235" t="str">
        <f>'B) D RI'!B49</f>
        <v>Cottens</v>
      </c>
      <c r="C48" s="390">
        <v>253998.83032899059</v>
      </c>
      <c r="D48" s="332">
        <f>+Synthèse!F48</f>
        <v>222215.44271766313</v>
      </c>
      <c r="E48" s="246">
        <f t="shared" si="0"/>
        <v>-31783.38761132746</v>
      </c>
      <c r="F48" s="246">
        <v>137640.58017922196</v>
      </c>
      <c r="G48" s="332">
        <f>+Synthèse!G48+Synthèse!H48+Synthèse!I48+Synthèse!J48+Synthèse!K48</f>
        <v>61572.38166091928</v>
      </c>
      <c r="H48" s="246">
        <f t="shared" si="1"/>
        <v>-76068.19851830267</v>
      </c>
      <c r="I48" s="246">
        <v>50306.455721013714</v>
      </c>
      <c r="J48" s="332">
        <f>+'M) Police'!O48</f>
        <v>45391.35675109076</v>
      </c>
      <c r="K48" s="246">
        <f t="shared" si="2"/>
        <v>-4915.098969922954</v>
      </c>
    </row>
    <row r="49" spans="1:11" x14ac:dyDescent="0.25">
      <c r="A49" s="234">
        <f>'B) D RI'!A50</f>
        <v>5479</v>
      </c>
      <c r="B49" s="235" t="str">
        <f>'B) D RI'!B50</f>
        <v>Cuarnens</v>
      </c>
      <c r="C49" s="390">
        <v>260481.4840644623</v>
      </c>
      <c r="D49" s="332">
        <f>+Synthèse!F49</f>
        <v>220453.51297341031</v>
      </c>
      <c r="E49" s="246">
        <f t="shared" si="0"/>
        <v>-40027.971091051993</v>
      </c>
      <c r="F49" s="246">
        <v>-193190.55818736769</v>
      </c>
      <c r="G49" s="332">
        <f>+Synthèse!G49+Synthèse!H49+Synthèse!I49+Synthèse!J49+Synthèse!K49</f>
        <v>-298296.29526768334</v>
      </c>
      <c r="H49" s="246">
        <f t="shared" si="1"/>
        <v>-105105.73708031565</v>
      </c>
      <c r="I49" s="246">
        <v>40114.732454426419</v>
      </c>
      <c r="J49" s="332">
        <f>+'M) Police'!O49</f>
        <v>36169.507754907827</v>
      </c>
      <c r="K49" s="246">
        <f t="shared" si="2"/>
        <v>-3945.2246995185924</v>
      </c>
    </row>
    <row r="50" spans="1:11" x14ac:dyDescent="0.25">
      <c r="A50" s="234">
        <f>'B) D RI'!A51</f>
        <v>5480</v>
      </c>
      <c r="B50" s="235" t="str">
        <f>'B) D RI'!B51</f>
        <v>Daillens</v>
      </c>
      <c r="C50" s="390">
        <v>702233.42412747489</v>
      </c>
      <c r="D50" s="332">
        <f>+Synthèse!F50</f>
        <v>607638.33391275525</v>
      </c>
      <c r="E50" s="246">
        <f t="shared" si="0"/>
        <v>-94595.090214719647</v>
      </c>
      <c r="F50" s="246">
        <v>412956.17941323435</v>
      </c>
      <c r="G50" s="332">
        <f>+Synthèse!G50+Synthèse!H50+Synthèse!I50+Synthèse!J50+Synthèse!K50</f>
        <v>202165.77587833992</v>
      </c>
      <c r="H50" s="246">
        <f t="shared" si="1"/>
        <v>-210790.40353489443</v>
      </c>
      <c r="I50" s="246">
        <v>119909.17010312236</v>
      </c>
      <c r="J50" s="332">
        <f>+'M) Police'!O50</f>
        <v>106509.12488615143</v>
      </c>
      <c r="K50" s="246">
        <f t="shared" si="2"/>
        <v>-13400.045216970932</v>
      </c>
    </row>
    <row r="51" spans="1:11" x14ac:dyDescent="0.25">
      <c r="A51" s="234">
        <f>'B) D RI'!A52</f>
        <v>5481</v>
      </c>
      <c r="B51" s="235" t="str">
        <f>'B) D RI'!B52</f>
        <v>Dizy</v>
      </c>
      <c r="C51" s="390">
        <v>144333.02214999247</v>
      </c>
      <c r="D51" s="332">
        <f>+Synthèse!F51</f>
        <v>142370.52097895098</v>
      </c>
      <c r="E51" s="246">
        <f t="shared" si="0"/>
        <v>-1962.5011710414838</v>
      </c>
      <c r="F51" s="246">
        <v>74235.653104006531</v>
      </c>
      <c r="G51" s="332">
        <f>+Synthèse!G51+Synthèse!H51+Synthèse!I51+Synthèse!J51+Synthèse!K51</f>
        <v>121124.34412988572</v>
      </c>
      <c r="H51" s="246">
        <f t="shared" si="1"/>
        <v>46888.69102587919</v>
      </c>
      <c r="I51" s="246">
        <v>26133.003868528656</v>
      </c>
      <c r="J51" s="332">
        <f>+'M) Police'!O51</f>
        <v>28310.295076966686</v>
      </c>
      <c r="K51" s="246">
        <f t="shared" si="2"/>
        <v>2177.2912084380296</v>
      </c>
    </row>
    <row r="52" spans="1:11" x14ac:dyDescent="0.25">
      <c r="A52" s="234">
        <f>'B) D RI'!A53</f>
        <v>5482</v>
      </c>
      <c r="B52" s="235" t="str">
        <f>'B) D RI'!B53</f>
        <v>Eclépens</v>
      </c>
      <c r="C52" s="390">
        <v>1315413.1467061539</v>
      </c>
      <c r="D52" s="332">
        <f>+Synthèse!F52</f>
        <v>586004.54927445936</v>
      </c>
      <c r="E52" s="246">
        <f t="shared" si="0"/>
        <v>-729408.59743169451</v>
      </c>
      <c r="F52" s="246">
        <v>923626</v>
      </c>
      <c r="G52" s="332">
        <f>+Synthèse!G52+Synthèse!H52+Synthèse!I52+Synthèse!J52+Synthèse!K52</f>
        <v>-9676.1002525392396</v>
      </c>
      <c r="H52" s="246">
        <f t="shared" si="1"/>
        <v>-933302.10025253927</v>
      </c>
      <c r="I52" s="246">
        <v>173021.90476826232</v>
      </c>
      <c r="J52" s="332">
        <f>+'M) Police'!O52</f>
        <v>69615.26868606171</v>
      </c>
      <c r="K52" s="246">
        <f t="shared" si="2"/>
        <v>-103406.63608220061</v>
      </c>
    </row>
    <row r="53" spans="1:11" x14ac:dyDescent="0.25">
      <c r="A53" s="234">
        <f>'B) D RI'!A54</f>
        <v>5483</v>
      </c>
      <c r="B53" s="235" t="str">
        <f>'B) D RI'!B54</f>
        <v>Ferreyres</v>
      </c>
      <c r="C53" s="390">
        <v>156330.26301174352</v>
      </c>
      <c r="D53" s="332">
        <f>+Synthèse!F53</f>
        <v>148195.59035694387</v>
      </c>
      <c r="E53" s="246">
        <f t="shared" si="0"/>
        <v>-8134.6726547996514</v>
      </c>
      <c r="F53" s="246">
        <v>77432.934407345136</v>
      </c>
      <c r="G53" s="332">
        <f>+Synthèse!G53+Synthèse!H53+Synthèse!I53+Synthèse!J53+Synthèse!K53</f>
        <v>37316.20802776418</v>
      </c>
      <c r="H53" s="246">
        <f t="shared" si="1"/>
        <v>-40116.726379580956</v>
      </c>
      <c r="I53" s="246">
        <v>32390.612675161607</v>
      </c>
      <c r="J53" s="332">
        <f>+'M) Police'!O53</f>
        <v>30794.52166493066</v>
      </c>
      <c r="K53" s="246">
        <f t="shared" si="2"/>
        <v>-1596.0910102309463</v>
      </c>
    </row>
    <row r="54" spans="1:11" x14ac:dyDescent="0.25">
      <c r="A54" s="234">
        <f>'B) D RI'!A55</f>
        <v>5484</v>
      </c>
      <c r="B54" s="235" t="str">
        <f>'B) D RI'!B55</f>
        <v>Gollion</v>
      </c>
      <c r="C54" s="390">
        <v>451247.70033792511</v>
      </c>
      <c r="D54" s="332">
        <f>+Synthèse!F54</f>
        <v>536593.40092898579</v>
      </c>
      <c r="E54" s="246">
        <f t="shared" si="0"/>
        <v>85345.700591060682</v>
      </c>
      <c r="F54" s="246">
        <v>-37817.818076132215</v>
      </c>
      <c r="G54" s="332">
        <f>+Synthèse!G54+Synthèse!H54+Synthèse!I54+Synthèse!J54+Synthèse!K54</f>
        <v>97782.492954120578</v>
      </c>
      <c r="H54" s="246">
        <f t="shared" si="1"/>
        <v>135600.31103025278</v>
      </c>
      <c r="I54" s="246">
        <v>78459.202887147432</v>
      </c>
      <c r="J54" s="332">
        <f>+'M) Police'!O54</f>
        <v>91346.25259051891</v>
      </c>
      <c r="K54" s="246">
        <f t="shared" si="2"/>
        <v>12887.049703371478</v>
      </c>
    </row>
    <row r="55" spans="1:11" x14ac:dyDescent="0.25">
      <c r="A55" s="234">
        <f>'B) D RI'!A56</f>
        <v>5485</v>
      </c>
      <c r="B55" s="235" t="str">
        <f>'B) D RI'!B56</f>
        <v>Grancy</v>
      </c>
      <c r="C55" s="390">
        <v>312987.0948290907</v>
      </c>
      <c r="D55" s="332">
        <f>+Synthèse!F55</f>
        <v>253167.38847728309</v>
      </c>
      <c r="E55" s="246">
        <f t="shared" si="0"/>
        <v>-59819.706351807603</v>
      </c>
      <c r="F55" s="246">
        <v>172028</v>
      </c>
      <c r="G55" s="332">
        <f>+Synthèse!G55+Synthèse!H55+Synthèse!I55+Synthèse!J55+Synthèse!K55</f>
        <v>133434.68477610516</v>
      </c>
      <c r="H55" s="246">
        <f t="shared" si="1"/>
        <v>-38593.315223894839</v>
      </c>
      <c r="I55" s="246">
        <v>57637.522118205037</v>
      </c>
      <c r="J55" s="332">
        <f>+'M) Police'!O55</f>
        <v>47541.453704277927</v>
      </c>
      <c r="K55" s="246">
        <f t="shared" si="2"/>
        <v>-10096.068413927111</v>
      </c>
    </row>
    <row r="56" spans="1:11" x14ac:dyDescent="0.25">
      <c r="A56" s="234">
        <f>'B) D RI'!A57</f>
        <v>5486</v>
      </c>
      <c r="B56" s="235" t="str">
        <f>'B) D RI'!B57</f>
        <v>L'Isle</v>
      </c>
      <c r="C56" s="390">
        <v>551132.01183654182</v>
      </c>
      <c r="D56" s="332">
        <f>+Synthèse!F56</f>
        <v>555532.97791399737</v>
      </c>
      <c r="E56" s="246">
        <f t="shared" si="0"/>
        <v>4400.9660774555523</v>
      </c>
      <c r="F56" s="246">
        <v>-240396.73150698096</v>
      </c>
      <c r="G56" s="332">
        <f>+Synthèse!G56+Synthèse!H56+Synthèse!I56+Synthèse!J56+Synthèse!K56</f>
        <v>-221393.38061907992</v>
      </c>
      <c r="H56" s="246">
        <f t="shared" si="1"/>
        <v>19003.350887901033</v>
      </c>
      <c r="I56" s="246">
        <v>84474.762758058088</v>
      </c>
      <c r="J56" s="332">
        <f>+'M) Police'!O56</f>
        <v>93196.153557167869</v>
      </c>
      <c r="K56" s="246">
        <f t="shared" si="2"/>
        <v>8721.3907991097803</v>
      </c>
    </row>
    <row r="57" spans="1:11" x14ac:dyDescent="0.25">
      <c r="A57" s="234">
        <f>'B) D RI'!A58</f>
        <v>5487</v>
      </c>
      <c r="B57" s="235" t="str">
        <f>'B) D RI'!B58</f>
        <v>Lussery-Villars</v>
      </c>
      <c r="C57" s="390">
        <v>266915.18592007895</v>
      </c>
      <c r="D57" s="332">
        <f>+Synthèse!F57</f>
        <v>212958.89429042023</v>
      </c>
      <c r="E57" s="246">
        <f t="shared" si="0"/>
        <v>-53956.291629658721</v>
      </c>
      <c r="F57" s="246">
        <v>144819.01295686315</v>
      </c>
      <c r="G57" s="332">
        <f>+Synthèse!G57+Synthèse!H57+Synthèse!I57+Synthèse!J57+Synthèse!K57</f>
        <v>61191.2165222408</v>
      </c>
      <c r="H57" s="246">
        <f t="shared" si="1"/>
        <v>-83627.796434622345</v>
      </c>
      <c r="I57" s="246">
        <v>45592.823797311641</v>
      </c>
      <c r="J57" s="332">
        <f>+'M) Police'!O57</f>
        <v>41071.102166410943</v>
      </c>
      <c r="K57" s="246">
        <f t="shared" si="2"/>
        <v>-4521.7216309006981</v>
      </c>
    </row>
    <row r="58" spans="1:11" x14ac:dyDescent="0.25">
      <c r="A58" s="234">
        <f>'B) D RI'!A59</f>
        <v>5488</v>
      </c>
      <c r="B58" s="235" t="str">
        <f>'B) D RI'!B59</f>
        <v>Mauraz</v>
      </c>
      <c r="C58" s="390">
        <v>24372.742998832317</v>
      </c>
      <c r="D58" s="332">
        <f>+Synthèse!F58</f>
        <v>23534.909649044821</v>
      </c>
      <c r="E58" s="246">
        <f t="shared" si="0"/>
        <v>-837.83334978749554</v>
      </c>
      <c r="F58" s="246">
        <v>12353.09773363941</v>
      </c>
      <c r="G58" s="332">
        <f>+Synthèse!G58+Synthèse!H58+Synthèse!I58+Synthèse!J58+Synthèse!K58</f>
        <v>483.45445691024361</v>
      </c>
      <c r="H58" s="246">
        <f t="shared" si="1"/>
        <v>-11869.643276729166</v>
      </c>
      <c r="I58" s="246">
        <v>5292.9062044018383</v>
      </c>
      <c r="J58" s="332">
        <f>+'M) Police'!O58</f>
        <v>5035.6331276714309</v>
      </c>
      <c r="K58" s="246">
        <f t="shared" si="2"/>
        <v>-257.27307673040741</v>
      </c>
    </row>
    <row r="59" spans="1:11" x14ac:dyDescent="0.25">
      <c r="A59" s="234">
        <f>'B) D RI'!A60</f>
        <v>5489</v>
      </c>
      <c r="B59" s="235" t="str">
        <f>'B) D RI'!B60</f>
        <v>Mex</v>
      </c>
      <c r="C59" s="390">
        <v>1205808.0500083894</v>
      </c>
      <c r="D59" s="332">
        <f>+Synthèse!F59</f>
        <v>930256.19264927204</v>
      </c>
      <c r="E59" s="246">
        <f t="shared" si="0"/>
        <v>-275551.85735911736</v>
      </c>
      <c r="F59" s="246">
        <v>793892</v>
      </c>
      <c r="G59" s="332">
        <f>+Synthèse!G59+Synthèse!H59+Synthèse!I59+Synthèse!J59+Synthèse!K59</f>
        <v>753166.23406680371</v>
      </c>
      <c r="H59" s="246">
        <f t="shared" si="1"/>
        <v>-40725.765933196293</v>
      </c>
      <c r="I59" s="246">
        <v>121075.58548609199</v>
      </c>
      <c r="J59" s="332">
        <f>+'M) Police'!O59</f>
        <v>118570.92758138091</v>
      </c>
      <c r="K59" s="246">
        <f t="shared" si="2"/>
        <v>-2504.6579047110863</v>
      </c>
    </row>
    <row r="60" spans="1:11" x14ac:dyDescent="0.25">
      <c r="A60" s="234">
        <f>'B) D RI'!A61</f>
        <v>5490</v>
      </c>
      <c r="B60" s="235" t="str">
        <f>'B) D RI'!B61</f>
        <v>Moiry</v>
      </c>
      <c r="C60" s="390">
        <v>141306.96829482529</v>
      </c>
      <c r="D60" s="332">
        <f>+Synthèse!F60</f>
        <v>125821.13289083086</v>
      </c>
      <c r="E60" s="246">
        <f t="shared" si="0"/>
        <v>-15485.835403994424</v>
      </c>
      <c r="F60" s="246">
        <v>-37689.913756246722</v>
      </c>
      <c r="G60" s="332">
        <f>+Synthèse!G60+Synthèse!H60+Synthèse!I60+Synthèse!J60+Synthèse!K60</f>
        <v>-76278.104078197604</v>
      </c>
      <c r="H60" s="246">
        <f t="shared" si="1"/>
        <v>-38588.190321950882</v>
      </c>
      <c r="I60" s="246">
        <v>23073.971525436216</v>
      </c>
      <c r="J60" s="332">
        <f>+'M) Police'!O60</f>
        <v>23485.474326066636</v>
      </c>
      <c r="K60" s="246">
        <f t="shared" si="2"/>
        <v>411.5028006304201</v>
      </c>
    </row>
    <row r="61" spans="1:11" x14ac:dyDescent="0.25">
      <c r="A61" s="234">
        <f>'B) D RI'!A62</f>
        <v>5491</v>
      </c>
      <c r="B61" s="235" t="str">
        <f>'B) D RI'!B62</f>
        <v>Mont-la-Ville</v>
      </c>
      <c r="C61" s="390">
        <v>215729.02240907014</v>
      </c>
      <c r="D61" s="332">
        <f>+Synthèse!F61</f>
        <v>186540.30737409217</v>
      </c>
      <c r="E61" s="246">
        <f t="shared" si="0"/>
        <v>-29188.715034977969</v>
      </c>
      <c r="F61" s="246">
        <v>-123806.89974973805</v>
      </c>
      <c r="G61" s="332">
        <f>+Synthèse!G61+Synthèse!H61+Synthèse!I61+Synthèse!J61+Synthèse!K61</f>
        <v>-231006.29890170641</v>
      </c>
      <c r="H61" s="246">
        <f t="shared" si="1"/>
        <v>-107199.39915196836</v>
      </c>
      <c r="I61" s="246">
        <v>29106.63446838599</v>
      </c>
      <c r="J61" s="332">
        <f>+'M) Police'!O61</f>
        <v>27079.29438395895</v>
      </c>
      <c r="K61" s="246">
        <f t="shared" si="2"/>
        <v>-2027.34008442704</v>
      </c>
    </row>
    <row r="62" spans="1:11" x14ac:dyDescent="0.25">
      <c r="A62" s="234">
        <f>'B) D RI'!A63</f>
        <v>5492</v>
      </c>
      <c r="B62" s="235" t="str">
        <f>'B) D RI'!B63</f>
        <v>Montricher</v>
      </c>
      <c r="C62" s="390">
        <v>5047627.7895829827</v>
      </c>
      <c r="D62" s="332">
        <f>+Synthèse!F62</f>
        <v>7222366.5564622544</v>
      </c>
      <c r="E62" s="246">
        <f t="shared" si="0"/>
        <v>2174738.7668792717</v>
      </c>
      <c r="F62" s="246">
        <v>1408477</v>
      </c>
      <c r="G62" s="332">
        <f>+Synthèse!G62+Synthèse!H62+Synthèse!I62+Synthèse!J62+Synthèse!K62</f>
        <v>1873077.1986102185</v>
      </c>
      <c r="H62" s="246">
        <f t="shared" si="1"/>
        <v>464600.19861021847</v>
      </c>
      <c r="I62" s="246">
        <v>211433.31401545217</v>
      </c>
      <c r="J62" s="332">
        <f>+'M) Police'!O62</f>
        <v>232200.91489995184</v>
      </c>
      <c r="K62" s="246">
        <f t="shared" si="2"/>
        <v>20767.600884499669</v>
      </c>
    </row>
    <row r="63" spans="1:11" x14ac:dyDescent="0.25">
      <c r="A63" s="234">
        <f>'B) D RI'!A64</f>
        <v>5493</v>
      </c>
      <c r="B63" s="235" t="str">
        <f>'B) D RI'!B64</f>
        <v>Orny</v>
      </c>
      <c r="C63" s="390">
        <v>185689.69769833778</v>
      </c>
      <c r="D63" s="332">
        <f>+Synthèse!F63</f>
        <v>260884.32108993689</v>
      </c>
      <c r="E63" s="246">
        <f t="shared" si="0"/>
        <v>75194.623391599103</v>
      </c>
      <c r="F63" s="246">
        <v>-51350.527691739873</v>
      </c>
      <c r="G63" s="332">
        <f>+Synthèse!G63+Synthèse!H63+Synthèse!I63+Synthèse!J63+Synthèse!K63</f>
        <v>-58991.4070200758</v>
      </c>
      <c r="H63" s="246">
        <f t="shared" si="1"/>
        <v>-7640.8793283359264</v>
      </c>
      <c r="I63" s="246">
        <v>30408.065626067368</v>
      </c>
      <c r="J63" s="332">
        <f>+'M) Police'!O63</f>
        <v>28412.886853316988</v>
      </c>
      <c r="K63" s="246">
        <f t="shared" si="2"/>
        <v>-1995.1787727503797</v>
      </c>
    </row>
    <row r="64" spans="1:11" x14ac:dyDescent="0.25">
      <c r="A64" s="234">
        <f>'B) D RI'!A65</f>
        <v>5494</v>
      </c>
      <c r="B64" s="235" t="str">
        <f>'B) D RI'!B65</f>
        <v>Pampigny</v>
      </c>
      <c r="C64" s="390">
        <v>579368.95458286116</v>
      </c>
      <c r="D64" s="332">
        <f>+Synthèse!F64</f>
        <v>654246.13321545999</v>
      </c>
      <c r="E64" s="246">
        <f t="shared" si="0"/>
        <v>74877.178632598836</v>
      </c>
      <c r="F64" s="246">
        <v>14493.989413971722</v>
      </c>
      <c r="G64" s="332">
        <f>+Synthèse!G64+Synthèse!H64+Synthèse!I64+Synthèse!J64+Synthèse!K64</f>
        <v>-1760.5570928335073</v>
      </c>
      <c r="H64" s="246">
        <f t="shared" si="1"/>
        <v>-16254.546506805229</v>
      </c>
      <c r="I64" s="246">
        <v>111842.3416698371</v>
      </c>
      <c r="J64" s="332">
        <f>+'M) Police'!O64</f>
        <v>115331.1941321241</v>
      </c>
      <c r="K64" s="246">
        <f t="shared" si="2"/>
        <v>3488.8524622870027</v>
      </c>
    </row>
    <row r="65" spans="1:11" x14ac:dyDescent="0.25">
      <c r="A65" s="234">
        <f>'B) D RI'!A66</f>
        <v>5495</v>
      </c>
      <c r="B65" s="235" t="str">
        <f>'B) D RI'!B66</f>
        <v>Penthalaz</v>
      </c>
      <c r="C65" s="390">
        <v>1531928.3968585725</v>
      </c>
      <c r="D65" s="332">
        <f>+Synthèse!F65</f>
        <v>1624062.6224663428</v>
      </c>
      <c r="E65" s="246">
        <f t="shared" si="0"/>
        <v>92134.225607770262</v>
      </c>
      <c r="F65" s="246">
        <v>-798502.24884863477</v>
      </c>
      <c r="G65" s="332">
        <f>+Synthèse!G65+Synthèse!H65+Synthèse!I65+Synthèse!J65+Synthèse!K65</f>
        <v>-447690.71106142568</v>
      </c>
      <c r="H65" s="246">
        <f t="shared" si="1"/>
        <v>350811.53778720909</v>
      </c>
      <c r="I65" s="246">
        <v>278627.09251130041</v>
      </c>
      <c r="J65" s="332">
        <f>+'M) Police'!O65</f>
        <v>311048.45276350866</v>
      </c>
      <c r="K65" s="246">
        <f t="shared" si="2"/>
        <v>32421.360252208251</v>
      </c>
    </row>
    <row r="66" spans="1:11" x14ac:dyDescent="0.25">
      <c r="A66" s="234">
        <f>'B) D RI'!A67</f>
        <v>5496</v>
      </c>
      <c r="B66" s="235" t="str">
        <f>'B) D RI'!B67</f>
        <v>Penthaz</v>
      </c>
      <c r="C66" s="390">
        <v>874831.91831175343</v>
      </c>
      <c r="D66" s="332">
        <f>+Synthèse!F66</f>
        <v>856114.63156741764</v>
      </c>
      <c r="E66" s="246">
        <f t="shared" si="0"/>
        <v>-18717.286744335783</v>
      </c>
      <c r="F66" s="246">
        <v>-35009.96117332764</v>
      </c>
      <c r="G66" s="332">
        <f>+Synthèse!G66+Synthèse!H66+Synthèse!I66+Synthèse!J66+Synthèse!K66</f>
        <v>9211.4713497360644</v>
      </c>
      <c r="H66" s="246">
        <f t="shared" si="1"/>
        <v>44221.432523063704</v>
      </c>
      <c r="I66" s="246">
        <v>164326.49045043497</v>
      </c>
      <c r="J66" s="332">
        <f>+'M) Police'!O66</f>
        <v>164993.84648103017</v>
      </c>
      <c r="K66" s="246">
        <f t="shared" si="2"/>
        <v>667.35603059519781</v>
      </c>
    </row>
    <row r="67" spans="1:11" x14ac:dyDescent="0.25">
      <c r="A67" s="234">
        <f>'B) D RI'!A68</f>
        <v>5497</v>
      </c>
      <c r="B67" s="235" t="str">
        <f>'B) D RI'!B68</f>
        <v>Pompaples</v>
      </c>
      <c r="C67" s="390">
        <v>380742.22810936149</v>
      </c>
      <c r="D67" s="332">
        <f>+Synthèse!F67</f>
        <v>496808.42848259467</v>
      </c>
      <c r="E67" s="246">
        <f t="shared" si="0"/>
        <v>116066.20037323318</v>
      </c>
      <c r="F67" s="246">
        <v>-149065.98594515026</v>
      </c>
      <c r="G67" s="332">
        <f>+Synthèse!G67+Synthèse!H67+Synthèse!I67+Synthèse!J67+Synthèse!K67</f>
        <v>-106369.47242434177</v>
      </c>
      <c r="H67" s="246">
        <f t="shared" si="1"/>
        <v>42696.513520808483</v>
      </c>
      <c r="I67" s="246">
        <v>64372.397515001445</v>
      </c>
      <c r="J67" s="332">
        <f>+'M) Police'!O67</f>
        <v>69173.440489780827</v>
      </c>
      <c r="K67" s="246">
        <f t="shared" si="2"/>
        <v>4801.0429747793823</v>
      </c>
    </row>
    <row r="68" spans="1:11" x14ac:dyDescent="0.25">
      <c r="A68" s="234">
        <f>'B) D RI'!A69</f>
        <v>5498</v>
      </c>
      <c r="B68" s="235" t="str">
        <f>'B) D RI'!B69</f>
        <v>La Sarraz</v>
      </c>
      <c r="C68" s="390">
        <v>1200443.7560048797</v>
      </c>
      <c r="D68" s="332">
        <f>+Synthèse!F68</f>
        <v>1256089.0301383671</v>
      </c>
      <c r="E68" s="246">
        <f t="shared" si="0"/>
        <v>55645.274133487372</v>
      </c>
      <c r="F68" s="246">
        <v>-341001.24338457733</v>
      </c>
      <c r="G68" s="332">
        <f>+Synthèse!G68+Synthèse!H68+Synthèse!I68+Synthèse!J68+Synthèse!K68</f>
        <v>-547230.45710394357</v>
      </c>
      <c r="H68" s="246">
        <f t="shared" si="1"/>
        <v>-206229.21371936623</v>
      </c>
      <c r="I68" s="246">
        <v>230779.74275809946</v>
      </c>
      <c r="J68" s="332">
        <f>+'M) Police'!O68</f>
        <v>230847.4836579439</v>
      </c>
      <c r="K68" s="246">
        <f t="shared" si="2"/>
        <v>67.740899844444357</v>
      </c>
    </row>
    <row r="69" spans="1:11" x14ac:dyDescent="0.25">
      <c r="A69" s="234">
        <f>'B) D RI'!A70</f>
        <v>5499</v>
      </c>
      <c r="B69" s="235" t="str">
        <f>'B) D RI'!B70</f>
        <v>Senarclens</v>
      </c>
      <c r="C69" s="390">
        <v>270924.99898723996</v>
      </c>
      <c r="D69" s="332">
        <f>+Synthèse!F69</f>
        <v>330885.17243505386</v>
      </c>
      <c r="E69" s="246">
        <f t="shared" si="0"/>
        <v>59960.173447813897</v>
      </c>
      <c r="F69" s="246">
        <v>235110.70558409326</v>
      </c>
      <c r="G69" s="332">
        <f>+Synthèse!G69+Synthèse!H69+Synthèse!I69+Synthèse!J69+Synthèse!K69</f>
        <v>181695.95069477981</v>
      </c>
      <c r="H69" s="246">
        <f t="shared" si="1"/>
        <v>-53414.754889313452</v>
      </c>
      <c r="I69" s="246">
        <v>56023.771345486821</v>
      </c>
      <c r="J69" s="332">
        <f>+'M) Police'!O69</f>
        <v>58550.740695506749</v>
      </c>
      <c r="K69" s="246">
        <f t="shared" si="2"/>
        <v>2526.9693500199282</v>
      </c>
    </row>
    <row r="70" spans="1:11" x14ac:dyDescent="0.25">
      <c r="A70" s="234">
        <f>'B) D RI'!A71</f>
        <v>5500</v>
      </c>
      <c r="B70" s="235" t="str">
        <f>'B) D RI'!B71</f>
        <v>Sévery</v>
      </c>
      <c r="C70" s="390">
        <v>94147.715593514135</v>
      </c>
      <c r="D70" s="332">
        <f>+Synthèse!F70</f>
        <v>124941.18455190274</v>
      </c>
      <c r="E70" s="246">
        <f t="shared" si="0"/>
        <v>30793.468958388607</v>
      </c>
      <c r="F70" s="246">
        <v>-4828.149274767944</v>
      </c>
      <c r="G70" s="332">
        <f>+Synthèse!G70+Synthèse!H70+Synthèse!I70+Synthèse!J70+Synthèse!K70</f>
        <v>51304.719262888088</v>
      </c>
      <c r="H70" s="246">
        <f t="shared" si="1"/>
        <v>56132.868537656032</v>
      </c>
      <c r="I70" s="246">
        <v>19577.712150698491</v>
      </c>
      <c r="J70" s="332">
        <f>+'M) Police'!O70</f>
        <v>25296.864685149078</v>
      </c>
      <c r="K70" s="246">
        <f t="shared" si="2"/>
        <v>5719.1525344505862</v>
      </c>
    </row>
    <row r="71" spans="1:11" x14ac:dyDescent="0.25">
      <c r="A71" s="234">
        <f>'B) D RI'!A72</f>
        <v>5501</v>
      </c>
      <c r="B71" s="235" t="str">
        <f>'B) D RI'!B72</f>
        <v>Sullens</v>
      </c>
      <c r="C71" s="390">
        <v>772428.9173838282</v>
      </c>
      <c r="D71" s="332">
        <f>+Synthèse!F71</f>
        <v>696402.65042549814</v>
      </c>
      <c r="E71" s="246">
        <f t="shared" ref="E71:E134" si="3">D71-C71</f>
        <v>-76026.266958330059</v>
      </c>
      <c r="F71" s="246">
        <v>568931.79547846946</v>
      </c>
      <c r="G71" s="332">
        <f>+Synthèse!G71+Synthèse!H71+Synthèse!I71+Synthèse!J71+Synthèse!K71</f>
        <v>408652.73809859424</v>
      </c>
      <c r="H71" s="246">
        <f t="shared" ref="H71:H134" si="4">G71-F71</f>
        <v>-160279.05737987522</v>
      </c>
      <c r="I71" s="246">
        <v>121750.87708150786</v>
      </c>
      <c r="J71" s="332">
        <f>+'M) Police'!O71</f>
        <v>112013.05358121527</v>
      </c>
      <c r="K71" s="246">
        <f t="shared" ref="K71:K134" si="5">J71-I71</f>
        <v>-9737.823500292594</v>
      </c>
    </row>
    <row r="72" spans="1:11" x14ac:dyDescent="0.25">
      <c r="A72" s="234">
        <f>'B) D RI'!A73</f>
        <v>5503</v>
      </c>
      <c r="B72" s="235" t="str">
        <f>'B) D RI'!B73</f>
        <v>Vufflens-la-Ville</v>
      </c>
      <c r="C72" s="390">
        <v>934568.79699399578</v>
      </c>
      <c r="D72" s="332">
        <f>+Synthèse!F72</f>
        <v>1266974.0707375889</v>
      </c>
      <c r="E72" s="246">
        <f t="shared" si="3"/>
        <v>332405.27374359313</v>
      </c>
      <c r="F72" s="246">
        <v>893672</v>
      </c>
      <c r="G72" s="332">
        <f>+Synthèse!G72+Synthèse!H72+Synthèse!I72+Synthèse!J72+Synthèse!K72</f>
        <v>1019457.9725154684</v>
      </c>
      <c r="H72" s="246">
        <f t="shared" si="4"/>
        <v>125785.97251546837</v>
      </c>
      <c r="I72" s="246">
        <v>183335.94160738203</v>
      </c>
      <c r="J72" s="332">
        <f>+'M) Police'!O72</f>
        <v>192076.67539080424</v>
      </c>
      <c r="K72" s="246">
        <f t="shared" si="5"/>
        <v>8740.7337834222126</v>
      </c>
    </row>
    <row r="73" spans="1:11" x14ac:dyDescent="0.25">
      <c r="A73" s="234">
        <f>'B) D RI'!A74</f>
        <v>5511</v>
      </c>
      <c r="B73" s="235" t="str">
        <f>'B) D RI'!B74</f>
        <v>Assens</v>
      </c>
      <c r="C73" s="390">
        <v>665234.85865644203</v>
      </c>
      <c r="D73" s="332">
        <f>+Synthèse!F73</f>
        <v>682496.29125793558</v>
      </c>
      <c r="E73" s="246">
        <f t="shared" si="3"/>
        <v>17261.43260149355</v>
      </c>
      <c r="F73" s="246">
        <v>350835.35923460661</v>
      </c>
      <c r="G73" s="332">
        <f>+Synthèse!G73+Synthèse!H73+Synthèse!I73+Synthèse!J73+Synthèse!K73</f>
        <v>210427.79242792109</v>
      </c>
      <c r="H73" s="246">
        <f t="shared" si="4"/>
        <v>-140407.56680668553</v>
      </c>
      <c r="I73" s="246">
        <v>127461.17294387237</v>
      </c>
      <c r="J73" s="332">
        <f>+'M) Police'!O73</f>
        <v>125064.09689503952</v>
      </c>
      <c r="K73" s="246">
        <f t="shared" si="5"/>
        <v>-2397.0760488328524</v>
      </c>
    </row>
    <row r="74" spans="1:11" x14ac:dyDescent="0.25">
      <c r="A74" s="234">
        <f>'B) D RI'!A75</f>
        <v>5512</v>
      </c>
      <c r="B74" s="235" t="str">
        <f>'B) D RI'!B75</f>
        <v>Bercher</v>
      </c>
      <c r="C74" s="390">
        <v>590828.27166274854</v>
      </c>
      <c r="D74" s="332">
        <f>+Synthèse!F74</f>
        <v>670002.75338133168</v>
      </c>
      <c r="E74" s="246">
        <f t="shared" si="3"/>
        <v>79174.481718583149</v>
      </c>
      <c r="F74" s="246">
        <v>31857.524042505887</v>
      </c>
      <c r="G74" s="332">
        <f>+Synthèse!G74+Synthèse!H74+Synthèse!I74+Synthèse!J74+Synthèse!K74</f>
        <v>-42213.15858366125</v>
      </c>
      <c r="H74" s="246">
        <f t="shared" si="4"/>
        <v>-74070.682626167138</v>
      </c>
      <c r="I74" s="246">
        <v>116952.05451057729</v>
      </c>
      <c r="J74" s="332">
        <f>+'M) Police'!O74</f>
        <v>109334.87068595167</v>
      </c>
      <c r="K74" s="246">
        <f t="shared" si="5"/>
        <v>-7617.1838246256229</v>
      </c>
    </row>
    <row r="75" spans="1:11" x14ac:dyDescent="0.25">
      <c r="A75" s="234">
        <f>'B) D RI'!A76</f>
        <v>5513</v>
      </c>
      <c r="B75" s="235" t="str">
        <f>'B) D RI'!B76</f>
        <v>Bioley-Orjulaz</v>
      </c>
      <c r="C75" s="390">
        <v>758754.35051827063</v>
      </c>
      <c r="D75" s="332">
        <f>+Synthèse!F75</f>
        <v>377534.28365774103</v>
      </c>
      <c r="E75" s="246">
        <f t="shared" si="3"/>
        <v>-381220.06686052959</v>
      </c>
      <c r="F75" s="246">
        <v>485947</v>
      </c>
      <c r="G75" s="332">
        <f>+Synthèse!G75+Synthèse!H75+Synthèse!I75+Synthèse!J75+Synthèse!K75</f>
        <v>361782.09660479828</v>
      </c>
      <c r="H75" s="246">
        <f t="shared" si="4"/>
        <v>-124164.90339520172</v>
      </c>
      <c r="I75" s="246">
        <v>78204.555478134629</v>
      </c>
      <c r="J75" s="332">
        <f>+'M) Police'!O75</f>
        <v>70519.397671006562</v>
      </c>
      <c r="K75" s="246">
        <f t="shared" si="5"/>
        <v>-7685.1578071280674</v>
      </c>
    </row>
    <row r="76" spans="1:11" x14ac:dyDescent="0.25">
      <c r="A76" s="234">
        <f>'B) D RI'!A77</f>
        <v>5514</v>
      </c>
      <c r="B76" s="235" t="str">
        <f>'B) D RI'!B77</f>
        <v>Bottens</v>
      </c>
      <c r="C76" s="390">
        <v>702732.55825596303</v>
      </c>
      <c r="D76" s="332">
        <f>+Synthèse!F76</f>
        <v>724968.33809498046</v>
      </c>
      <c r="E76" s="246">
        <f t="shared" si="3"/>
        <v>22235.779839017428</v>
      </c>
      <c r="F76" s="246">
        <v>342215.03036009718</v>
      </c>
      <c r="G76" s="332">
        <f>+Synthèse!G76+Synthèse!H76+Synthèse!I76+Synthèse!J76+Synthèse!K76</f>
        <v>284242.37097298057</v>
      </c>
      <c r="H76" s="246">
        <f t="shared" si="4"/>
        <v>-57972.659387116611</v>
      </c>
      <c r="I76" s="246">
        <v>137649.34684823401</v>
      </c>
      <c r="J76" s="332">
        <f>+'M) Police'!O76</f>
        <v>126800.15881647624</v>
      </c>
      <c r="K76" s="246">
        <f t="shared" si="5"/>
        <v>-10849.188031757774</v>
      </c>
    </row>
    <row r="77" spans="1:11" x14ac:dyDescent="0.25">
      <c r="A77" s="234">
        <f>'B) D RI'!A78</f>
        <v>5515</v>
      </c>
      <c r="B77" s="235" t="str">
        <f>'B) D RI'!B78</f>
        <v>Bretigny-sur-Morrens</v>
      </c>
      <c r="C77" s="390">
        <v>430728.49980488699</v>
      </c>
      <c r="D77" s="332">
        <f>+Synthèse!F77</f>
        <v>417632.97355097625</v>
      </c>
      <c r="E77" s="246">
        <f t="shared" si="3"/>
        <v>-13095.526253910735</v>
      </c>
      <c r="F77" s="246">
        <v>-7769.7485266549047</v>
      </c>
      <c r="G77" s="332">
        <f>+Synthèse!G77+Synthèse!H77+Synthèse!I77+Synthèse!J77+Synthèse!K77</f>
        <v>125037.43415484433</v>
      </c>
      <c r="H77" s="246">
        <f t="shared" si="4"/>
        <v>132807.18268149922</v>
      </c>
      <c r="I77" s="246">
        <v>70757.388319920501</v>
      </c>
      <c r="J77" s="332">
        <f>+'M) Police'!O77</f>
        <v>80317.877336042438</v>
      </c>
      <c r="K77" s="246">
        <f t="shared" si="5"/>
        <v>9560.4890161219373</v>
      </c>
    </row>
    <row r="78" spans="1:11" x14ac:dyDescent="0.25">
      <c r="A78" s="234">
        <f>'B) D RI'!A79</f>
        <v>5516</v>
      </c>
      <c r="B78" s="235" t="str">
        <f>'B) D RI'!B79</f>
        <v>Cugy</v>
      </c>
      <c r="C78" s="390">
        <v>1900335.3301132082</v>
      </c>
      <c r="D78" s="332">
        <f>+Synthèse!F78</f>
        <v>1818313.2640333571</v>
      </c>
      <c r="E78" s="246">
        <f t="shared" si="3"/>
        <v>-82022.066079851007</v>
      </c>
      <c r="F78" s="246">
        <v>1337708.4940660005</v>
      </c>
      <c r="G78" s="332">
        <f>+Synthèse!G78+Synthèse!H78+Synthèse!I78+Synthèse!J78+Synthèse!K78</f>
        <v>879285.22311954072</v>
      </c>
      <c r="H78" s="246">
        <f t="shared" si="4"/>
        <v>-458423.27094645973</v>
      </c>
      <c r="I78" s="246">
        <v>377719.89709310385</v>
      </c>
      <c r="J78" s="332">
        <f>+'M) Police'!O78</f>
        <v>336622.06382121891</v>
      </c>
      <c r="K78" s="246">
        <f t="shared" si="5"/>
        <v>-41097.833271884941</v>
      </c>
    </row>
    <row r="79" spans="1:11" x14ac:dyDescent="0.25">
      <c r="A79" s="234">
        <f>'B) D RI'!A80</f>
        <v>5518</v>
      </c>
      <c r="B79" s="235" t="str">
        <f>'B) D RI'!B80</f>
        <v>Echallens</v>
      </c>
      <c r="C79" s="390">
        <v>3080854.5419869674</v>
      </c>
      <c r="D79" s="332">
        <f>+Synthèse!F79</f>
        <v>3441249.5336546232</v>
      </c>
      <c r="E79" s="246">
        <f t="shared" si="3"/>
        <v>360394.99166765576</v>
      </c>
      <c r="F79" s="246">
        <v>-1068553.9473000942</v>
      </c>
      <c r="G79" s="332">
        <f>+Synthèse!G79+Synthèse!H79+Synthèse!I79+Synthèse!J79+Synthèse!K79</f>
        <v>-905443.00138615619</v>
      </c>
      <c r="H79" s="246">
        <f t="shared" si="4"/>
        <v>163110.94591393799</v>
      </c>
      <c r="I79" s="246">
        <v>554634.40291003825</v>
      </c>
      <c r="J79" s="332">
        <f>+'M) Police'!O79</f>
        <v>587731.11099319439</v>
      </c>
      <c r="K79" s="246">
        <f t="shared" si="5"/>
        <v>33096.708083156147</v>
      </c>
    </row>
    <row r="80" spans="1:11" x14ac:dyDescent="0.25">
      <c r="A80" s="234">
        <f>'B) D RI'!A81</f>
        <v>5520</v>
      </c>
      <c r="B80" s="235" t="str">
        <f>'B) D RI'!B81</f>
        <v>Essertines-sur-Yverdon</v>
      </c>
      <c r="C80" s="390">
        <v>483020.70342539315</v>
      </c>
      <c r="D80" s="332">
        <f>+Synthèse!F80</f>
        <v>472563.81396375911</v>
      </c>
      <c r="E80" s="246">
        <f t="shared" si="3"/>
        <v>-10456.88946163404</v>
      </c>
      <c r="F80" s="246">
        <v>82184.102548427356</v>
      </c>
      <c r="G80" s="332">
        <f>+Synthèse!G80+Synthèse!H80+Synthèse!I80+Synthèse!J80+Synthèse!K80</f>
        <v>36281.423320473114</v>
      </c>
      <c r="H80" s="246">
        <f t="shared" si="4"/>
        <v>-45902.679227954242</v>
      </c>
      <c r="I80" s="246">
        <v>89300.150133212126</v>
      </c>
      <c r="J80" s="332">
        <f>+'M) Police'!O80</f>
        <v>87604.581166920558</v>
      </c>
      <c r="K80" s="246">
        <f t="shared" si="5"/>
        <v>-1695.5689662915684</v>
      </c>
    </row>
    <row r="81" spans="1:11" x14ac:dyDescent="0.25">
      <c r="A81" s="234">
        <f>'B) D RI'!A82</f>
        <v>5521</v>
      </c>
      <c r="B81" s="235" t="str">
        <f>'B) D RI'!B82</f>
        <v>Etagnières</v>
      </c>
      <c r="C81" s="390">
        <v>654631.02072670625</v>
      </c>
      <c r="D81" s="332">
        <f>+Synthèse!F81</f>
        <v>650937.64984690363</v>
      </c>
      <c r="E81" s="246">
        <f t="shared" si="3"/>
        <v>-3693.37087980262</v>
      </c>
      <c r="F81" s="246">
        <v>247493.54588966386</v>
      </c>
      <c r="G81" s="332">
        <f>+Synthèse!G81+Synthèse!H81+Synthèse!I81+Synthèse!J81+Synthèse!K81</f>
        <v>415210.390646215</v>
      </c>
      <c r="H81" s="246">
        <f t="shared" si="4"/>
        <v>167716.84475655115</v>
      </c>
      <c r="I81" s="246">
        <v>115770.729557938</v>
      </c>
      <c r="J81" s="332">
        <f>+'M) Police'!O81</f>
        <v>126788.18631831865</v>
      </c>
      <c r="K81" s="246">
        <f t="shared" si="5"/>
        <v>11017.45676038065</v>
      </c>
    </row>
    <row r="82" spans="1:11" x14ac:dyDescent="0.25">
      <c r="A82" s="234">
        <f>'B) D RI'!A83</f>
        <v>5522</v>
      </c>
      <c r="B82" s="235" t="str">
        <f>'B) D RI'!B83</f>
        <v>Fey</v>
      </c>
      <c r="C82" s="390">
        <v>327717.02050379809</v>
      </c>
      <c r="D82" s="332">
        <f>+Synthèse!F82</f>
        <v>358789.99657673563</v>
      </c>
      <c r="E82" s="246">
        <f t="shared" si="3"/>
        <v>31072.976072937541</v>
      </c>
      <c r="F82" s="246">
        <v>-194972.20795214816</v>
      </c>
      <c r="G82" s="332">
        <f>+Synthèse!G82+Synthèse!H82+Synthèse!I82+Synthèse!J82+Synthèse!K82</f>
        <v>-52690.296059522632</v>
      </c>
      <c r="H82" s="246">
        <f t="shared" si="4"/>
        <v>142281.91189262553</v>
      </c>
      <c r="I82" s="246">
        <v>51344.703261337287</v>
      </c>
      <c r="J82" s="332">
        <f>+'M) Police'!O82</f>
        <v>59604.429695303988</v>
      </c>
      <c r="K82" s="246">
        <f t="shared" si="5"/>
        <v>8259.7264339667017</v>
      </c>
    </row>
    <row r="83" spans="1:11" x14ac:dyDescent="0.25">
      <c r="A83" s="234">
        <f>'B) D RI'!A84</f>
        <v>5523</v>
      </c>
      <c r="B83" s="235" t="str">
        <f>'B) D RI'!B84</f>
        <v>Froideville</v>
      </c>
      <c r="C83" s="390">
        <v>1297515.7023179957</v>
      </c>
      <c r="D83" s="332">
        <f>+Synthèse!F83</f>
        <v>1435532.2056483715</v>
      </c>
      <c r="E83" s="246">
        <f t="shared" si="3"/>
        <v>138016.50333037577</v>
      </c>
      <c r="F83" s="246">
        <v>-63829.344806103036</v>
      </c>
      <c r="G83" s="332">
        <f>+Synthèse!G83+Synthèse!H83+Synthèse!I83+Synthèse!J83+Synthèse!K83</f>
        <v>-45075.204034511058</v>
      </c>
      <c r="H83" s="246">
        <f t="shared" si="4"/>
        <v>18754.140771591978</v>
      </c>
      <c r="I83" s="246">
        <v>231575.30107856647</v>
      </c>
      <c r="J83" s="332">
        <f>+'M) Police'!O83</f>
        <v>240473.56190772491</v>
      </c>
      <c r="K83" s="246">
        <f t="shared" si="5"/>
        <v>8898.2608291584475</v>
      </c>
    </row>
    <row r="84" spans="1:11" x14ac:dyDescent="0.25">
      <c r="A84" s="234">
        <f>'B) D RI'!A85</f>
        <v>5527</v>
      </c>
      <c r="B84" s="235" t="str">
        <f>'B) D RI'!B85</f>
        <v>Morrens</v>
      </c>
      <c r="C84" s="390">
        <v>644192.55657460238</v>
      </c>
      <c r="D84" s="332">
        <f>+Synthèse!F84</f>
        <v>587368.1795746428</v>
      </c>
      <c r="E84" s="246">
        <f t="shared" si="3"/>
        <v>-56824.376999959582</v>
      </c>
      <c r="F84" s="246">
        <v>400349.23733098758</v>
      </c>
      <c r="G84" s="332">
        <f>+Synthèse!G84+Synthèse!H84+Synthèse!I84+Synthèse!J84+Synthèse!K84</f>
        <v>363688.76100460149</v>
      </c>
      <c r="H84" s="246">
        <f t="shared" si="4"/>
        <v>-36660.476326386095</v>
      </c>
      <c r="I84" s="246">
        <v>121102.73264520105</v>
      </c>
      <c r="J84" s="332">
        <f>+'M) Police'!O84</f>
        <v>117287.7325377817</v>
      </c>
      <c r="K84" s="246">
        <f t="shared" si="5"/>
        <v>-3815.0001074193424</v>
      </c>
    </row>
    <row r="85" spans="1:11" x14ac:dyDescent="0.25">
      <c r="A85" s="234">
        <f>'B) D RI'!A86</f>
        <v>5529</v>
      </c>
      <c r="B85" s="235" t="str">
        <f>'B) D RI'!B86</f>
        <v>Oulens-sous-Echallens</v>
      </c>
      <c r="C85" s="390">
        <v>303855.19109045382</v>
      </c>
      <c r="D85" s="332">
        <f>+Synthèse!F85</f>
        <v>328535.22101260204</v>
      </c>
      <c r="E85" s="246">
        <f t="shared" si="3"/>
        <v>24680.029922148213</v>
      </c>
      <c r="F85" s="246">
        <v>59219.190942779212</v>
      </c>
      <c r="G85" s="332">
        <f>+Synthèse!G85+Synthèse!H85+Synthèse!I85+Synthèse!J85+Synthèse!K85</f>
        <v>92307.648458278156</v>
      </c>
      <c r="H85" s="246">
        <f t="shared" si="4"/>
        <v>33088.457515498943</v>
      </c>
      <c r="I85" s="246">
        <v>62259.093777582428</v>
      </c>
      <c r="J85" s="332">
        <f>+'M) Police'!O85</f>
        <v>62265.789529706366</v>
      </c>
      <c r="K85" s="246">
        <f t="shared" si="5"/>
        <v>6.6957521239382913</v>
      </c>
    </row>
    <row r="86" spans="1:11" x14ac:dyDescent="0.25">
      <c r="A86" s="234">
        <f>'B) D RI'!A87</f>
        <v>5530</v>
      </c>
      <c r="B86" s="235" t="str">
        <f>'B) D RI'!B87</f>
        <v>Pailly</v>
      </c>
      <c r="C86" s="390">
        <v>248784.47553462556</v>
      </c>
      <c r="D86" s="332">
        <f>+Synthèse!F86</f>
        <v>229881.44014776353</v>
      </c>
      <c r="E86" s="246">
        <f t="shared" si="3"/>
        <v>-18903.03538686203</v>
      </c>
      <c r="F86" s="246">
        <v>-196829.78302850586</v>
      </c>
      <c r="G86" s="332">
        <f>+Synthèse!G86+Synthèse!H86+Synthèse!I86+Synthèse!J86+Synthèse!K86</f>
        <v>-325397.72697192896</v>
      </c>
      <c r="H86" s="246">
        <f t="shared" si="4"/>
        <v>-128567.9439434231</v>
      </c>
      <c r="I86" s="246">
        <v>44583.875717618314</v>
      </c>
      <c r="J86" s="332">
        <f>+'M) Police'!O86</f>
        <v>47748.064969562227</v>
      </c>
      <c r="K86" s="246">
        <f t="shared" si="5"/>
        <v>3164.1892519439134</v>
      </c>
    </row>
    <row r="87" spans="1:11" x14ac:dyDescent="0.25">
      <c r="A87" s="234">
        <f>'B) D RI'!A88</f>
        <v>5531</v>
      </c>
      <c r="B87" s="235" t="str">
        <f>'B) D RI'!B88</f>
        <v>Penthéréaz</v>
      </c>
      <c r="C87" s="390">
        <v>195001.0387731457</v>
      </c>
      <c r="D87" s="332">
        <f>+Synthèse!F87</f>
        <v>205639.71628255345</v>
      </c>
      <c r="E87" s="246">
        <f t="shared" si="3"/>
        <v>10638.677509407746</v>
      </c>
      <c r="F87" s="246">
        <v>104586.83969210705</v>
      </c>
      <c r="G87" s="332">
        <f>+Synthèse!G87+Synthèse!H87+Synthèse!I87+Synthèse!J87+Synthèse!K87</f>
        <v>-34046.019657327575</v>
      </c>
      <c r="H87" s="246">
        <f t="shared" si="4"/>
        <v>-138632.85934943461</v>
      </c>
      <c r="I87" s="246">
        <v>42520.270205403678</v>
      </c>
      <c r="J87" s="332">
        <f>+'M) Police'!O87</f>
        <v>37922.592110233069</v>
      </c>
      <c r="K87" s="246">
        <f t="shared" si="5"/>
        <v>-4597.6780951706096</v>
      </c>
    </row>
    <row r="88" spans="1:11" x14ac:dyDescent="0.25">
      <c r="A88" s="234">
        <f>'B) D RI'!A89</f>
        <v>5533</v>
      </c>
      <c r="B88" s="235" t="str">
        <f>'B) D RI'!B89</f>
        <v>Poliez-Pittet</v>
      </c>
      <c r="C88" s="390">
        <v>372009.36884449504</v>
      </c>
      <c r="D88" s="332">
        <f>+Synthèse!F88</f>
        <v>421130.03590350604</v>
      </c>
      <c r="E88" s="246">
        <f t="shared" si="3"/>
        <v>49120.667059011001</v>
      </c>
      <c r="F88" s="246">
        <v>88537.143041920965</v>
      </c>
      <c r="G88" s="332">
        <f>+Synthèse!G88+Synthèse!H88+Synthèse!I88+Synthèse!J88+Synthèse!K88</f>
        <v>178960.39940866415</v>
      </c>
      <c r="H88" s="246">
        <f t="shared" si="4"/>
        <v>90423.256366743182</v>
      </c>
      <c r="I88" s="246">
        <v>74519.016446694935</v>
      </c>
      <c r="J88" s="332">
        <f>+'M) Police'!O88</f>
        <v>84930.589080921403</v>
      </c>
      <c r="K88" s="246">
        <f t="shared" si="5"/>
        <v>10411.572634226468</v>
      </c>
    </row>
    <row r="89" spans="1:11" x14ac:dyDescent="0.25">
      <c r="A89" s="234">
        <f>'B) D RI'!A90</f>
        <v>5534</v>
      </c>
      <c r="B89" s="235" t="str">
        <f>'B) D RI'!B90</f>
        <v>Rueyres</v>
      </c>
      <c r="C89" s="390">
        <v>119515.90621488691</v>
      </c>
      <c r="D89" s="332">
        <f>+Synthèse!F89</f>
        <v>302543.56728676002</v>
      </c>
      <c r="E89" s="246">
        <f t="shared" si="3"/>
        <v>183027.6610718731</v>
      </c>
      <c r="F89" s="246">
        <v>-19024.678112763373</v>
      </c>
      <c r="G89" s="332">
        <f>+Synthèse!G89+Synthèse!H89+Synthèse!I89+Synthèse!J89+Synthèse!K89</f>
        <v>106696.22225638191</v>
      </c>
      <c r="H89" s="246">
        <f t="shared" si="4"/>
        <v>125720.90036914528</v>
      </c>
      <c r="I89" s="246">
        <v>23218.374082861927</v>
      </c>
      <c r="J89" s="332">
        <f>+'M) Police'!O89</f>
        <v>33904.172146546836</v>
      </c>
      <c r="K89" s="246">
        <f t="shared" si="5"/>
        <v>10685.79806368491</v>
      </c>
    </row>
    <row r="90" spans="1:11" x14ac:dyDescent="0.25">
      <c r="A90" s="234">
        <f>'B) D RI'!A91</f>
        <v>5535</v>
      </c>
      <c r="B90" s="235" t="str">
        <f>'B) D RI'!B91</f>
        <v>Saint-Barthélemy</v>
      </c>
      <c r="C90" s="390">
        <v>337431.97562719183</v>
      </c>
      <c r="D90" s="332">
        <f>+Synthèse!F90</f>
        <v>324623.60066248768</v>
      </c>
      <c r="E90" s="246">
        <f t="shared" si="3"/>
        <v>-12808.374964704155</v>
      </c>
      <c r="F90" s="246">
        <v>-23173.918889362947</v>
      </c>
      <c r="G90" s="332">
        <f>+Synthèse!G90+Synthèse!H90+Synthèse!I90+Synthèse!J90+Synthèse!K90</f>
        <v>2590.9535439647152</v>
      </c>
      <c r="H90" s="246">
        <f t="shared" si="4"/>
        <v>25764.872433327662</v>
      </c>
      <c r="I90" s="246">
        <v>64795.381162564299</v>
      </c>
      <c r="J90" s="332">
        <f>+'M) Police'!O90</f>
        <v>64394.023425582578</v>
      </c>
      <c r="K90" s="246">
        <f t="shared" si="5"/>
        <v>-401.35773698172125</v>
      </c>
    </row>
    <row r="91" spans="1:11" x14ac:dyDescent="0.25">
      <c r="A91" s="234">
        <f>'B) D RI'!A92</f>
        <v>5537</v>
      </c>
      <c r="B91" s="235" t="str">
        <f>'B) D RI'!B92</f>
        <v>Villars-le-Terroir</v>
      </c>
      <c r="C91" s="390">
        <v>538816.51890210505</v>
      </c>
      <c r="D91" s="332">
        <f>+Synthèse!F91</f>
        <v>498949.95518880559</v>
      </c>
      <c r="E91" s="246">
        <f t="shared" si="3"/>
        <v>-39866.56371329946</v>
      </c>
      <c r="F91" s="246">
        <v>152309.92903505726</v>
      </c>
      <c r="G91" s="332">
        <f>+Synthèse!G91+Synthèse!H91+Synthèse!I91+Synthèse!J91+Synthèse!K91</f>
        <v>-10261.810699396097</v>
      </c>
      <c r="H91" s="246">
        <f t="shared" si="4"/>
        <v>-162571.73973445335</v>
      </c>
      <c r="I91" s="246">
        <v>90695.105129405536</v>
      </c>
      <c r="J91" s="332">
        <f>+'M) Police'!O91</f>
        <v>93169.789217956801</v>
      </c>
      <c r="K91" s="246">
        <f t="shared" si="5"/>
        <v>2474.6840885512647</v>
      </c>
    </row>
    <row r="92" spans="1:11" x14ac:dyDescent="0.25">
      <c r="A92" s="234">
        <f>'B) D RI'!A93</f>
        <v>5539</v>
      </c>
      <c r="B92" s="235" t="str">
        <f>'B) D RI'!B93</f>
        <v>Vuarrens</v>
      </c>
      <c r="C92" s="390">
        <v>463491.64394748746</v>
      </c>
      <c r="D92" s="332">
        <f>+Synthèse!F92</f>
        <v>382540.63166212547</v>
      </c>
      <c r="E92" s="246">
        <f t="shared" si="3"/>
        <v>-80951.012285361998</v>
      </c>
      <c r="F92" s="246">
        <v>-125275.41343451338</v>
      </c>
      <c r="G92" s="332">
        <f>+Synthèse!G92+Synthèse!H92+Synthèse!I92+Synthèse!J92+Synthèse!K92</f>
        <v>-449665.37069515657</v>
      </c>
      <c r="H92" s="246">
        <f t="shared" si="4"/>
        <v>-324389.95726064319</v>
      </c>
      <c r="I92" s="246">
        <v>72001.352139222348</v>
      </c>
      <c r="J92" s="332">
        <f>+'M) Police'!O92</f>
        <v>70093.265128655767</v>
      </c>
      <c r="K92" s="246">
        <f t="shared" si="5"/>
        <v>-1908.0870105665817</v>
      </c>
    </row>
    <row r="93" spans="1:11" x14ac:dyDescent="0.25">
      <c r="A93" s="234">
        <f>'B) D RI'!A94</f>
        <v>5540</v>
      </c>
      <c r="B93" s="235" t="str">
        <f>'B) D RI'!B94</f>
        <v>Montilliez</v>
      </c>
      <c r="C93" s="390">
        <v>857414.5806425066</v>
      </c>
      <c r="D93" s="332">
        <f>+Synthèse!F93</f>
        <v>944309.37974519865</v>
      </c>
      <c r="E93" s="246">
        <f t="shared" si="3"/>
        <v>86894.79910269205</v>
      </c>
      <c r="F93" s="246">
        <v>-44712.609617051901</v>
      </c>
      <c r="G93" s="332">
        <f>+Synthèse!G93+Synthèse!H93+Synthèse!I93+Synthèse!J93+Synthèse!K93</f>
        <v>53048.876256484393</v>
      </c>
      <c r="H93" s="246">
        <f t="shared" si="4"/>
        <v>97761.485873536294</v>
      </c>
      <c r="I93" s="246">
        <v>157633.4715742665</v>
      </c>
      <c r="J93" s="332">
        <f>+'M) Police'!O93</f>
        <v>171897.1542602313</v>
      </c>
      <c r="K93" s="246">
        <f t="shared" si="5"/>
        <v>14263.682685964799</v>
      </c>
    </row>
    <row r="94" spans="1:11" x14ac:dyDescent="0.25">
      <c r="A94" s="234">
        <f>'B) D RI'!A95</f>
        <v>5541</v>
      </c>
      <c r="B94" s="235" t="str">
        <f>'B) D RI'!B95</f>
        <v>Goumoëns</v>
      </c>
      <c r="C94" s="390">
        <v>501931.7889552376</v>
      </c>
      <c r="D94" s="332">
        <f>+Synthèse!F94</f>
        <v>654305.40355389169</v>
      </c>
      <c r="E94" s="246">
        <f t="shared" si="3"/>
        <v>152373.61459865409</v>
      </c>
      <c r="F94" s="246">
        <v>41052.475053688104</v>
      </c>
      <c r="G94" s="332">
        <f>+Synthèse!G94+Synthèse!H94+Synthèse!I94+Synthèse!J94+Synthèse!K94</f>
        <v>88702.271570538112</v>
      </c>
      <c r="H94" s="246">
        <f t="shared" si="4"/>
        <v>47649.796516850009</v>
      </c>
      <c r="I94" s="246">
        <v>90990.374879587849</v>
      </c>
      <c r="J94" s="332">
        <f>+'M) Police'!O94</f>
        <v>101960.60954804608</v>
      </c>
      <c r="K94" s="246">
        <f t="shared" si="5"/>
        <v>10970.23466845823</v>
      </c>
    </row>
    <row r="95" spans="1:11" x14ac:dyDescent="0.25">
      <c r="A95" s="234">
        <f>'B) D RI'!A96</f>
        <v>5551</v>
      </c>
      <c r="B95" s="235" t="str">
        <f>'B) D RI'!B96</f>
        <v>Bonvillars</v>
      </c>
      <c r="C95" s="390">
        <v>391736.020492082</v>
      </c>
      <c r="D95" s="332">
        <f>+Synthèse!F95</f>
        <v>303105.02693229367</v>
      </c>
      <c r="E95" s="246">
        <f t="shared" si="3"/>
        <v>-88630.99355978833</v>
      </c>
      <c r="F95" s="246">
        <v>263584.68590467377</v>
      </c>
      <c r="G95" s="332">
        <f>+Synthèse!G95+Synthèse!H95+Synthèse!I95+Synthèse!J95+Synthèse!K95</f>
        <v>213065.23218148021</v>
      </c>
      <c r="H95" s="246">
        <f t="shared" si="4"/>
        <v>-50519.453723193554</v>
      </c>
      <c r="I95" s="246">
        <v>65819.614118751779</v>
      </c>
      <c r="J95" s="332">
        <f>+'M) Police'!O95</f>
        <v>58884.69109940304</v>
      </c>
      <c r="K95" s="246">
        <f t="shared" si="5"/>
        <v>-6934.9230193487383</v>
      </c>
    </row>
    <row r="96" spans="1:11" x14ac:dyDescent="0.25">
      <c r="A96" s="234">
        <f>'B) D RI'!A97</f>
        <v>5552</v>
      </c>
      <c r="B96" s="235" t="str">
        <f>'B) D RI'!B97</f>
        <v>Bullet</v>
      </c>
      <c r="C96" s="390">
        <v>315733.77701226133</v>
      </c>
      <c r="D96" s="332">
        <f>+Synthèse!F96</f>
        <v>323372.16718541773</v>
      </c>
      <c r="E96" s="246">
        <f t="shared" si="3"/>
        <v>7638.3901731563965</v>
      </c>
      <c r="F96" s="246">
        <v>-149551.96086273523</v>
      </c>
      <c r="G96" s="332">
        <f>+Synthèse!G96+Synthèse!H96+Synthèse!I96+Synthèse!J96+Synthèse!K96</f>
        <v>-188652.78988692968</v>
      </c>
      <c r="H96" s="246">
        <f t="shared" si="4"/>
        <v>-39100.829024194449</v>
      </c>
      <c r="I96" s="246">
        <v>48455.396315071222</v>
      </c>
      <c r="J96" s="332">
        <f>+'M) Police'!O96</f>
        <v>48514.975585754917</v>
      </c>
      <c r="K96" s="246">
        <f t="shared" si="5"/>
        <v>59.579270683694631</v>
      </c>
    </row>
    <row r="97" spans="1:11" x14ac:dyDescent="0.25">
      <c r="A97" s="234">
        <f>'B) D RI'!A98</f>
        <v>5553</v>
      </c>
      <c r="B97" s="235" t="str">
        <f>'B) D RI'!B98</f>
        <v>Champagne</v>
      </c>
      <c r="C97" s="390">
        <v>583681.56646659772</v>
      </c>
      <c r="D97" s="332">
        <f>+Synthèse!F97</f>
        <v>653508.84100566665</v>
      </c>
      <c r="E97" s="246">
        <f t="shared" si="3"/>
        <v>69827.274539068923</v>
      </c>
      <c r="F97" s="246">
        <v>274926.25064272905</v>
      </c>
      <c r="G97" s="332">
        <f>+Synthèse!G97+Synthèse!H97+Synthèse!I97+Synthèse!J97+Synthèse!K97</f>
        <v>-7186.1285925055272</v>
      </c>
      <c r="H97" s="246">
        <f t="shared" si="4"/>
        <v>-282112.37923523458</v>
      </c>
      <c r="I97" s="246">
        <v>109818.30268427648</v>
      </c>
      <c r="J97" s="332">
        <f>+'M) Police'!O97</f>
        <v>103061.24582495402</v>
      </c>
      <c r="K97" s="246">
        <f t="shared" si="5"/>
        <v>-6757.0568593224598</v>
      </c>
    </row>
    <row r="98" spans="1:11" x14ac:dyDescent="0.25">
      <c r="A98" s="234">
        <f>'B) D RI'!A99</f>
        <v>5554</v>
      </c>
      <c r="B98" s="235" t="str">
        <f>'B) D RI'!B99</f>
        <v>Concise</v>
      </c>
      <c r="C98" s="390">
        <v>503022.64653340331</v>
      </c>
      <c r="D98" s="332">
        <f>+Synthèse!F98</f>
        <v>502053.16020774131</v>
      </c>
      <c r="E98" s="246">
        <f t="shared" si="3"/>
        <v>-969.48632566200104</v>
      </c>
      <c r="F98" s="246">
        <v>98458.969219789433</v>
      </c>
      <c r="G98" s="332">
        <f>+Synthèse!G98+Synthèse!H98+Synthèse!I98+Synthèse!J98+Synthèse!K98</f>
        <v>44660.08305524844</v>
      </c>
      <c r="H98" s="246">
        <f t="shared" si="4"/>
        <v>-53798.886164540992</v>
      </c>
      <c r="I98" s="246">
        <v>92823.511974661815</v>
      </c>
      <c r="J98" s="332">
        <f>+'M) Police'!O98</f>
        <v>90531.249232231334</v>
      </c>
      <c r="K98" s="246">
        <f t="shared" si="5"/>
        <v>-2292.262742430481</v>
      </c>
    </row>
    <row r="99" spans="1:11" x14ac:dyDescent="0.25">
      <c r="A99" s="234">
        <f>'B) D RI'!A100</f>
        <v>5555</v>
      </c>
      <c r="B99" s="235" t="str">
        <f>'B) D RI'!B100</f>
        <v>Corcelles-près-Concise</v>
      </c>
      <c r="C99" s="390">
        <v>186949.88541522063</v>
      </c>
      <c r="D99" s="332">
        <f>+Synthèse!F99</f>
        <v>203259.73240392149</v>
      </c>
      <c r="E99" s="246">
        <f t="shared" si="3"/>
        <v>16309.846988700854</v>
      </c>
      <c r="F99" s="246">
        <v>-80876.231750919775</v>
      </c>
      <c r="G99" s="332">
        <f>+Synthèse!G99+Synthèse!H99+Synthèse!I99+Synthèse!J99+Synthèse!K99</f>
        <v>-44585.891167666021</v>
      </c>
      <c r="H99" s="246">
        <f t="shared" si="4"/>
        <v>36290.340583253754</v>
      </c>
      <c r="I99" s="246">
        <v>30122.722376346785</v>
      </c>
      <c r="J99" s="332">
        <f>+'M) Police'!O99</f>
        <v>34095.415069977033</v>
      </c>
      <c r="K99" s="246">
        <f t="shared" si="5"/>
        <v>3972.692693630248</v>
      </c>
    </row>
    <row r="100" spans="1:11" x14ac:dyDescent="0.25">
      <c r="A100" s="234">
        <f>'B) D RI'!A101</f>
        <v>5556</v>
      </c>
      <c r="B100" s="235" t="str">
        <f>'B) D RI'!B101</f>
        <v>Fiez</v>
      </c>
      <c r="C100" s="390">
        <v>205438.62693169864</v>
      </c>
      <c r="D100" s="332">
        <f>+Synthèse!F100</f>
        <v>207831.82045070457</v>
      </c>
      <c r="E100" s="246">
        <f t="shared" si="3"/>
        <v>2393.1935190059303</v>
      </c>
      <c r="F100" s="246">
        <v>-21679.530800592998</v>
      </c>
      <c r="G100" s="332">
        <f>+Synthèse!G100+Synthèse!H100+Synthèse!I100+Synthèse!J100+Synthèse!K100</f>
        <v>31187.580990870556</v>
      </c>
      <c r="H100" s="246">
        <f t="shared" si="4"/>
        <v>52867.111791463554</v>
      </c>
      <c r="I100" s="246">
        <v>34881.071183948588</v>
      </c>
      <c r="J100" s="332">
        <f>+'M) Police'!O100</f>
        <v>39034.588315969624</v>
      </c>
      <c r="K100" s="246">
        <f t="shared" si="5"/>
        <v>4153.5171320210356</v>
      </c>
    </row>
    <row r="101" spans="1:11" x14ac:dyDescent="0.25">
      <c r="A101" s="234">
        <f>'B) D RI'!A102</f>
        <v>5557</v>
      </c>
      <c r="B101" s="235" t="str">
        <f>'B) D RI'!B102</f>
        <v>Fontaines-sur-Grandson</v>
      </c>
      <c r="C101" s="390">
        <v>104777.46264534543</v>
      </c>
      <c r="D101" s="332">
        <f>+Synthèse!F101</f>
        <v>76680.734135617327</v>
      </c>
      <c r="E101" s="246">
        <f t="shared" si="3"/>
        <v>-28096.728509728098</v>
      </c>
      <c r="F101" s="246">
        <v>-1844.7194462968473</v>
      </c>
      <c r="G101" s="332">
        <f>+Synthèse!G101+Synthèse!H101+Synthèse!I101+Synthèse!J101+Synthèse!K101</f>
        <v>-70792.029204660517</v>
      </c>
      <c r="H101" s="246">
        <f t="shared" si="4"/>
        <v>-68947.30975836367</v>
      </c>
      <c r="I101" s="246">
        <v>14734.69256768941</v>
      </c>
      <c r="J101" s="332">
        <f>+'M) Police'!O101</f>
        <v>12340.244769022484</v>
      </c>
      <c r="K101" s="246">
        <f t="shared" si="5"/>
        <v>-2394.4477986669262</v>
      </c>
    </row>
    <row r="102" spans="1:11" x14ac:dyDescent="0.25">
      <c r="A102" s="234">
        <f>'B) D RI'!A103</f>
        <v>5559</v>
      </c>
      <c r="B102" s="235" t="str">
        <f>'B) D RI'!B103</f>
        <v>Giez</v>
      </c>
      <c r="C102" s="390">
        <v>355408.52334942028</v>
      </c>
      <c r="D102" s="332">
        <f>+Synthèse!F102</f>
        <v>433746.4261541235</v>
      </c>
      <c r="E102" s="246">
        <f t="shared" si="3"/>
        <v>78337.902804703219</v>
      </c>
      <c r="F102" s="246">
        <v>181329.33571706613</v>
      </c>
      <c r="G102" s="332">
        <f>+Synthèse!G102+Synthèse!H102+Synthèse!I102+Synthèse!J102+Synthèse!K102</f>
        <v>296608.62528361665</v>
      </c>
      <c r="H102" s="246">
        <f t="shared" si="4"/>
        <v>115279.28956655052</v>
      </c>
      <c r="I102" s="246">
        <v>47050.091056000994</v>
      </c>
      <c r="J102" s="332">
        <f>+'M) Police'!O102</f>
        <v>56912.8861782206</v>
      </c>
      <c r="K102" s="246">
        <f t="shared" si="5"/>
        <v>9862.7951222196061</v>
      </c>
    </row>
    <row r="103" spans="1:11" x14ac:dyDescent="0.25">
      <c r="A103" s="234">
        <f>'B) D RI'!A104</f>
        <v>5560</v>
      </c>
      <c r="B103" s="235" t="str">
        <f>'B) D RI'!B104</f>
        <v>Grandevent</v>
      </c>
      <c r="C103" s="390">
        <v>136622.54963639879</v>
      </c>
      <c r="D103" s="332">
        <f>+Synthèse!F103</f>
        <v>100472.61183010944</v>
      </c>
      <c r="E103" s="246">
        <f t="shared" si="3"/>
        <v>-36149.937806289352</v>
      </c>
      <c r="F103" s="246">
        <v>25170.419051955629</v>
      </c>
      <c r="G103" s="332">
        <f>+Synthèse!G103+Synthèse!H103+Synthèse!I103+Synthèse!J103+Synthèse!K103</f>
        <v>8789.3171415936558</v>
      </c>
      <c r="H103" s="246">
        <f t="shared" si="4"/>
        <v>-16381.101910361973</v>
      </c>
      <c r="I103" s="246">
        <v>19470.249093849226</v>
      </c>
      <c r="J103" s="332">
        <f>+'M) Police'!O103</f>
        <v>19968.536784223354</v>
      </c>
      <c r="K103" s="246">
        <f t="shared" si="5"/>
        <v>498.28769037412712</v>
      </c>
    </row>
    <row r="104" spans="1:11" x14ac:dyDescent="0.25">
      <c r="A104" s="234">
        <f>'B) D RI'!A105</f>
        <v>5561</v>
      </c>
      <c r="B104" s="235" t="str">
        <f>'B) D RI'!B105</f>
        <v>Grandson</v>
      </c>
      <c r="C104" s="390">
        <v>1959677.6414907221</v>
      </c>
      <c r="D104" s="332">
        <f>+Synthèse!F104</f>
        <v>2130045.2847449514</v>
      </c>
      <c r="E104" s="246">
        <f t="shared" si="3"/>
        <v>170367.64325422933</v>
      </c>
      <c r="F104" s="246">
        <v>-123579.32770560961</v>
      </c>
      <c r="G104" s="332">
        <f>+Synthèse!G104+Synthèse!H104+Synthèse!I104+Synthèse!J104+Synthèse!K104</f>
        <v>-118847.70398741891</v>
      </c>
      <c r="H104" s="246">
        <f t="shared" si="4"/>
        <v>4731.6237181907054</v>
      </c>
      <c r="I104" s="246">
        <v>348037.85400907858</v>
      </c>
      <c r="J104" s="332">
        <f>+'M) Police'!O104</f>
        <v>361118.55059431348</v>
      </c>
      <c r="K104" s="246">
        <f t="shared" si="5"/>
        <v>13080.696585234895</v>
      </c>
    </row>
    <row r="105" spans="1:11" x14ac:dyDescent="0.25">
      <c r="A105" s="234">
        <f>'B) D RI'!A106</f>
        <v>5562</v>
      </c>
      <c r="B105" s="235" t="str">
        <f>'B) D RI'!B106</f>
        <v>Mauborget</v>
      </c>
      <c r="C105" s="390">
        <v>77674.32427278308</v>
      </c>
      <c r="D105" s="332">
        <f>+Synthèse!F105</f>
        <v>61733.751425373994</v>
      </c>
      <c r="E105" s="246">
        <f t="shared" si="3"/>
        <v>-15940.572847409087</v>
      </c>
      <c r="F105" s="246">
        <v>8224.3627539495501</v>
      </c>
      <c r="G105" s="332">
        <f>+Synthèse!G105+Synthèse!H105+Synthèse!I105+Synthèse!J105+Synthèse!K105</f>
        <v>2083.188193306436</v>
      </c>
      <c r="H105" s="246">
        <f t="shared" si="4"/>
        <v>-6141.1745606431141</v>
      </c>
      <c r="I105" s="246">
        <v>10535.753086436969</v>
      </c>
      <c r="J105" s="332">
        <f>+'M) Police'!O105</f>
        <v>11144.944494430707</v>
      </c>
      <c r="K105" s="246">
        <f t="shared" si="5"/>
        <v>609.19140799373781</v>
      </c>
    </row>
    <row r="106" spans="1:11" x14ac:dyDescent="0.25">
      <c r="A106" s="234">
        <f>'B) D RI'!A107</f>
        <v>5563</v>
      </c>
      <c r="B106" s="235" t="str">
        <f>'B) D RI'!B107</f>
        <v>Mutrux</v>
      </c>
      <c r="C106" s="390">
        <v>64397.239453790768</v>
      </c>
      <c r="D106" s="332">
        <f>+Synthèse!F106</f>
        <v>76108.817277359136</v>
      </c>
      <c r="E106" s="246">
        <f t="shared" si="3"/>
        <v>11711.577823568368</v>
      </c>
      <c r="F106" s="246">
        <v>-54355.462287760543</v>
      </c>
      <c r="G106" s="332">
        <f>+Synthèse!G106+Synthèse!H106+Synthèse!I106+Synthèse!J106+Synthèse!K106</f>
        <v>-28266.228595706896</v>
      </c>
      <c r="H106" s="246">
        <f t="shared" si="4"/>
        <v>26089.233692053647</v>
      </c>
      <c r="I106" s="246">
        <v>12096.162878186953</v>
      </c>
      <c r="J106" s="332">
        <f>+'M) Police'!O106</f>
        <v>13509.261761791584</v>
      </c>
      <c r="K106" s="246">
        <f t="shared" si="5"/>
        <v>1413.0988836046308</v>
      </c>
    </row>
    <row r="107" spans="1:11" x14ac:dyDescent="0.25">
      <c r="A107" s="234">
        <f>'B) D RI'!A108</f>
        <v>5564</v>
      </c>
      <c r="B107" s="235" t="str">
        <f>'B) D RI'!B108</f>
        <v>Novalles</v>
      </c>
      <c r="C107" s="390">
        <v>43912.067258894924</v>
      </c>
      <c r="D107" s="332">
        <f>+Synthèse!F107</f>
        <v>45222.974188640379</v>
      </c>
      <c r="E107" s="246">
        <f t="shared" si="3"/>
        <v>1310.9069297454553</v>
      </c>
      <c r="F107" s="246">
        <v>-21958.200212883043</v>
      </c>
      <c r="G107" s="332">
        <f>+Synthèse!G107+Synthèse!H107+Synthèse!I107+Synthèse!J107+Synthèse!K107</f>
        <v>-36281.964452687178</v>
      </c>
      <c r="H107" s="246">
        <f t="shared" si="4"/>
        <v>-14323.764239804135</v>
      </c>
      <c r="I107" s="246">
        <v>7731.1404035330434</v>
      </c>
      <c r="J107" s="332">
        <f>+'M) Police'!O107</f>
        <v>6444.6273665983226</v>
      </c>
      <c r="K107" s="246">
        <f t="shared" si="5"/>
        <v>-1286.5130369347207</v>
      </c>
    </row>
    <row r="108" spans="1:11" x14ac:dyDescent="0.25">
      <c r="A108" s="234">
        <f>'B) D RI'!A109</f>
        <v>5565</v>
      </c>
      <c r="B108" s="235" t="str">
        <f>'B) D RI'!B109</f>
        <v>Onnens</v>
      </c>
      <c r="C108" s="390">
        <v>566112.48840329284</v>
      </c>
      <c r="D108" s="332">
        <f>+Synthèse!F108</f>
        <v>280196.99992122973</v>
      </c>
      <c r="E108" s="246">
        <f t="shared" si="3"/>
        <v>-285915.48848206311</v>
      </c>
      <c r="F108" s="246">
        <v>208276.4960377352</v>
      </c>
      <c r="G108" s="332">
        <f>+Synthèse!G108+Synthèse!H108+Synthèse!I108+Synthèse!J108+Synthèse!K108</f>
        <v>155539.49115686302</v>
      </c>
      <c r="H108" s="246">
        <f t="shared" si="4"/>
        <v>-52737.004880872177</v>
      </c>
      <c r="I108" s="246">
        <v>56472.671735737778</v>
      </c>
      <c r="J108" s="332">
        <f>+'M) Police'!O108</f>
        <v>54520.55147457523</v>
      </c>
      <c r="K108" s="246">
        <f t="shared" si="5"/>
        <v>-1952.1202611625486</v>
      </c>
    </row>
    <row r="109" spans="1:11" x14ac:dyDescent="0.25">
      <c r="A109" s="234">
        <f>'B) D RI'!A110</f>
        <v>5566</v>
      </c>
      <c r="B109" s="235" t="str">
        <f>'B) D RI'!B110</f>
        <v>Provence</v>
      </c>
      <c r="C109" s="390">
        <v>125185.76597892855</v>
      </c>
      <c r="D109" s="332">
        <f>+Synthèse!F109</f>
        <v>173945.73456972721</v>
      </c>
      <c r="E109" s="246">
        <f t="shared" si="3"/>
        <v>48759.968590798657</v>
      </c>
      <c r="F109" s="246">
        <v>-266028.13959802868</v>
      </c>
      <c r="G109" s="332">
        <f>+Synthèse!G109+Synthèse!H109+Synthèse!I109+Synthèse!J109+Synthèse!K109</f>
        <v>-228646.49322107557</v>
      </c>
      <c r="H109" s="246">
        <f t="shared" si="4"/>
        <v>37381.646376953111</v>
      </c>
      <c r="I109" s="246">
        <v>22084.197850016837</v>
      </c>
      <c r="J109" s="332">
        <f>+'M) Police'!O109</f>
        <v>26919.629067575635</v>
      </c>
      <c r="K109" s="246">
        <f t="shared" si="5"/>
        <v>4835.4312175587984</v>
      </c>
    </row>
    <row r="110" spans="1:11" x14ac:dyDescent="0.25">
      <c r="A110" s="234">
        <f>'B) D RI'!A111</f>
        <v>5568</v>
      </c>
      <c r="B110" s="235" t="str">
        <f>'B) D RI'!B111</f>
        <v>Sainte-Croix</v>
      </c>
      <c r="C110" s="390">
        <v>2446834.359166495</v>
      </c>
      <c r="D110" s="332">
        <f>+Synthèse!F110</f>
        <v>2289364.9719642568</v>
      </c>
      <c r="E110" s="246">
        <f t="shared" si="3"/>
        <v>-157469.3872022382</v>
      </c>
      <c r="F110" s="246">
        <v>-2958161.4808710124</v>
      </c>
      <c r="G110" s="332">
        <f>+Synthèse!G110+Synthèse!H110+Synthèse!I110+Synthèse!J110+Synthèse!K110</f>
        <v>-3207284.2743556653</v>
      </c>
      <c r="H110" s="246">
        <f t="shared" si="4"/>
        <v>-249122.79348465288</v>
      </c>
      <c r="I110" s="246">
        <v>304169.70477884909</v>
      </c>
      <c r="J110" s="332">
        <f>+'M) Police'!O110</f>
        <v>299189.17546856531</v>
      </c>
      <c r="K110" s="246">
        <f t="shared" si="5"/>
        <v>-4980.529310283775</v>
      </c>
    </row>
    <row r="111" spans="1:11" x14ac:dyDescent="0.25">
      <c r="A111" s="234">
        <f>'B) D RI'!A112</f>
        <v>5571</v>
      </c>
      <c r="B111" s="235" t="str">
        <f>'B) D RI'!B112</f>
        <v>Tévenon</v>
      </c>
      <c r="C111" s="390">
        <v>366074.86376907007</v>
      </c>
      <c r="D111" s="332">
        <f>+Synthèse!F111</f>
        <v>505579.61725337786</v>
      </c>
      <c r="E111" s="246">
        <f t="shared" si="3"/>
        <v>139504.75348430779</v>
      </c>
      <c r="F111" s="246">
        <v>-72895.31414975092</v>
      </c>
      <c r="G111" s="332">
        <f>+Synthèse!G111+Synthèse!H111+Synthèse!I111+Synthèse!J111+Synthèse!K111</f>
        <v>-112174.84676969961</v>
      </c>
      <c r="H111" s="246">
        <f t="shared" si="4"/>
        <v>-39279.532619948688</v>
      </c>
      <c r="I111" s="246">
        <v>62764.235282522262</v>
      </c>
      <c r="J111" s="332">
        <f>+'M) Police'!O111</f>
        <v>64992.652522058575</v>
      </c>
      <c r="K111" s="246">
        <f t="shared" si="5"/>
        <v>2228.417239536313</v>
      </c>
    </row>
    <row r="112" spans="1:11" x14ac:dyDescent="0.25">
      <c r="A112" s="234">
        <f>'B) D RI'!A113</f>
        <v>5581</v>
      </c>
      <c r="B112" s="235" t="str">
        <f>'B) D RI'!B113</f>
        <v>Belmont-sur-Lausanne</v>
      </c>
      <c r="C112" s="390">
        <v>3224660.7768268478</v>
      </c>
      <c r="D112" s="332">
        <f>+Synthèse!F112</f>
        <v>3066152.9387613223</v>
      </c>
      <c r="E112" s="246">
        <f t="shared" si="3"/>
        <v>-158507.83806552552</v>
      </c>
      <c r="F112" s="246">
        <v>1688925</v>
      </c>
      <c r="G112" s="332">
        <f>+Synthèse!G112+Synthèse!H112+Synthèse!I112+Synthèse!J112+Synthèse!K112</f>
        <v>1822452.7597408555</v>
      </c>
      <c r="H112" s="246">
        <f t="shared" si="4"/>
        <v>133527.75974085554</v>
      </c>
      <c r="I112" s="246">
        <v>243274.22281547016</v>
      </c>
      <c r="J112" s="332">
        <f>+'M) Police'!O112</f>
        <v>239484.6713147588</v>
      </c>
      <c r="K112" s="246">
        <f t="shared" si="5"/>
        <v>-3789.5515007113572</v>
      </c>
    </row>
    <row r="113" spans="1:11" x14ac:dyDescent="0.25">
      <c r="A113" s="234">
        <f>'B) D RI'!A114</f>
        <v>5582</v>
      </c>
      <c r="B113" s="235" t="str">
        <f>'B) D RI'!B114</f>
        <v>Cheseaux-sur-Lausanne</v>
      </c>
      <c r="C113" s="390">
        <v>2472327.9650441213</v>
      </c>
      <c r="D113" s="332">
        <f>+Synthèse!F113</f>
        <v>3436447.2175521576</v>
      </c>
      <c r="E113" s="246">
        <f t="shared" si="3"/>
        <v>964119.25250803633</v>
      </c>
      <c r="F113" s="246">
        <v>402877.29558924958</v>
      </c>
      <c r="G113" s="332">
        <f>+Synthèse!G113+Synthèse!H113+Synthèse!I113+Synthèse!J113+Synthèse!K113</f>
        <v>2267476.3453110196</v>
      </c>
      <c r="H113" s="246">
        <f t="shared" si="4"/>
        <v>1864599.04972177</v>
      </c>
      <c r="I113" s="246">
        <v>466301.53282220883</v>
      </c>
      <c r="J113" s="332">
        <f>+'M) Police'!O113</f>
        <v>638968.02024598664</v>
      </c>
      <c r="K113" s="246">
        <f t="shared" si="5"/>
        <v>172666.48742377781</v>
      </c>
    </row>
    <row r="114" spans="1:11" x14ac:dyDescent="0.25">
      <c r="A114" s="234">
        <f>'B) D RI'!A115</f>
        <v>5583</v>
      </c>
      <c r="B114" s="235" t="str">
        <f>'B) D RI'!B115</f>
        <v>Crissier</v>
      </c>
      <c r="C114" s="390">
        <v>5598404.7378964797</v>
      </c>
      <c r="D114" s="332">
        <f>+Synthèse!F114</f>
        <v>5412402.4601610294</v>
      </c>
      <c r="E114" s="246">
        <f t="shared" si="3"/>
        <v>-186002.27773545031</v>
      </c>
      <c r="F114" s="246">
        <v>-86062.755459388718</v>
      </c>
      <c r="G114" s="332">
        <f>+Synthèse!G114+Synthèse!H114+Synthèse!I114+Synthèse!J114+Synthèse!K114</f>
        <v>-69699.127631660551</v>
      </c>
      <c r="H114" s="246">
        <f t="shared" si="4"/>
        <v>16363.627827728167</v>
      </c>
      <c r="I114" s="246">
        <v>405785.04667603027</v>
      </c>
      <c r="J114" s="332">
        <f>+'M) Police'!O114</f>
        <v>399144.98840331938</v>
      </c>
      <c r="K114" s="246">
        <f t="shared" si="5"/>
        <v>-6640.0582727108849</v>
      </c>
    </row>
    <row r="115" spans="1:11" x14ac:dyDescent="0.25">
      <c r="A115" s="234">
        <f>'B) D RI'!A116</f>
        <v>5584</v>
      </c>
      <c r="B115" s="235" t="str">
        <f>'B) D RI'!B116</f>
        <v>Epalinges</v>
      </c>
      <c r="C115" s="390">
        <v>7833820.8707145229</v>
      </c>
      <c r="D115" s="332">
        <f>+Synthèse!F115</f>
        <v>8945706.7505870461</v>
      </c>
      <c r="E115" s="246">
        <f t="shared" si="3"/>
        <v>1111885.8798725232</v>
      </c>
      <c r="F115" s="246">
        <v>1903221</v>
      </c>
      <c r="G115" s="332">
        <f>+Synthèse!G115+Synthèse!H115+Synthèse!I115+Synthèse!J115+Synthèse!K115</f>
        <v>1167079.7345271269</v>
      </c>
      <c r="H115" s="246">
        <f t="shared" si="4"/>
        <v>-736141.26547287311</v>
      </c>
      <c r="I115" s="246">
        <v>1388387.6689100517</v>
      </c>
      <c r="J115" s="332">
        <f>+'M) Police'!O115</f>
        <v>1392451.6696078116</v>
      </c>
      <c r="K115" s="246">
        <f t="shared" si="5"/>
        <v>4064.0006977599114</v>
      </c>
    </row>
    <row r="116" spans="1:11" x14ac:dyDescent="0.25">
      <c r="A116" s="234">
        <f>'B) D RI'!A117</f>
        <v>5585</v>
      </c>
      <c r="B116" s="235" t="str">
        <f>'B) D RI'!B117</f>
        <v>Jouxtens-Mézery</v>
      </c>
      <c r="C116" s="390">
        <v>5513978.4505080171</v>
      </c>
      <c r="D116" s="332">
        <f>+Synthèse!F116</f>
        <v>5866842.8831952624</v>
      </c>
      <c r="E116" s="246">
        <f t="shared" si="3"/>
        <v>352864.43268724531</v>
      </c>
      <c r="F116" s="246">
        <v>2258143</v>
      </c>
      <c r="G116" s="332">
        <f>+Synthèse!G116+Synthèse!H116+Synthèse!I116+Synthèse!J116+Synthèse!K116</f>
        <v>2374917.5545980511</v>
      </c>
      <c r="H116" s="246">
        <f t="shared" si="4"/>
        <v>116774.55459805112</v>
      </c>
      <c r="I116" s="246">
        <v>301747.66804596258</v>
      </c>
      <c r="J116" s="332">
        <f>+'M) Police'!O116</f>
        <v>307309.01983580698</v>
      </c>
      <c r="K116" s="246">
        <f t="shared" si="5"/>
        <v>5561.351789844397</v>
      </c>
    </row>
    <row r="117" spans="1:11" x14ac:dyDescent="0.25">
      <c r="A117" s="234">
        <f>'B) D RI'!A118</f>
        <v>5586</v>
      </c>
      <c r="B117" s="235" t="str">
        <f>'B) D RI'!B118</f>
        <v>Lausanne</v>
      </c>
      <c r="C117" s="390">
        <v>106903096.92548676</v>
      </c>
      <c r="D117" s="332">
        <f>+Synthèse!F117</f>
        <v>104785082.45929937</v>
      </c>
      <c r="E117" s="246">
        <f t="shared" si="3"/>
        <v>-2118014.4661873877</v>
      </c>
      <c r="F117" s="246">
        <v>-68658111</v>
      </c>
      <c r="G117" s="332">
        <f>+Synthèse!G117+Synthèse!H117+Synthèse!I117+Synthèse!J117+Synthèse!K117</f>
        <v>-66992339.129927158</v>
      </c>
      <c r="H117" s="246">
        <f t="shared" si="4"/>
        <v>1665771.8700728416</v>
      </c>
      <c r="I117" s="246">
        <v>8147615.1389506711</v>
      </c>
      <c r="J117" s="332">
        <f>+'M) Police'!O117</f>
        <v>7778814.6723031113</v>
      </c>
      <c r="K117" s="246">
        <f t="shared" si="5"/>
        <v>-368800.46664755978</v>
      </c>
    </row>
    <row r="118" spans="1:11" x14ac:dyDescent="0.25">
      <c r="A118" s="234">
        <f>'B) D RI'!A119</f>
        <v>5587</v>
      </c>
      <c r="B118" s="235" t="str">
        <f>'B) D RI'!B119</f>
        <v>Le Mont-sur-Lausanne</v>
      </c>
      <c r="C118" s="390">
        <v>6309781.0192475095</v>
      </c>
      <c r="D118" s="332">
        <f>+Synthèse!F118</f>
        <v>7161514.2582862731</v>
      </c>
      <c r="E118" s="246">
        <f t="shared" si="3"/>
        <v>851733.23903876357</v>
      </c>
      <c r="F118" s="246">
        <v>1472643</v>
      </c>
      <c r="G118" s="332">
        <f>+Synthèse!G118+Synthèse!H118+Synthèse!I118+Synthèse!J118+Synthèse!K118</f>
        <v>2089887.5021287934</v>
      </c>
      <c r="H118" s="246">
        <f t="shared" si="4"/>
        <v>617244.50212879339</v>
      </c>
      <c r="I118" s="246">
        <v>1066963.3686570914</v>
      </c>
      <c r="J118" s="332">
        <f>+'M) Police'!O118</f>
        <v>1215013.7204627353</v>
      </c>
      <c r="K118" s="246">
        <f t="shared" si="5"/>
        <v>148050.35180564388</v>
      </c>
    </row>
    <row r="119" spans="1:11" x14ac:dyDescent="0.25">
      <c r="A119" s="234">
        <f>'B) D RI'!A120</f>
        <v>5588</v>
      </c>
      <c r="B119" s="235" t="str">
        <f>'B) D RI'!B120</f>
        <v>Paudex</v>
      </c>
      <c r="C119" s="390">
        <v>3865333.7544512833</v>
      </c>
      <c r="D119" s="332">
        <f>+Synthèse!F119</f>
        <v>4301496.733174446</v>
      </c>
      <c r="E119" s="246">
        <f t="shared" si="3"/>
        <v>436162.97872316279</v>
      </c>
      <c r="F119" s="246">
        <v>1957390</v>
      </c>
      <c r="G119" s="332">
        <f>+Synthèse!G119+Synthèse!H119+Synthèse!I119+Synthèse!J119+Synthèse!K119</f>
        <v>2043986.0070339909</v>
      </c>
      <c r="H119" s="246">
        <f t="shared" si="4"/>
        <v>86596.007033990929</v>
      </c>
      <c r="I119" s="246">
        <v>161226.58931479984</v>
      </c>
      <c r="J119" s="332">
        <f>+'M) Police'!O119</f>
        <v>159073.34954149052</v>
      </c>
      <c r="K119" s="246">
        <f t="shared" si="5"/>
        <v>-2153.2397733093239</v>
      </c>
    </row>
    <row r="120" spans="1:11" x14ac:dyDescent="0.25">
      <c r="A120" s="234">
        <f>'B) D RI'!A121</f>
        <v>5589</v>
      </c>
      <c r="B120" s="235" t="str">
        <f>'B) D RI'!B121</f>
        <v>Prilly</v>
      </c>
      <c r="C120" s="390">
        <v>6945620.1338588875</v>
      </c>
      <c r="D120" s="332">
        <f>+Synthèse!F120</f>
        <v>8004548.6016607322</v>
      </c>
      <c r="E120" s="246">
        <f t="shared" si="3"/>
        <v>1058928.4678018447</v>
      </c>
      <c r="F120" s="246">
        <v>-4137452.7768248096</v>
      </c>
      <c r="G120" s="332">
        <f>+Synthèse!G120+Synthèse!H120+Synthèse!I120+Synthèse!J120+Synthèse!K120</f>
        <v>-2046086.0550856879</v>
      </c>
      <c r="H120" s="246">
        <f t="shared" si="4"/>
        <v>2091366.7217391217</v>
      </c>
      <c r="I120" s="246">
        <v>553397.96046708839</v>
      </c>
      <c r="J120" s="332">
        <f>+'M) Police'!O120</f>
        <v>560258.15704488882</v>
      </c>
      <c r="K120" s="246">
        <f t="shared" si="5"/>
        <v>6860.1965778004378</v>
      </c>
    </row>
    <row r="121" spans="1:11" x14ac:dyDescent="0.25">
      <c r="A121" s="234">
        <f>'B) D RI'!A122</f>
        <v>5590</v>
      </c>
      <c r="B121" s="235" t="str">
        <f>'B) D RI'!B122</f>
        <v>Pully</v>
      </c>
      <c r="C121" s="390">
        <v>35147992.969856247</v>
      </c>
      <c r="D121" s="332">
        <f>+Synthèse!F121</f>
        <v>32460078.318529837</v>
      </c>
      <c r="E121" s="246">
        <f t="shared" si="3"/>
        <v>-2687914.6513264105</v>
      </c>
      <c r="F121" s="246">
        <v>8605783</v>
      </c>
      <c r="G121" s="332">
        <f>+Synthèse!G121+Synthèse!H121+Synthèse!I121+Synthèse!J121+Synthèse!K121</f>
        <v>8882076.4193719756</v>
      </c>
      <c r="H121" s="246">
        <f t="shared" si="4"/>
        <v>276293.41937197559</v>
      </c>
      <c r="I121" s="246">
        <v>1665544.465599905</v>
      </c>
      <c r="J121" s="332">
        <f>+'M) Police'!O121</f>
        <v>1609585.1212925578</v>
      </c>
      <c r="K121" s="246">
        <f t="shared" si="5"/>
        <v>-55959.344307347201</v>
      </c>
    </row>
    <row r="122" spans="1:11" x14ac:dyDescent="0.25">
      <c r="A122" s="234">
        <f>'B) D RI'!A123</f>
        <v>5591</v>
      </c>
      <c r="B122" s="235" t="str">
        <f>'B) D RI'!B123</f>
        <v>Renens</v>
      </c>
      <c r="C122" s="390">
        <v>9757974.9755694009</v>
      </c>
      <c r="D122" s="332">
        <f>+Synthèse!F122</f>
        <v>9457393.5236131288</v>
      </c>
      <c r="E122" s="246">
        <f t="shared" si="3"/>
        <v>-300581.45195627213</v>
      </c>
      <c r="F122" s="246">
        <v>-17651027.042876042</v>
      </c>
      <c r="G122" s="332">
        <f>+Synthèse!G122+Synthèse!H122+Synthèse!I122+Synthèse!J122+Synthèse!K122</f>
        <v>-17648125.239593789</v>
      </c>
      <c r="H122" s="246">
        <f t="shared" si="4"/>
        <v>2901.8032822534442</v>
      </c>
      <c r="I122" s="246">
        <v>684687.51226649131</v>
      </c>
      <c r="J122" s="332">
        <f>+'M) Police'!O122</f>
        <v>678145.76787299104</v>
      </c>
      <c r="K122" s="246">
        <f t="shared" si="5"/>
        <v>-6541.7443935002666</v>
      </c>
    </row>
    <row r="123" spans="1:11" x14ac:dyDescent="0.25">
      <c r="A123" s="234">
        <f>'B) D RI'!A124</f>
        <v>5592</v>
      </c>
      <c r="B123" s="235" t="str">
        <f>'B) D RI'!B124</f>
        <v>Romanel-sur-Lausanne</v>
      </c>
      <c r="C123" s="390">
        <v>2027338.5113348556</v>
      </c>
      <c r="D123" s="332">
        <f>+Synthèse!F123</f>
        <v>1905616.5159938911</v>
      </c>
      <c r="E123" s="246">
        <f t="shared" si="3"/>
        <v>-121721.99534096452</v>
      </c>
      <c r="F123" s="246">
        <v>509179.59412413975</v>
      </c>
      <c r="G123" s="332">
        <f>+Synthèse!G123+Synthèse!H123+Synthèse!I123+Synthèse!J123+Synthèse!K123</f>
        <v>400920.86641345831</v>
      </c>
      <c r="H123" s="246">
        <f t="shared" si="4"/>
        <v>-108258.72771068144</v>
      </c>
      <c r="I123" s="246">
        <v>365610.70312828314</v>
      </c>
      <c r="J123" s="332">
        <f>+'M) Police'!O123</f>
        <v>356917.69874020212</v>
      </c>
      <c r="K123" s="246">
        <f t="shared" si="5"/>
        <v>-8693.0043880810263</v>
      </c>
    </row>
    <row r="124" spans="1:11" x14ac:dyDescent="0.25">
      <c r="A124" s="234">
        <f>'B) D RI'!A125</f>
        <v>5601</v>
      </c>
      <c r="B124" s="235" t="str">
        <f>'B) D RI'!B125</f>
        <v>Chexbres</v>
      </c>
      <c r="C124" s="390">
        <v>1873947.0868966011</v>
      </c>
      <c r="D124" s="332">
        <f>+Synthèse!F124</f>
        <v>1740305.1021120269</v>
      </c>
      <c r="E124" s="246">
        <f t="shared" si="3"/>
        <v>-133641.98478457425</v>
      </c>
      <c r="F124" s="246">
        <v>1221326</v>
      </c>
      <c r="G124" s="332">
        <f>+Synthèse!G124+Synthèse!H124+Synthèse!I124+Synthèse!J124+Synthèse!K124</f>
        <v>1127098.8152957044</v>
      </c>
      <c r="H124" s="246">
        <f t="shared" si="4"/>
        <v>-94227.184704295592</v>
      </c>
      <c r="I124" s="246">
        <v>137693.40786408604</v>
      </c>
      <c r="J124" s="332">
        <f>+'M) Police'!O124</f>
        <v>127712.27288642609</v>
      </c>
      <c r="K124" s="246">
        <f t="shared" si="5"/>
        <v>-9981.1349776599527</v>
      </c>
    </row>
    <row r="125" spans="1:11" x14ac:dyDescent="0.25">
      <c r="A125" s="234">
        <f>'B) D RI'!A126</f>
        <v>5604</v>
      </c>
      <c r="B125" s="235" t="str">
        <f>'B) D RI'!B126</f>
        <v>Forel (Lavaux)</v>
      </c>
      <c r="C125" s="390">
        <v>1262107.3549302609</v>
      </c>
      <c r="D125" s="332">
        <f>+Synthèse!F125</f>
        <v>1195024.0983284514</v>
      </c>
      <c r="E125" s="246">
        <f t="shared" si="3"/>
        <v>-67083.256601809524</v>
      </c>
      <c r="F125" s="246">
        <v>386353.50728979765</v>
      </c>
      <c r="G125" s="332">
        <f>+Synthèse!G125+Synthèse!H125+Synthèse!I125+Synthèse!J125+Synthèse!K125</f>
        <v>233459.4450600133</v>
      </c>
      <c r="H125" s="246">
        <f t="shared" si="4"/>
        <v>-152894.06222978435</v>
      </c>
      <c r="I125" s="246">
        <v>236155.28322139959</v>
      </c>
      <c r="J125" s="332">
        <f>+'M) Police'!O125</f>
        <v>222868.87171918838</v>
      </c>
      <c r="K125" s="246">
        <f t="shared" si="5"/>
        <v>-13286.411502211209</v>
      </c>
    </row>
    <row r="126" spans="1:11" x14ac:dyDescent="0.25">
      <c r="A126" s="234">
        <f>'B) D RI'!A127</f>
        <v>5606</v>
      </c>
      <c r="B126" s="235" t="str">
        <f>'B) D RI'!B127</f>
        <v>Lutry</v>
      </c>
      <c r="C126" s="390">
        <v>19513520.972348385</v>
      </c>
      <c r="D126" s="332">
        <f>+Synthèse!F126</f>
        <v>18102782.835126642</v>
      </c>
      <c r="E126" s="246">
        <f t="shared" si="3"/>
        <v>-1410738.1372217424</v>
      </c>
      <c r="F126" s="246">
        <v>6693578</v>
      </c>
      <c r="G126" s="332">
        <f>+Synthèse!G126+Synthèse!H126+Synthèse!I126+Synthèse!J126+Synthèse!K126</f>
        <v>5650706.8030266948</v>
      </c>
      <c r="H126" s="246">
        <f t="shared" si="4"/>
        <v>-1042871.1969733052</v>
      </c>
      <c r="I126" s="246">
        <v>939895.91320129158</v>
      </c>
      <c r="J126" s="332">
        <f>+'M) Police'!O126</f>
        <v>877225.07194475504</v>
      </c>
      <c r="K126" s="246">
        <f t="shared" si="5"/>
        <v>-62670.841256536543</v>
      </c>
    </row>
    <row r="127" spans="1:11" x14ac:dyDescent="0.25">
      <c r="A127" s="234">
        <f>'B) D RI'!A128</f>
        <v>5607</v>
      </c>
      <c r="B127" s="235" t="str">
        <f>'B) D RI'!B128</f>
        <v>Puidoux</v>
      </c>
      <c r="C127" s="390">
        <v>1828747.557665121</v>
      </c>
      <c r="D127" s="332">
        <f>+Synthèse!F127</f>
        <v>1854265.6931383321</v>
      </c>
      <c r="E127" s="246">
        <f t="shared" si="3"/>
        <v>25518.135473211063</v>
      </c>
      <c r="F127" s="246">
        <v>210848.37129923655</v>
      </c>
      <c r="G127" s="332">
        <f>+Synthèse!G127+Synthèse!H127+Synthèse!I127+Synthèse!J127+Synthèse!K127</f>
        <v>-321350.59862896451</v>
      </c>
      <c r="H127" s="246">
        <f t="shared" si="4"/>
        <v>-532198.96992820106</v>
      </c>
      <c r="I127" s="246">
        <v>137750.0848054433</v>
      </c>
      <c r="J127" s="332">
        <f>+'M) Police'!O127</f>
        <v>124385.06396869001</v>
      </c>
      <c r="K127" s="246">
        <f t="shared" si="5"/>
        <v>-13365.02083675329</v>
      </c>
    </row>
    <row r="128" spans="1:11" x14ac:dyDescent="0.25">
      <c r="A128" s="234">
        <f>'B) D RI'!A129</f>
        <v>5609</v>
      </c>
      <c r="B128" s="235" t="str">
        <f>'B) D RI'!B129</f>
        <v>Rivaz</v>
      </c>
      <c r="C128" s="390">
        <v>281404.31500341702</v>
      </c>
      <c r="D128" s="332">
        <f>+Synthèse!F128</f>
        <v>435371.65895584645</v>
      </c>
      <c r="E128" s="246">
        <f t="shared" si="3"/>
        <v>153967.34395242942</v>
      </c>
      <c r="F128" s="246">
        <v>288738</v>
      </c>
      <c r="G128" s="332">
        <f>+Synthèse!G128+Synthèse!H128+Synthèse!I128+Synthèse!J128+Synthèse!K128</f>
        <v>208507.95561136852</v>
      </c>
      <c r="H128" s="246">
        <f t="shared" si="4"/>
        <v>-80230.044388631475</v>
      </c>
      <c r="I128" s="246">
        <v>23565.457534226465</v>
      </c>
      <c r="J128" s="332">
        <f>+'M) Police'!O128</f>
        <v>21624.103563004977</v>
      </c>
      <c r="K128" s="246">
        <f t="shared" si="5"/>
        <v>-1941.3539712214879</v>
      </c>
    </row>
    <row r="129" spans="1:11" x14ac:dyDescent="0.25">
      <c r="A129" s="234">
        <f>'B) D RI'!A130</f>
        <v>5610</v>
      </c>
      <c r="B129" s="235" t="str">
        <f>'B) D RI'!B130</f>
        <v>St-Saphorin (Lavaux)</v>
      </c>
      <c r="C129" s="390">
        <v>335933.10976486944</v>
      </c>
      <c r="D129" s="332">
        <f>+Synthèse!F129</f>
        <v>366099.11766394204</v>
      </c>
      <c r="E129" s="246">
        <f t="shared" si="3"/>
        <v>30166.007899072603</v>
      </c>
      <c r="F129" s="246">
        <v>300058</v>
      </c>
      <c r="G129" s="332">
        <f>+Synthèse!G129+Synthèse!H129+Synthèse!I129+Synthèse!J129+Synthèse!K129</f>
        <v>253165.54246106942</v>
      </c>
      <c r="H129" s="246">
        <f t="shared" si="4"/>
        <v>-46892.457538930583</v>
      </c>
      <c r="I129" s="246">
        <v>27477.615510033098</v>
      </c>
      <c r="J129" s="332">
        <f>+'M) Police'!O129</f>
        <v>25617.333570288894</v>
      </c>
      <c r="K129" s="246">
        <f t="shared" si="5"/>
        <v>-1860.2819397442036</v>
      </c>
    </row>
    <row r="130" spans="1:11" x14ac:dyDescent="0.25">
      <c r="A130" s="234">
        <f>'B) D RI'!A131</f>
        <v>5611</v>
      </c>
      <c r="B130" s="235" t="str">
        <f>'B) D RI'!B131</f>
        <v>Savigny</v>
      </c>
      <c r="C130" s="390">
        <v>2193735.5236905981</v>
      </c>
      <c r="D130" s="332">
        <f>+Synthèse!F130</f>
        <v>1990068.1831523408</v>
      </c>
      <c r="E130" s="246">
        <f t="shared" si="3"/>
        <v>-203667.34053825727</v>
      </c>
      <c r="F130" s="246">
        <v>898889.66459328006</v>
      </c>
      <c r="G130" s="332">
        <f>+Synthèse!G130+Synthèse!H130+Synthèse!I130+Synthèse!J130+Synthèse!K130</f>
        <v>230013.67651867459</v>
      </c>
      <c r="H130" s="246">
        <f t="shared" si="4"/>
        <v>-668875.98807460547</v>
      </c>
      <c r="I130" s="246">
        <v>180408.7465217532</v>
      </c>
      <c r="J130" s="332">
        <f>+'M) Police'!O130</f>
        <v>147930.97971680158</v>
      </c>
      <c r="K130" s="246">
        <f t="shared" si="5"/>
        <v>-32477.766804951621</v>
      </c>
    </row>
    <row r="131" spans="1:11" x14ac:dyDescent="0.25">
      <c r="A131" s="234">
        <f>'B) D RI'!A132</f>
        <v>5613</v>
      </c>
      <c r="B131" s="235" t="str">
        <f>'B) D RI'!B132</f>
        <v>Bourg-en-Lavaux</v>
      </c>
      <c r="C131" s="390">
        <v>6091139.506091564</v>
      </c>
      <c r="D131" s="332">
        <f>+Synthèse!F131</f>
        <v>5437657.0556849344</v>
      </c>
      <c r="E131" s="246">
        <f t="shared" si="3"/>
        <v>-653482.45040662959</v>
      </c>
      <c r="F131" s="246">
        <v>3620413</v>
      </c>
      <c r="G131" s="332">
        <f>+Synthèse!G131+Synthèse!H131+Synthèse!I131+Synthèse!J131+Synthèse!K131</f>
        <v>3354370.1323238825</v>
      </c>
      <c r="H131" s="246">
        <f t="shared" si="4"/>
        <v>-266042.86767611746</v>
      </c>
      <c r="I131" s="246">
        <v>414831.47669793596</v>
      </c>
      <c r="J131" s="332">
        <f>+'M) Police'!O131</f>
        <v>384283.69798101153</v>
      </c>
      <c r="K131" s="246">
        <f t="shared" si="5"/>
        <v>-30547.778716924426</v>
      </c>
    </row>
    <row r="132" spans="1:11" x14ac:dyDescent="0.25">
      <c r="A132" s="234">
        <f>'B) D RI'!A133</f>
        <v>5621</v>
      </c>
      <c r="B132" s="235" t="str">
        <f>'B) D RI'!B133</f>
        <v>Aclens</v>
      </c>
      <c r="C132" s="390">
        <v>877083.60887348582</v>
      </c>
      <c r="D132" s="332">
        <f>+Synthèse!F132</f>
        <v>478650.60236326372</v>
      </c>
      <c r="E132" s="246">
        <f t="shared" si="3"/>
        <v>-398433.0065102221</v>
      </c>
      <c r="F132" s="246">
        <v>621830</v>
      </c>
      <c r="G132" s="332">
        <f>+Synthèse!G132+Synthèse!H132+Synthèse!I132+Synthèse!J132+Synthèse!K132</f>
        <v>415839.33163167868</v>
      </c>
      <c r="H132" s="246">
        <f t="shared" si="4"/>
        <v>-205990.66836832132</v>
      </c>
      <c r="I132" s="246">
        <v>95355.980618579983</v>
      </c>
      <c r="J132" s="332">
        <f>+'M) Police'!O132</f>
        <v>78522.163464521218</v>
      </c>
      <c r="K132" s="246">
        <f t="shared" si="5"/>
        <v>-16833.817154058765</v>
      </c>
    </row>
    <row r="133" spans="1:11" x14ac:dyDescent="0.25">
      <c r="A133" s="234">
        <f>'B) D RI'!A134</f>
        <v>5622</v>
      </c>
      <c r="B133" s="235" t="str">
        <f>'B) D RI'!B134</f>
        <v>Bremblens</v>
      </c>
      <c r="C133" s="390">
        <v>437121.36321228789</v>
      </c>
      <c r="D133" s="332">
        <f>+Synthèse!F133</f>
        <v>700802.40086912399</v>
      </c>
      <c r="E133" s="246">
        <f t="shared" si="3"/>
        <v>263681.0376568361</v>
      </c>
      <c r="F133" s="246">
        <v>429340</v>
      </c>
      <c r="G133" s="332">
        <f>+Synthèse!G133+Synthèse!H133+Synthèse!I133+Synthèse!J133+Synthèse!K133</f>
        <v>530686.07703772665</v>
      </c>
      <c r="H133" s="246">
        <f t="shared" si="4"/>
        <v>101346.07703772665</v>
      </c>
      <c r="I133" s="246">
        <v>77347.242296214245</v>
      </c>
      <c r="J133" s="332">
        <f>+'M) Police'!O133</f>
        <v>85021.571034546258</v>
      </c>
      <c r="K133" s="246">
        <f t="shared" si="5"/>
        <v>7674.328738332013</v>
      </c>
    </row>
    <row r="134" spans="1:11" x14ac:dyDescent="0.25">
      <c r="A134" s="234">
        <f>'B) D RI'!A135</f>
        <v>5623</v>
      </c>
      <c r="B134" s="235" t="str">
        <f>'B) D RI'!B135</f>
        <v>Buchillon</v>
      </c>
      <c r="C134" s="390">
        <v>2624298.6718721199</v>
      </c>
      <c r="D134" s="332">
        <f>+Synthèse!F134</f>
        <v>3092006.7232575761</v>
      </c>
      <c r="E134" s="246">
        <f t="shared" si="3"/>
        <v>467708.05138545623</v>
      </c>
      <c r="F134" s="246">
        <v>1086093</v>
      </c>
      <c r="G134" s="332">
        <f>+Synthèse!G134+Synthèse!H134+Synthèse!I134+Synthèse!J134+Synthèse!K134</f>
        <v>1025980.881406717</v>
      </c>
      <c r="H134" s="246">
        <f t="shared" si="4"/>
        <v>-60112.118593282998</v>
      </c>
      <c r="I134" s="246">
        <v>83490.261055333467</v>
      </c>
      <c r="J134" s="332">
        <f>+'M) Police'!O134</f>
        <v>74923.084166188564</v>
      </c>
      <c r="K134" s="246">
        <f t="shared" si="5"/>
        <v>-8567.1768891449028</v>
      </c>
    </row>
    <row r="135" spans="1:11" x14ac:dyDescent="0.25">
      <c r="A135" s="234">
        <f>'B) D RI'!A136</f>
        <v>5624</v>
      </c>
      <c r="B135" s="235" t="str">
        <f>'B) D RI'!B136</f>
        <v>Bussigny</v>
      </c>
      <c r="C135" s="390">
        <v>6180742.4469252927</v>
      </c>
      <c r="D135" s="332">
        <f>+Synthèse!F135</f>
        <v>5927614.0381183214</v>
      </c>
      <c r="E135" s="246">
        <f t="shared" ref="E135:E198" si="6">D135-C135</f>
        <v>-253128.40880697127</v>
      </c>
      <c r="F135" s="246">
        <v>1734874.5346733369</v>
      </c>
      <c r="G135" s="332">
        <f>+Synthèse!G135+Synthèse!H135+Synthèse!I135+Synthèse!J135+Synthèse!K135</f>
        <v>1166750.3553128405</v>
      </c>
      <c r="H135" s="246">
        <f t="shared" ref="H135:H198" si="7">G135-F135</f>
        <v>-568124.17936049635</v>
      </c>
      <c r="I135" s="246">
        <v>481407.22865577281</v>
      </c>
      <c r="J135" s="332">
        <f>+'M) Police'!O135</f>
        <v>427811.1433473939</v>
      </c>
      <c r="K135" s="246">
        <f t="shared" ref="K135:K198" si="8">J135-I135</f>
        <v>-53596.085308378912</v>
      </c>
    </row>
    <row r="136" spans="1:11" x14ac:dyDescent="0.25">
      <c r="A136" s="234">
        <f>'B) D RI'!A137</f>
        <v>5625</v>
      </c>
      <c r="B136" s="235" t="str">
        <f>'B) D RI'!B137</f>
        <v>Bussy-Chardonney</v>
      </c>
      <c r="C136" s="390">
        <v>210910.12321930091</v>
      </c>
      <c r="D136" s="332">
        <f>+Synthèse!F136</f>
        <v>258507.9730494869</v>
      </c>
      <c r="E136" s="246">
        <f t="shared" si="6"/>
        <v>47597.849830185995</v>
      </c>
      <c r="F136" s="246">
        <v>121829.76511243347</v>
      </c>
      <c r="G136" s="332">
        <f>+Synthèse!G136+Synthèse!H136+Synthèse!I136+Synthèse!J136+Synthèse!K136</f>
        <v>111886.07614762434</v>
      </c>
      <c r="H136" s="246">
        <f t="shared" si="7"/>
        <v>-9943.688964809131</v>
      </c>
      <c r="I136" s="246">
        <v>43905.31160328292</v>
      </c>
      <c r="J136" s="332">
        <f>+'M) Police'!O136</f>
        <v>42769.664910596788</v>
      </c>
      <c r="K136" s="246">
        <f t="shared" si="8"/>
        <v>-1135.6466926861322</v>
      </c>
    </row>
    <row r="137" spans="1:11" x14ac:dyDescent="0.25">
      <c r="A137" s="234">
        <f>'B) D RI'!A138</f>
        <v>5627</v>
      </c>
      <c r="B137" s="235" t="str">
        <f>'B) D RI'!B138</f>
        <v>Chavannes-près-Renens</v>
      </c>
      <c r="C137" s="390">
        <v>2856057.6617433005</v>
      </c>
      <c r="D137" s="332">
        <f>+Synthèse!F137</f>
        <v>2918091.4873653054</v>
      </c>
      <c r="E137" s="246">
        <f t="shared" si="6"/>
        <v>62033.825622004922</v>
      </c>
      <c r="F137" s="246">
        <v>-4600922.1758424193</v>
      </c>
      <c r="G137" s="332">
        <f>+Synthèse!G137+Synthèse!H137+Synthèse!I137+Synthèse!J137+Synthèse!K137</f>
        <v>-5138319.3526580343</v>
      </c>
      <c r="H137" s="246">
        <f t="shared" si="7"/>
        <v>-537397.17681561504</v>
      </c>
      <c r="I137" s="246">
        <v>230408.35439328861</v>
      </c>
      <c r="J137" s="332">
        <f>+'M) Police'!O137</f>
        <v>219930.74225144932</v>
      </c>
      <c r="K137" s="246">
        <f t="shared" si="8"/>
        <v>-10477.612141839287</v>
      </c>
    </row>
    <row r="138" spans="1:11" x14ac:dyDescent="0.25">
      <c r="A138" s="234">
        <f>'B) D RI'!A139</f>
        <v>5628</v>
      </c>
      <c r="B138" s="235" t="str">
        <f>'B) D RI'!B139</f>
        <v>Chigny</v>
      </c>
      <c r="C138" s="390">
        <v>310575.2634272615</v>
      </c>
      <c r="D138" s="332">
        <f>+Synthèse!F138</f>
        <v>328680.33188870654</v>
      </c>
      <c r="E138" s="246">
        <f t="shared" si="6"/>
        <v>18105.068461445044</v>
      </c>
      <c r="F138" s="246">
        <v>316519</v>
      </c>
      <c r="G138" s="332">
        <f>+Synthèse!G138+Synthèse!H138+Synthèse!I138+Synthèse!J138+Synthèse!K138</f>
        <v>324696.73605052283</v>
      </c>
      <c r="H138" s="246">
        <f t="shared" si="7"/>
        <v>8177.736050522828</v>
      </c>
      <c r="I138" s="246">
        <v>53768.49435917721</v>
      </c>
      <c r="J138" s="332">
        <f>+'M) Police'!O138</f>
        <v>54580.079294201816</v>
      </c>
      <c r="K138" s="246">
        <f t="shared" si="8"/>
        <v>811.58493502460624</v>
      </c>
    </row>
    <row r="139" spans="1:11" x14ac:dyDescent="0.25">
      <c r="A139" s="234">
        <f>'B) D RI'!A140</f>
        <v>5629</v>
      </c>
      <c r="B139" s="235" t="str">
        <f>'B) D RI'!B140</f>
        <v>Clarmont</v>
      </c>
      <c r="C139" s="390">
        <v>128871.74521751287</v>
      </c>
      <c r="D139" s="332">
        <f>+Synthèse!F139</f>
        <v>151586.70144397212</v>
      </c>
      <c r="E139" s="246">
        <f t="shared" si="6"/>
        <v>22714.956226459253</v>
      </c>
      <c r="F139" s="246">
        <v>55123</v>
      </c>
      <c r="G139" s="332">
        <f>+Synthèse!G139+Synthèse!H139+Synthèse!I139+Synthèse!J139+Synthèse!K139</f>
        <v>59165.265593463126</v>
      </c>
      <c r="H139" s="246">
        <f t="shared" si="7"/>
        <v>4042.2655934631257</v>
      </c>
      <c r="I139" s="246">
        <v>23834.974265245288</v>
      </c>
      <c r="J139" s="332">
        <f>+'M) Police'!O139</f>
        <v>23757.314802292058</v>
      </c>
      <c r="K139" s="246">
        <f t="shared" si="8"/>
        <v>-77.659462953230104</v>
      </c>
    </row>
    <row r="140" spans="1:11" x14ac:dyDescent="0.25">
      <c r="A140" s="234">
        <f>'B) D RI'!A141</f>
        <v>5631</v>
      </c>
      <c r="B140" s="235" t="str">
        <f>'B) D RI'!B141</f>
        <v>Denens</v>
      </c>
      <c r="C140" s="390">
        <v>593106.86313461291</v>
      </c>
      <c r="D140" s="332">
        <f>+Synthèse!F140</f>
        <v>922232.00561254937</v>
      </c>
      <c r="E140" s="246">
        <f t="shared" si="6"/>
        <v>329125.14247793646</v>
      </c>
      <c r="F140" s="246">
        <v>586061</v>
      </c>
      <c r="G140" s="332">
        <f>+Synthèse!G140+Synthèse!H140+Synthèse!I140+Synthèse!J140+Synthèse!K140</f>
        <v>707789.58809879678</v>
      </c>
      <c r="H140" s="246">
        <f t="shared" si="7"/>
        <v>121728.58809879678</v>
      </c>
      <c r="I140" s="246">
        <v>107752.78221097602</v>
      </c>
      <c r="J140" s="332">
        <f>+'M) Police'!O140</f>
        <v>120975.75327267378</v>
      </c>
      <c r="K140" s="246">
        <f t="shared" si="8"/>
        <v>13222.971061697768</v>
      </c>
    </row>
    <row r="141" spans="1:11" x14ac:dyDescent="0.25">
      <c r="A141" s="234">
        <f>'B) D RI'!A142</f>
        <v>5632</v>
      </c>
      <c r="B141" s="235" t="str">
        <f>'B) D RI'!B142</f>
        <v>Denges</v>
      </c>
      <c r="C141" s="390">
        <v>1144863.9811082745</v>
      </c>
      <c r="D141" s="332">
        <f>+Synthèse!F141</f>
        <v>1175019.1383224772</v>
      </c>
      <c r="E141" s="246">
        <f t="shared" si="6"/>
        <v>30155.157214202685</v>
      </c>
      <c r="F141" s="246">
        <v>581537.31534386962</v>
      </c>
      <c r="G141" s="332">
        <f>+Synthèse!G141+Synthèse!H141+Synthèse!I141+Synthèse!J141+Synthèse!K141</f>
        <v>869242.70695091155</v>
      </c>
      <c r="H141" s="246">
        <f t="shared" si="7"/>
        <v>287705.39160704194</v>
      </c>
      <c r="I141" s="246">
        <v>195369.29924962224</v>
      </c>
      <c r="J141" s="332">
        <f>+'M) Police'!O141</f>
        <v>209240.35867857485</v>
      </c>
      <c r="K141" s="246">
        <f t="shared" si="8"/>
        <v>13871.059428952605</v>
      </c>
    </row>
    <row r="142" spans="1:11" x14ac:dyDescent="0.25">
      <c r="A142" s="234">
        <f>'B) D RI'!A143</f>
        <v>5633</v>
      </c>
      <c r="B142" s="235" t="str">
        <f>'B) D RI'!B143</f>
        <v>Echandens</v>
      </c>
      <c r="C142" s="390">
        <v>2154231.4710798454</v>
      </c>
      <c r="D142" s="332">
        <f>+Synthèse!F142</f>
        <v>2346671.3582331445</v>
      </c>
      <c r="E142" s="246">
        <f t="shared" si="6"/>
        <v>192439.88715329906</v>
      </c>
      <c r="F142" s="246">
        <v>1398674</v>
      </c>
      <c r="G142" s="332">
        <f>+Synthèse!G142+Synthèse!H142+Synthèse!I142+Synthèse!J142+Synthèse!K142</f>
        <v>1678539.493278564</v>
      </c>
      <c r="H142" s="246">
        <f t="shared" si="7"/>
        <v>279865.49327856395</v>
      </c>
      <c r="I142" s="246">
        <v>375152.82003589917</v>
      </c>
      <c r="J142" s="332">
        <f>+'M) Police'!O142</f>
        <v>416324.6522534953</v>
      </c>
      <c r="K142" s="246">
        <f t="shared" si="8"/>
        <v>41171.832217596122</v>
      </c>
    </row>
    <row r="143" spans="1:11" x14ac:dyDescent="0.25">
      <c r="A143" s="234">
        <f>'B) D RI'!A144</f>
        <v>5634</v>
      </c>
      <c r="B143" s="235" t="str">
        <f>'B) D RI'!B144</f>
        <v>Echichens</v>
      </c>
      <c r="C143" s="390">
        <v>2197495.3824711409</v>
      </c>
      <c r="D143" s="332">
        <f>+Synthèse!F143</f>
        <v>2354186.5110615594</v>
      </c>
      <c r="E143" s="246">
        <f t="shared" si="6"/>
        <v>156691.12859041849</v>
      </c>
      <c r="F143" s="246">
        <v>1739710</v>
      </c>
      <c r="G143" s="332">
        <f>+Synthèse!G143+Synthèse!H143+Synthèse!I143+Synthèse!J143+Synthèse!K143</f>
        <v>1668718.2736119162</v>
      </c>
      <c r="H143" s="246">
        <f t="shared" si="7"/>
        <v>-70991.726388083771</v>
      </c>
      <c r="I143" s="246">
        <v>394532.25257753424</v>
      </c>
      <c r="J143" s="332">
        <f>+'M) Police'!O143</f>
        <v>390579.24386899004</v>
      </c>
      <c r="K143" s="246">
        <f t="shared" si="8"/>
        <v>-3953.0087085441919</v>
      </c>
    </row>
    <row r="144" spans="1:11" x14ac:dyDescent="0.25">
      <c r="A144" s="234">
        <f>'B) D RI'!A145</f>
        <v>5635</v>
      </c>
      <c r="B144" s="235" t="str">
        <f>'B) D RI'!B145</f>
        <v>Ecublens</v>
      </c>
      <c r="C144" s="390">
        <v>8297262.666859366</v>
      </c>
      <c r="D144" s="332">
        <f>+Synthèse!F144</f>
        <v>7705199.837431292</v>
      </c>
      <c r="E144" s="246">
        <f t="shared" si="6"/>
        <v>-592062.82942807395</v>
      </c>
      <c r="F144" s="246">
        <v>-1965077.2016638555</v>
      </c>
      <c r="G144" s="332">
        <f>+Synthèse!G144+Synthèse!H144+Synthèse!I144+Synthèse!J144+Synthèse!K144</f>
        <v>-3692441.6329117832</v>
      </c>
      <c r="H144" s="246">
        <f t="shared" si="7"/>
        <v>-1727364.4312479277</v>
      </c>
      <c r="I144" s="246">
        <v>616801.39707977709</v>
      </c>
      <c r="J144" s="332">
        <f>+'M) Police'!O144</f>
        <v>543573.72015770664</v>
      </c>
      <c r="K144" s="246">
        <f t="shared" si="8"/>
        <v>-73227.676922070445</v>
      </c>
    </row>
    <row r="145" spans="1:11" x14ac:dyDescent="0.25">
      <c r="A145" s="234">
        <f>'B) D RI'!A146</f>
        <v>5636</v>
      </c>
      <c r="B145" s="235" t="str">
        <f>'B) D RI'!B146</f>
        <v>Etoy</v>
      </c>
      <c r="C145" s="390">
        <v>2710259.2984025041</v>
      </c>
      <c r="D145" s="332">
        <f>+Synthèse!F145</f>
        <v>4869832.6173175424</v>
      </c>
      <c r="E145" s="246">
        <f t="shared" si="6"/>
        <v>2159573.3189150384</v>
      </c>
      <c r="F145" s="246">
        <v>1613863</v>
      </c>
      <c r="G145" s="332">
        <f>+Synthèse!G145+Synthèse!H145+Synthèse!I145+Synthèse!J145+Synthèse!K145</f>
        <v>2043453.317690786</v>
      </c>
      <c r="H145" s="246">
        <f t="shared" si="7"/>
        <v>429590.31769078597</v>
      </c>
      <c r="I145" s="246">
        <v>439582.5597635993</v>
      </c>
      <c r="J145" s="332">
        <f>+'M) Police'!O145</f>
        <v>446021.30603571236</v>
      </c>
      <c r="K145" s="246">
        <f t="shared" si="8"/>
        <v>6438.7462721130578</v>
      </c>
    </row>
    <row r="146" spans="1:11" x14ac:dyDescent="0.25">
      <c r="A146" s="234">
        <f>'B) D RI'!A147</f>
        <v>5637</v>
      </c>
      <c r="B146" s="235" t="str">
        <f>'B) D RI'!B147</f>
        <v>Lavigny</v>
      </c>
      <c r="C146" s="390">
        <v>585169.32142135198</v>
      </c>
      <c r="D146" s="332">
        <f>+Synthèse!F146</f>
        <v>663503.37035954942</v>
      </c>
      <c r="E146" s="246">
        <f t="shared" si="6"/>
        <v>78334.048938197433</v>
      </c>
      <c r="F146" s="246">
        <v>202131.13774963771</v>
      </c>
      <c r="G146" s="332">
        <f>+Synthèse!G146+Synthèse!H146+Synthèse!I146+Synthèse!J146+Synthèse!K146</f>
        <v>313005.42833393731</v>
      </c>
      <c r="H146" s="246">
        <f t="shared" si="7"/>
        <v>110874.2905842996</v>
      </c>
      <c r="I146" s="246">
        <v>97060.331180728506</v>
      </c>
      <c r="J146" s="332">
        <f>+'M) Police'!O146</f>
        <v>112599.71063180061</v>
      </c>
      <c r="K146" s="246">
        <f t="shared" si="8"/>
        <v>15539.379451072105</v>
      </c>
    </row>
    <row r="147" spans="1:11" x14ac:dyDescent="0.25">
      <c r="A147" s="234">
        <f>'B) D RI'!A148</f>
        <v>5638</v>
      </c>
      <c r="B147" s="235" t="str">
        <f>'B) D RI'!B148</f>
        <v>Lonay</v>
      </c>
      <c r="C147" s="390">
        <v>3157413.2166221738</v>
      </c>
      <c r="D147" s="332">
        <f>+Synthèse!F147</f>
        <v>3741870.5445950818</v>
      </c>
      <c r="E147" s="246">
        <f t="shared" si="6"/>
        <v>584457.32797290804</v>
      </c>
      <c r="F147" s="246">
        <v>1419843</v>
      </c>
      <c r="G147" s="332">
        <f>+Synthèse!G147+Synthèse!H147+Synthèse!I147+Synthèse!J147+Synthèse!K147</f>
        <v>1775943.3018881844</v>
      </c>
      <c r="H147" s="246">
        <f t="shared" si="7"/>
        <v>356100.30188818439</v>
      </c>
      <c r="I147" s="246">
        <v>393390.19089932228</v>
      </c>
      <c r="J147" s="332">
        <f>+'M) Police'!O147</f>
        <v>409193.1220660283</v>
      </c>
      <c r="K147" s="246">
        <f t="shared" si="8"/>
        <v>15802.931166706025</v>
      </c>
    </row>
    <row r="148" spans="1:11" x14ac:dyDescent="0.25">
      <c r="A148" s="234">
        <f>'B) D RI'!A149</f>
        <v>5639</v>
      </c>
      <c r="B148" s="235" t="str">
        <f>'B) D RI'!B149</f>
        <v>Lully</v>
      </c>
      <c r="C148" s="390">
        <v>679791.17892190604</v>
      </c>
      <c r="D148" s="332">
        <f>+Synthèse!F148</f>
        <v>685766.95923887077</v>
      </c>
      <c r="E148" s="246">
        <f t="shared" si="6"/>
        <v>5975.7803169647232</v>
      </c>
      <c r="F148" s="246">
        <v>702633</v>
      </c>
      <c r="G148" s="332">
        <f>+Synthèse!G148+Synthèse!H148+Synthèse!I148+Synthèse!J148+Synthèse!K148</f>
        <v>696965.34855499119</v>
      </c>
      <c r="H148" s="246">
        <f t="shared" si="7"/>
        <v>-5667.6514450088143</v>
      </c>
      <c r="I148" s="246">
        <v>122288.34349426831</v>
      </c>
      <c r="J148" s="332">
        <f>+'M) Police'!O148</f>
        <v>121730.10144435425</v>
      </c>
      <c r="K148" s="246">
        <f t="shared" si="8"/>
        <v>-558.24204991405713</v>
      </c>
    </row>
    <row r="149" spans="1:11" x14ac:dyDescent="0.25">
      <c r="A149" s="234">
        <f>'B) D RI'!A150</f>
        <v>5640</v>
      </c>
      <c r="B149" s="235" t="str">
        <f>'B) D RI'!B150</f>
        <v>Lussy-sur-Morges</v>
      </c>
      <c r="C149" s="390">
        <v>1162258.9434163952</v>
      </c>
      <c r="D149" s="332">
        <f>+Synthèse!F149</f>
        <v>1367933.1713079782</v>
      </c>
      <c r="E149" s="246">
        <f t="shared" si="6"/>
        <v>205674.227891583</v>
      </c>
      <c r="F149" s="246">
        <v>767544</v>
      </c>
      <c r="G149" s="332">
        <f>+Synthèse!G149+Synthèse!H149+Synthèse!I149+Synthèse!J149+Synthèse!K149</f>
        <v>804586.71207194228</v>
      </c>
      <c r="H149" s="246">
        <f t="shared" si="7"/>
        <v>37042.712071942282</v>
      </c>
      <c r="I149" s="246">
        <v>60586.205509440399</v>
      </c>
      <c r="J149" s="332">
        <f>+'M) Police'!O149</f>
        <v>59887.496014607474</v>
      </c>
      <c r="K149" s="246">
        <f t="shared" si="8"/>
        <v>-698.70949483292497</v>
      </c>
    </row>
    <row r="150" spans="1:11" x14ac:dyDescent="0.25">
      <c r="A150" s="234">
        <f>'B) D RI'!A151</f>
        <v>5642</v>
      </c>
      <c r="B150" s="235" t="str">
        <f>'B) D RI'!B151</f>
        <v>Morges</v>
      </c>
      <c r="C150" s="390">
        <v>13398348.240433469</v>
      </c>
      <c r="D150" s="332">
        <f>+Synthèse!F150</f>
        <v>13959435.56192866</v>
      </c>
      <c r="E150" s="246">
        <f t="shared" si="6"/>
        <v>561087.32149519026</v>
      </c>
      <c r="F150" s="246">
        <v>1866382</v>
      </c>
      <c r="G150" s="332">
        <f>+Synthèse!G150+Synthèse!H150+Synthèse!I150+Synthèse!J150+Synthèse!K150</f>
        <v>3799853.201334036</v>
      </c>
      <c r="H150" s="246">
        <f t="shared" si="7"/>
        <v>1933471.201334036</v>
      </c>
      <c r="I150" s="246">
        <v>975096.57523227658</v>
      </c>
      <c r="J150" s="332">
        <f>+'M) Police'!O150</f>
        <v>1000968.0972992884</v>
      </c>
      <c r="K150" s="246">
        <f t="shared" si="8"/>
        <v>25871.5220670118</v>
      </c>
    </row>
    <row r="151" spans="1:11" x14ac:dyDescent="0.25">
      <c r="A151" s="234">
        <f>'B) D RI'!A152</f>
        <v>5643</v>
      </c>
      <c r="B151" s="235" t="str">
        <f>'B) D RI'!B152</f>
        <v>Préverenges</v>
      </c>
      <c r="C151" s="390">
        <v>5138787.5677413931</v>
      </c>
      <c r="D151" s="332">
        <f>+Synthèse!F151</f>
        <v>4401768.0671425899</v>
      </c>
      <c r="E151" s="246">
        <f t="shared" si="6"/>
        <v>-737019.50059880316</v>
      </c>
      <c r="F151" s="246">
        <v>3023790</v>
      </c>
      <c r="G151" s="332">
        <f>+Synthèse!G151+Synthèse!H151+Synthèse!I151+Synthèse!J151+Synthèse!K151</f>
        <v>2939076.6267630802</v>
      </c>
      <c r="H151" s="246">
        <f t="shared" si="7"/>
        <v>-84713.373236919753</v>
      </c>
      <c r="I151" s="246">
        <v>358943.31140556687</v>
      </c>
      <c r="J151" s="332">
        <f>+'M) Police'!O151</f>
        <v>336456.26811436145</v>
      </c>
      <c r="K151" s="246">
        <f t="shared" si="8"/>
        <v>-22487.043291205424</v>
      </c>
    </row>
    <row r="152" spans="1:11" x14ac:dyDescent="0.25">
      <c r="A152" s="234">
        <f>'B) D RI'!A153</f>
        <v>5644</v>
      </c>
      <c r="B152" s="235" t="str">
        <f>'B) D RI'!B153</f>
        <v>Reverolle</v>
      </c>
      <c r="C152" s="390">
        <v>241756.36508658994</v>
      </c>
      <c r="D152" s="332">
        <f>+Synthèse!F152</f>
        <v>238774.97373223474</v>
      </c>
      <c r="E152" s="246">
        <f t="shared" si="6"/>
        <v>-2981.3913543552044</v>
      </c>
      <c r="F152" s="246">
        <v>143857.10111104924</v>
      </c>
      <c r="G152" s="332">
        <f>+Synthèse!G152+Synthèse!H152+Synthèse!I152+Synthèse!J152+Synthèse!K152</f>
        <v>131372.1466619953</v>
      </c>
      <c r="H152" s="246">
        <f t="shared" si="7"/>
        <v>-12484.954449053941</v>
      </c>
      <c r="I152" s="246">
        <v>48337.171532074208</v>
      </c>
      <c r="J152" s="332">
        <f>+'M) Police'!O152</f>
        <v>44627.409550418495</v>
      </c>
      <c r="K152" s="246">
        <f t="shared" si="8"/>
        <v>-3709.7619816557126</v>
      </c>
    </row>
    <row r="153" spans="1:11" x14ac:dyDescent="0.25">
      <c r="A153" s="234">
        <f>'B) D RI'!A154</f>
        <v>5645</v>
      </c>
      <c r="B153" s="235" t="str">
        <f>'B) D RI'!B154</f>
        <v>Romanel-sur-Morges</v>
      </c>
      <c r="C153" s="390">
        <v>476516.80231814808</v>
      </c>
      <c r="D153" s="332">
        <f>+Synthèse!F153</f>
        <v>457265.5289730982</v>
      </c>
      <c r="E153" s="246">
        <f t="shared" si="6"/>
        <v>-19251.273345049878</v>
      </c>
      <c r="F153" s="246">
        <v>414453</v>
      </c>
      <c r="G153" s="332">
        <f>+Synthèse!G153+Synthèse!H153+Synthèse!I153+Synthèse!J153+Synthèse!K153</f>
        <v>442116.67080437276</v>
      </c>
      <c r="H153" s="246">
        <f t="shared" si="7"/>
        <v>27663.670804372756</v>
      </c>
      <c r="I153" s="246">
        <v>70674.608902985419</v>
      </c>
      <c r="J153" s="332">
        <f>+'M) Police'!O153</f>
        <v>75252.380934406028</v>
      </c>
      <c r="K153" s="246">
        <f t="shared" si="8"/>
        <v>4577.772031420609</v>
      </c>
    </row>
    <row r="154" spans="1:11" x14ac:dyDescent="0.25">
      <c r="A154" s="234">
        <f>'B) D RI'!A155</f>
        <v>5646</v>
      </c>
      <c r="B154" s="235" t="str">
        <f>'B) D RI'!B155</f>
        <v>Saint-Prex</v>
      </c>
      <c r="C154" s="390">
        <v>11615950.048668418</v>
      </c>
      <c r="D154" s="332">
        <f>+Synthèse!F154</f>
        <v>12270280.09833025</v>
      </c>
      <c r="E154" s="246">
        <f t="shared" si="6"/>
        <v>654330.04966183193</v>
      </c>
      <c r="F154" s="246">
        <v>4400513</v>
      </c>
      <c r="G154" s="332">
        <f>+Synthèse!G154+Synthèse!H154+Synthèse!I154+Synthèse!J154+Synthèse!K154</f>
        <v>6000710.9193396475</v>
      </c>
      <c r="H154" s="246">
        <f t="shared" si="7"/>
        <v>1600197.9193396475</v>
      </c>
      <c r="I154" s="246">
        <v>470573.96143901354</v>
      </c>
      <c r="J154" s="332">
        <f>+'M) Police'!O154</f>
        <v>563385.64417258929</v>
      </c>
      <c r="K154" s="246">
        <f t="shared" si="8"/>
        <v>92811.682733575755</v>
      </c>
    </row>
    <row r="155" spans="1:11" x14ac:dyDescent="0.25">
      <c r="A155" s="234">
        <f>'B) D RI'!A156</f>
        <v>5648</v>
      </c>
      <c r="B155" s="235" t="str">
        <f>'B) D RI'!B156</f>
        <v>Saint-Sulpice</v>
      </c>
      <c r="C155" s="390">
        <v>6785092.8746016175</v>
      </c>
      <c r="D155" s="332">
        <f>+Synthèse!F155</f>
        <v>7501667.0299877655</v>
      </c>
      <c r="E155" s="246">
        <f t="shared" si="6"/>
        <v>716574.15538614802</v>
      </c>
      <c r="F155" s="246">
        <v>3335494</v>
      </c>
      <c r="G155" s="332">
        <f>+Synthèse!G155+Synthèse!H155+Synthèse!I155+Synthèse!J155+Synthèse!K155</f>
        <v>3941242.1672610454</v>
      </c>
      <c r="H155" s="246">
        <f t="shared" si="7"/>
        <v>605748.16726104543</v>
      </c>
      <c r="I155" s="246">
        <v>336595.90056909702</v>
      </c>
      <c r="J155" s="332">
        <f>+'M) Police'!O155</f>
        <v>366095.82006590307</v>
      </c>
      <c r="K155" s="246">
        <f t="shared" si="8"/>
        <v>29499.919496806047</v>
      </c>
    </row>
    <row r="156" spans="1:11" x14ac:dyDescent="0.25">
      <c r="A156" s="234">
        <f>'B) D RI'!A157</f>
        <v>5649</v>
      </c>
      <c r="B156" s="235" t="str">
        <f>'B) D RI'!B157</f>
        <v>Tolochenaz</v>
      </c>
      <c r="C156" s="390">
        <v>1957826.5896798468</v>
      </c>
      <c r="D156" s="332">
        <f>+Synthèse!F156</f>
        <v>1604190.2370676289</v>
      </c>
      <c r="E156" s="246">
        <f t="shared" si="6"/>
        <v>-353636.35261221789</v>
      </c>
      <c r="F156" s="246">
        <v>1245367</v>
      </c>
      <c r="G156" s="332">
        <f>+Synthèse!G156+Synthèse!H156+Synthèse!I156+Synthèse!J156+Synthèse!K156</f>
        <v>906282.20218699425</v>
      </c>
      <c r="H156" s="246">
        <f t="shared" si="7"/>
        <v>-339084.79781300575</v>
      </c>
      <c r="I156" s="246">
        <v>137776.07357552578</v>
      </c>
      <c r="J156" s="332">
        <f>+'M) Police'!O156</f>
        <v>100800.8472278941</v>
      </c>
      <c r="K156" s="246">
        <f t="shared" si="8"/>
        <v>-36975.226347631673</v>
      </c>
    </row>
    <row r="157" spans="1:11" x14ac:dyDescent="0.25">
      <c r="A157" s="234">
        <f>'B) D RI'!A158</f>
        <v>5650</v>
      </c>
      <c r="B157" s="235" t="str">
        <f>'B) D RI'!B158</f>
        <v>Vaux-sur-Morges</v>
      </c>
      <c r="C157" s="390">
        <v>4673650.5516934358</v>
      </c>
      <c r="D157" s="332">
        <f>+Synthèse!F157</f>
        <v>7686934.4183198381</v>
      </c>
      <c r="E157" s="246">
        <f t="shared" si="6"/>
        <v>3013283.8666264024</v>
      </c>
      <c r="F157" s="246">
        <v>1153384</v>
      </c>
      <c r="G157" s="332">
        <f>+Synthèse!G157+Synthèse!H157+Synthèse!I157+Synthèse!J157+Synthèse!K157</f>
        <v>1796976.9289439006</v>
      </c>
      <c r="H157" s="246">
        <f t="shared" si="7"/>
        <v>643592.92894390062</v>
      </c>
      <c r="I157" s="246">
        <v>102163.66884720362</v>
      </c>
      <c r="J157" s="332">
        <f>+'M) Police'!O157</f>
        <v>142734.40492582158</v>
      </c>
      <c r="K157" s="246">
        <f t="shared" si="8"/>
        <v>40570.736078617963</v>
      </c>
    </row>
    <row r="158" spans="1:11" x14ac:dyDescent="0.25">
      <c r="A158" s="234">
        <f>'B) D RI'!A159</f>
        <v>5651</v>
      </c>
      <c r="B158" s="235" t="str">
        <f>'B) D RI'!B159</f>
        <v>Villars-Sainte-Croix</v>
      </c>
      <c r="C158" s="390">
        <v>971776.62030360708</v>
      </c>
      <c r="D158" s="332">
        <f>+Synthèse!F158</f>
        <v>798458.86107769748</v>
      </c>
      <c r="E158" s="246">
        <f t="shared" si="6"/>
        <v>-173317.7592259096</v>
      </c>
      <c r="F158" s="246">
        <v>744453</v>
      </c>
      <c r="G158" s="332">
        <f>+Synthèse!G158+Synthèse!H158+Synthèse!I158+Synthèse!J158+Synthèse!K158</f>
        <v>642619.06754763552</v>
      </c>
      <c r="H158" s="246">
        <f t="shared" si="7"/>
        <v>-101833.93245236448</v>
      </c>
      <c r="I158" s="246">
        <v>59104.721539362494</v>
      </c>
      <c r="J158" s="332">
        <f>+'M) Police'!O158</f>
        <v>50053.525743569953</v>
      </c>
      <c r="K158" s="246">
        <f t="shared" si="8"/>
        <v>-9051.1957957925406</v>
      </c>
    </row>
    <row r="159" spans="1:11" x14ac:dyDescent="0.25">
      <c r="A159" s="234">
        <f>'B) D RI'!A160</f>
        <v>5652</v>
      </c>
      <c r="B159" s="235" t="str">
        <f>'B) D RI'!B160</f>
        <v>Villars-sous-Yens</v>
      </c>
      <c r="C159" s="390">
        <v>384212.69599646475</v>
      </c>
      <c r="D159" s="332">
        <f>+Synthèse!F159</f>
        <v>385884.38663733873</v>
      </c>
      <c r="E159" s="246">
        <f t="shared" si="6"/>
        <v>1671.6906408739742</v>
      </c>
      <c r="F159" s="246">
        <v>287188.84861554863</v>
      </c>
      <c r="G159" s="332">
        <f>+Synthèse!G159+Synthèse!H159+Synthèse!I159+Synthèse!J159+Synthèse!K159</f>
        <v>109274.17919648802</v>
      </c>
      <c r="H159" s="246">
        <f t="shared" si="7"/>
        <v>-177914.66941906061</v>
      </c>
      <c r="I159" s="246">
        <v>79350.578512925393</v>
      </c>
      <c r="J159" s="332">
        <f>+'M) Police'!O159</f>
        <v>69380.822063178101</v>
      </c>
      <c r="K159" s="246">
        <f t="shared" si="8"/>
        <v>-9969.7564497472922</v>
      </c>
    </row>
    <row r="160" spans="1:11" x14ac:dyDescent="0.25">
      <c r="A160" s="234">
        <f>'B) D RI'!A161</f>
        <v>5653</v>
      </c>
      <c r="B160" s="235" t="str">
        <f>'B) D RI'!B161</f>
        <v>Vufflens-le-Château</v>
      </c>
      <c r="C160" s="390">
        <v>1033825.2847833987</v>
      </c>
      <c r="D160" s="332">
        <f>+Synthèse!F160</f>
        <v>1210413.0951666122</v>
      </c>
      <c r="E160" s="246">
        <f t="shared" si="6"/>
        <v>176587.81038321345</v>
      </c>
      <c r="F160" s="246">
        <v>865536</v>
      </c>
      <c r="G160" s="332">
        <f>+Synthèse!G160+Synthèse!H160+Synthèse!I160+Synthèse!J160+Synthèse!K160</f>
        <v>954070.83439521003</v>
      </c>
      <c r="H160" s="246">
        <f t="shared" si="7"/>
        <v>88534.834395210026</v>
      </c>
      <c r="I160" s="246">
        <v>139821.68645457714</v>
      </c>
      <c r="J160" s="332">
        <f>+'M) Police'!O160</f>
        <v>144721.25381514896</v>
      </c>
      <c r="K160" s="246">
        <f t="shared" si="8"/>
        <v>4899.5673605718184</v>
      </c>
    </row>
    <row r="161" spans="1:11" x14ac:dyDescent="0.25">
      <c r="A161" s="234">
        <f>'B) D RI'!A162</f>
        <v>5654</v>
      </c>
      <c r="B161" s="235" t="str">
        <f>'B) D RI'!B162</f>
        <v>Vullierens</v>
      </c>
      <c r="C161" s="390">
        <v>302166.07159584376</v>
      </c>
      <c r="D161" s="332">
        <f>+Synthèse!F161</f>
        <v>299970.02603720711</v>
      </c>
      <c r="E161" s="246">
        <f t="shared" si="6"/>
        <v>-2196.0455586366588</v>
      </c>
      <c r="F161" s="246">
        <v>110183.36385738919</v>
      </c>
      <c r="G161" s="332">
        <f>+Synthèse!G161+Synthèse!H161+Synthèse!I161+Synthèse!J161+Synthèse!K161</f>
        <v>-279755.87659912603</v>
      </c>
      <c r="H161" s="246">
        <f t="shared" si="7"/>
        <v>-389939.24045651522</v>
      </c>
      <c r="I161" s="246">
        <v>51020.338597602284</v>
      </c>
      <c r="J161" s="332">
        <f>+'M) Police'!O161</f>
        <v>53922.08828484964</v>
      </c>
      <c r="K161" s="246">
        <f t="shared" si="8"/>
        <v>2901.7496872473566</v>
      </c>
    </row>
    <row r="162" spans="1:11" x14ac:dyDescent="0.25">
      <c r="A162" s="234">
        <f>'B) D RI'!A163</f>
        <v>5655</v>
      </c>
      <c r="B162" s="235" t="str">
        <f>'B) D RI'!B163</f>
        <v>Yens</v>
      </c>
      <c r="C162" s="390">
        <v>1288765.6080385435</v>
      </c>
      <c r="D162" s="332">
        <f>+Synthèse!F162</f>
        <v>1465853.2623299533</v>
      </c>
      <c r="E162" s="246">
        <f t="shared" si="6"/>
        <v>177087.65429140977</v>
      </c>
      <c r="F162" s="246">
        <v>1145132</v>
      </c>
      <c r="G162" s="332">
        <f>+Synthèse!G162+Synthèse!H162+Synthèse!I162+Synthèse!J162+Synthèse!K162</f>
        <v>1280429.4483129671</v>
      </c>
      <c r="H162" s="246">
        <f t="shared" si="7"/>
        <v>135297.44831296708</v>
      </c>
      <c r="I162" s="246">
        <v>212874.75956382093</v>
      </c>
      <c r="J162" s="332">
        <f>+'M) Police'!O162</f>
        <v>225152.58804284746</v>
      </c>
      <c r="K162" s="246">
        <f t="shared" si="8"/>
        <v>12277.828479026532</v>
      </c>
    </row>
    <row r="163" spans="1:11" x14ac:dyDescent="0.25">
      <c r="A163" s="234">
        <f>'B) D RI'!A164</f>
        <v>5661</v>
      </c>
      <c r="B163" s="235" t="str">
        <f>'B) D RI'!B164</f>
        <v>Boulens</v>
      </c>
      <c r="C163" s="390">
        <v>124771.26659064373</v>
      </c>
      <c r="D163" s="332">
        <f>+Synthèse!F163</f>
        <v>164437.02762611519</v>
      </c>
      <c r="E163" s="246">
        <f t="shared" si="6"/>
        <v>39665.761035471456</v>
      </c>
      <c r="F163" s="246">
        <v>-98638.153014673531</v>
      </c>
      <c r="G163" s="332">
        <f>+Synthèse!G163+Synthèse!H163+Synthèse!I163+Synthèse!J163+Synthèse!K163</f>
        <v>-47446.986864309991</v>
      </c>
      <c r="H163" s="246">
        <f t="shared" si="7"/>
        <v>51191.166150363541</v>
      </c>
      <c r="I163" s="246">
        <v>22118.731201546299</v>
      </c>
      <c r="J163" s="332">
        <f>+'M) Police'!O163</f>
        <v>30400.996541292254</v>
      </c>
      <c r="K163" s="246">
        <f t="shared" si="8"/>
        <v>8282.2653397459544</v>
      </c>
    </row>
    <row r="164" spans="1:11" x14ac:dyDescent="0.25">
      <c r="A164" s="234">
        <f>'B) D RI'!A165</f>
        <v>5662</v>
      </c>
      <c r="B164" s="235" t="str">
        <f>'B) D RI'!B165</f>
        <v>Brenles</v>
      </c>
      <c r="C164" s="390">
        <v>81859.207317510329</v>
      </c>
      <c r="D164" s="332">
        <f>+Synthèse!F164</f>
        <v>99954.284553370744</v>
      </c>
      <c r="E164" s="246">
        <f t="shared" si="6"/>
        <v>18095.077235860415</v>
      </c>
      <c r="F164" s="246">
        <v>-6829.043723061739</v>
      </c>
      <c r="G164" s="332">
        <f>+Synthèse!G164+Synthèse!H164+Synthèse!I164+Synthèse!J164+Synthèse!K164</f>
        <v>41415.561943878311</v>
      </c>
      <c r="H164" s="246">
        <f t="shared" si="7"/>
        <v>48244.60566694005</v>
      </c>
      <c r="I164" s="246">
        <v>13039.144384031151</v>
      </c>
      <c r="J164" s="332">
        <f>+'M) Police'!O164</f>
        <v>16323.022669642305</v>
      </c>
      <c r="K164" s="246">
        <f t="shared" si="8"/>
        <v>3283.8782856111538</v>
      </c>
    </row>
    <row r="165" spans="1:11" x14ac:dyDescent="0.25">
      <c r="A165" s="234">
        <f>'B) D RI'!A166</f>
        <v>5663</v>
      </c>
      <c r="B165" s="235" t="str">
        <f>'B) D RI'!B166</f>
        <v>Bussy-sur-Moudon</v>
      </c>
      <c r="C165" s="390">
        <v>84896.23370060591</v>
      </c>
      <c r="D165" s="332">
        <f>+Synthèse!F165</f>
        <v>90541.05257045076</v>
      </c>
      <c r="E165" s="246">
        <f t="shared" si="6"/>
        <v>5644.8188698448503</v>
      </c>
      <c r="F165" s="246">
        <v>-45759.223657668073</v>
      </c>
      <c r="G165" s="332">
        <f>+Synthèse!G165+Synthèse!H165+Synthèse!I165+Synthèse!J165+Synthèse!K165</f>
        <v>-60688.736629346138</v>
      </c>
      <c r="H165" s="246">
        <f t="shared" si="7"/>
        <v>-14929.512971678065</v>
      </c>
      <c r="I165" s="246">
        <v>16649.412688471919</v>
      </c>
      <c r="J165" s="332">
        <f>+'M) Police'!O165</f>
        <v>17196.364233468114</v>
      </c>
      <c r="K165" s="246">
        <f t="shared" si="8"/>
        <v>546.95154499619457</v>
      </c>
    </row>
    <row r="166" spans="1:11" x14ac:dyDescent="0.25">
      <c r="A166" s="234">
        <f>'B) D RI'!A167</f>
        <v>5665</v>
      </c>
      <c r="B166" s="235" t="str">
        <f>'B) D RI'!B167</f>
        <v>Chavannes-sur-Moudon</v>
      </c>
      <c r="C166" s="390">
        <v>56808.581108186147</v>
      </c>
      <c r="D166" s="332">
        <f>+Synthèse!F166</f>
        <v>74281.116665986046</v>
      </c>
      <c r="E166" s="246">
        <f t="shared" si="6"/>
        <v>17472.5355577999</v>
      </c>
      <c r="F166" s="246">
        <v>-83866.481594297264</v>
      </c>
      <c r="G166" s="332">
        <f>+Synthèse!G166+Synthèse!H166+Synthèse!I166+Synthèse!J166+Synthèse!K166</f>
        <v>-48702.455819296592</v>
      </c>
      <c r="H166" s="246">
        <f t="shared" si="7"/>
        <v>35164.025775000671</v>
      </c>
      <c r="I166" s="246">
        <v>11806.435923053368</v>
      </c>
      <c r="J166" s="332">
        <f>+'M) Police'!O166</f>
        <v>15700.268131166928</v>
      </c>
      <c r="K166" s="246">
        <f t="shared" si="8"/>
        <v>3893.8322081135593</v>
      </c>
    </row>
    <row r="167" spans="1:11" x14ac:dyDescent="0.25">
      <c r="A167" s="234">
        <f>'B) D RI'!A168</f>
        <v>5666</v>
      </c>
      <c r="B167" s="235" t="str">
        <f>'B) D RI'!B168</f>
        <v>Chesalles-sur-Moudon</v>
      </c>
      <c r="C167" s="390">
        <v>60403.107553375448</v>
      </c>
      <c r="D167" s="332">
        <f>+Synthèse!F167</f>
        <v>55681.648114647935</v>
      </c>
      <c r="E167" s="246">
        <f t="shared" si="6"/>
        <v>-4721.4594387275138</v>
      </c>
      <c r="F167" s="246">
        <v>-20275.698293815658</v>
      </c>
      <c r="G167" s="332">
        <f>+Synthèse!G167+Synthèse!H167+Synthèse!I167+Synthèse!J167+Synthèse!K167</f>
        <v>-57785.067831896333</v>
      </c>
      <c r="H167" s="246">
        <f t="shared" si="7"/>
        <v>-37509.369538080675</v>
      </c>
      <c r="I167" s="246">
        <v>11936.402678693783</v>
      </c>
      <c r="J167" s="332">
        <f>+'M) Police'!O167</f>
        <v>11695.70534089867</v>
      </c>
      <c r="K167" s="246">
        <f t="shared" si="8"/>
        <v>-240.69733779511262</v>
      </c>
    </row>
    <row r="168" spans="1:11" x14ac:dyDescent="0.25">
      <c r="A168" s="234">
        <f>'B) D RI'!A169</f>
        <v>5668</v>
      </c>
      <c r="B168" s="235" t="str">
        <f>'B) D RI'!B169</f>
        <v>Cremin</v>
      </c>
      <c r="C168" s="390">
        <v>15094.601742074405</v>
      </c>
      <c r="D168" s="332">
        <f>+Synthèse!F168</f>
        <v>17733.317201799324</v>
      </c>
      <c r="E168" s="246">
        <f t="shared" si="6"/>
        <v>2638.7154597249191</v>
      </c>
      <c r="F168" s="246">
        <v>-14826.346572195034</v>
      </c>
      <c r="G168" s="332">
        <f>+Synthèse!G168+Synthèse!H168+Synthèse!I168+Synthèse!J168+Synthèse!K168</f>
        <v>-25708.410632454175</v>
      </c>
      <c r="H168" s="246">
        <f t="shared" si="7"/>
        <v>-10882.064060259141</v>
      </c>
      <c r="I168" s="246">
        <v>3270.4696695373564</v>
      </c>
      <c r="J168" s="332">
        <f>+'M) Police'!O168</f>
        <v>3179.6119333123906</v>
      </c>
      <c r="K168" s="246">
        <f t="shared" si="8"/>
        <v>-90.85773622496572</v>
      </c>
    </row>
    <row r="169" spans="1:11" x14ac:dyDescent="0.25">
      <c r="A169" s="234">
        <f>'B) D RI'!A170</f>
        <v>5669</v>
      </c>
      <c r="B169" s="235" t="str">
        <f>'B) D RI'!B170</f>
        <v>Curtilles</v>
      </c>
      <c r="C169" s="390">
        <v>152684.70527841442</v>
      </c>
      <c r="D169" s="332">
        <f>+Synthèse!F169</f>
        <v>124442.62741983566</v>
      </c>
      <c r="E169" s="246">
        <f t="shared" si="6"/>
        <v>-28242.077858578763</v>
      </c>
      <c r="F169" s="246">
        <v>-58687.386034779949</v>
      </c>
      <c r="G169" s="332">
        <f>+Synthèse!G169+Synthèse!H169+Synthèse!I169+Synthèse!J169+Synthèse!K169</f>
        <v>-18035.33977424317</v>
      </c>
      <c r="H169" s="246">
        <f t="shared" si="7"/>
        <v>40652.046260536779</v>
      </c>
      <c r="I169" s="246">
        <v>25985.41456425099</v>
      </c>
      <c r="J169" s="332">
        <f>+'M) Police'!O169</f>
        <v>25948.30529056524</v>
      </c>
      <c r="K169" s="246">
        <f t="shared" si="8"/>
        <v>-37.10927368574994</v>
      </c>
    </row>
    <row r="170" spans="1:11" x14ac:dyDescent="0.25">
      <c r="A170" s="234">
        <f>'B) D RI'!A171</f>
        <v>5671</v>
      </c>
      <c r="B170" s="235" t="str">
        <f>'B) D RI'!B171</f>
        <v>Dompierre</v>
      </c>
      <c r="C170" s="390">
        <v>90097.685329700893</v>
      </c>
      <c r="D170" s="332">
        <f>+Synthèse!F170</f>
        <v>97852.814244131325</v>
      </c>
      <c r="E170" s="246">
        <f t="shared" si="6"/>
        <v>7755.1289144304319</v>
      </c>
      <c r="F170" s="246">
        <v>-118584.65770996414</v>
      </c>
      <c r="G170" s="332">
        <f>+Synthèse!G170+Synthèse!H170+Synthèse!I170+Synthèse!J170+Synthèse!K170</f>
        <v>-52080.673708594688</v>
      </c>
      <c r="H170" s="246">
        <f t="shared" si="7"/>
        <v>66503.984001369448</v>
      </c>
      <c r="I170" s="246">
        <v>18882.919250921481</v>
      </c>
      <c r="J170" s="332">
        <f>+'M) Police'!O170</f>
        <v>21000.039870594912</v>
      </c>
      <c r="K170" s="246">
        <f t="shared" si="8"/>
        <v>2117.1206196734311</v>
      </c>
    </row>
    <row r="171" spans="1:11" x14ac:dyDescent="0.25">
      <c r="A171" s="234">
        <f>'B) D RI'!A172</f>
        <v>5672</v>
      </c>
      <c r="B171" s="235" t="str">
        <f>'B) D RI'!B172</f>
        <v>Forel-sur-Lucens</v>
      </c>
      <c r="C171" s="390">
        <v>71320.692285076933</v>
      </c>
      <c r="D171" s="332">
        <f>+Synthèse!F171</f>
        <v>61170.953192485256</v>
      </c>
      <c r="E171" s="246">
        <f t="shared" si="6"/>
        <v>-10149.739092591677</v>
      </c>
      <c r="F171" s="246">
        <v>-7464.4467986886011</v>
      </c>
      <c r="G171" s="332">
        <f>+Synthèse!G171+Synthèse!H171+Synthèse!I171+Synthèse!J171+Synthèse!K171</f>
        <v>-9340.941258153649</v>
      </c>
      <c r="H171" s="246">
        <f t="shared" si="7"/>
        <v>-1876.4944594650478</v>
      </c>
      <c r="I171" s="246">
        <v>12517.794259550043</v>
      </c>
      <c r="J171" s="332">
        <f>+'M) Police'!O171</f>
        <v>13001.7575315047</v>
      </c>
      <c r="K171" s="246">
        <f t="shared" si="8"/>
        <v>483.9632719546571</v>
      </c>
    </row>
    <row r="172" spans="1:11" x14ac:dyDescent="0.25">
      <c r="A172" s="234">
        <f>'B) D RI'!A173</f>
        <v>5673</v>
      </c>
      <c r="B172" s="235" t="str">
        <f>'B) D RI'!B173</f>
        <v>Hermenches</v>
      </c>
      <c r="C172" s="390">
        <v>201887.29678128409</v>
      </c>
      <c r="D172" s="332">
        <f>+Synthèse!F172</f>
        <v>128229.48271313414</v>
      </c>
      <c r="E172" s="246">
        <f t="shared" si="6"/>
        <v>-73657.81406814995</v>
      </c>
      <c r="F172" s="246">
        <v>-28236.666731643869</v>
      </c>
      <c r="G172" s="332">
        <f>+Synthèse!G172+Synthèse!H172+Synthèse!I172+Synthèse!J172+Synthèse!K172</f>
        <v>-115260.32562375496</v>
      </c>
      <c r="H172" s="246">
        <f t="shared" si="7"/>
        <v>-87023.658892111096</v>
      </c>
      <c r="I172" s="246">
        <v>30892.154243575787</v>
      </c>
      <c r="J172" s="332">
        <f>+'M) Police'!O172</f>
        <v>24604.18107461997</v>
      </c>
      <c r="K172" s="246">
        <f t="shared" si="8"/>
        <v>-6287.9731689558175</v>
      </c>
    </row>
    <row r="173" spans="1:11" x14ac:dyDescent="0.25">
      <c r="A173" s="234">
        <f>'B) D RI'!A174</f>
        <v>5674</v>
      </c>
      <c r="B173" s="235" t="str">
        <f>'B) D RI'!B174</f>
        <v>Lovatens</v>
      </c>
      <c r="C173" s="390">
        <v>87181.636149180209</v>
      </c>
      <c r="D173" s="332">
        <f>+Synthèse!F173</f>
        <v>82993.370902200055</v>
      </c>
      <c r="E173" s="246">
        <f t="shared" si="6"/>
        <v>-4188.2652469801542</v>
      </c>
      <c r="F173" s="246">
        <v>85345.860170800879</v>
      </c>
      <c r="G173" s="332">
        <f>+Synthèse!G173+Synthèse!H173+Synthèse!I173+Synthèse!J173+Synthèse!K173</f>
        <v>-21600.552701655339</v>
      </c>
      <c r="H173" s="246">
        <f t="shared" si="7"/>
        <v>-106946.41287245622</v>
      </c>
      <c r="I173" s="246">
        <v>18828.949561588557</v>
      </c>
      <c r="J173" s="332">
        <f>+'M) Police'!O173</f>
        <v>11955.109193513941</v>
      </c>
      <c r="K173" s="246">
        <f t="shared" si="8"/>
        <v>-6873.840368074616</v>
      </c>
    </row>
    <row r="174" spans="1:11" x14ac:dyDescent="0.25">
      <c r="A174" s="234">
        <f>'B) D RI'!A175</f>
        <v>5675</v>
      </c>
      <c r="B174" s="235" t="str">
        <f>'B) D RI'!B175</f>
        <v>Lucens</v>
      </c>
      <c r="C174" s="390">
        <v>1307913.4170523582</v>
      </c>
      <c r="D174" s="332">
        <f>+Synthèse!F174</f>
        <v>1321538.0680098203</v>
      </c>
      <c r="E174" s="246">
        <f t="shared" si="6"/>
        <v>13624.650957462145</v>
      </c>
      <c r="F174" s="246">
        <v>-815022.40051236353</v>
      </c>
      <c r="G174" s="332">
        <f>+Synthèse!G174+Synthèse!H174+Synthèse!I174+Synthèse!J174+Synthèse!K174</f>
        <v>-1190898.5853089031</v>
      </c>
      <c r="H174" s="246">
        <f t="shared" si="7"/>
        <v>-375876.1847965396</v>
      </c>
      <c r="I174" s="246">
        <v>248798.75936450099</v>
      </c>
      <c r="J174" s="332">
        <f>+'M) Police'!O174</f>
        <v>239135.62162324187</v>
      </c>
      <c r="K174" s="246">
        <f t="shared" si="8"/>
        <v>-9663.1377412591246</v>
      </c>
    </row>
    <row r="175" spans="1:11" x14ac:dyDescent="0.25">
      <c r="A175" s="234">
        <f>'B) D RI'!A176</f>
        <v>5678</v>
      </c>
      <c r="B175" s="235" t="str">
        <f>'B) D RI'!B176</f>
        <v>Moudon</v>
      </c>
      <c r="C175" s="390">
        <v>2056328.5698149682</v>
      </c>
      <c r="D175" s="332">
        <f>+Synthèse!F175</f>
        <v>2207078.375531971</v>
      </c>
      <c r="E175" s="246">
        <f t="shared" si="6"/>
        <v>150749.80571700283</v>
      </c>
      <c r="F175" s="246">
        <v>-3869221.9286816348</v>
      </c>
      <c r="G175" s="332">
        <f>+Synthèse!G175+Synthèse!H175+Synthèse!I175+Synthèse!J175+Synthèse!K175</f>
        <v>-4182217.5793888541</v>
      </c>
      <c r="H175" s="246">
        <f t="shared" si="7"/>
        <v>-312995.65070721926</v>
      </c>
      <c r="I175" s="246">
        <v>378203.77003922686</v>
      </c>
      <c r="J175" s="332">
        <f>+'M) Police'!O175</f>
        <v>382580.51972682821</v>
      </c>
      <c r="K175" s="246">
        <f t="shared" si="8"/>
        <v>4376.7496876013465</v>
      </c>
    </row>
    <row r="176" spans="1:11" x14ac:dyDescent="0.25">
      <c r="A176" s="234">
        <f>'B) D RI'!A177</f>
        <v>5680</v>
      </c>
      <c r="B176" s="235" t="str">
        <f>'B) D RI'!B177</f>
        <v>Ogens</v>
      </c>
      <c r="C176" s="390">
        <v>108011.55931976232</v>
      </c>
      <c r="D176" s="332">
        <f>+Synthèse!F176</f>
        <v>144446.46377139594</v>
      </c>
      <c r="E176" s="246">
        <f t="shared" si="6"/>
        <v>36434.904451633614</v>
      </c>
      <c r="F176" s="246">
        <v>-87088.553559641616</v>
      </c>
      <c r="G176" s="332">
        <f>+Synthèse!G176+Synthèse!H176+Synthèse!I176+Synthèse!J176+Synthèse!K176</f>
        <v>-1517.1968789890452</v>
      </c>
      <c r="H176" s="246">
        <f t="shared" si="7"/>
        <v>85571.356680652563</v>
      </c>
      <c r="I176" s="246">
        <v>21071.468562339949</v>
      </c>
      <c r="J176" s="332">
        <f>+'M) Police'!O176</f>
        <v>26949.235582883011</v>
      </c>
      <c r="K176" s="246">
        <f t="shared" si="8"/>
        <v>5877.7670205430622</v>
      </c>
    </row>
    <row r="177" spans="1:11" x14ac:dyDescent="0.25">
      <c r="A177" s="234">
        <f>'B) D RI'!A178</f>
        <v>5683</v>
      </c>
      <c r="B177" s="235" t="str">
        <f>'B) D RI'!B178</f>
        <v>Prévonloup</v>
      </c>
      <c r="C177" s="390">
        <v>59644.001696192754</v>
      </c>
      <c r="D177" s="332">
        <f>+Synthèse!F177</f>
        <v>60543.133603362345</v>
      </c>
      <c r="E177" s="246">
        <f t="shared" si="6"/>
        <v>899.1319071695907</v>
      </c>
      <c r="F177" s="246">
        <v>-100892.6895667943</v>
      </c>
      <c r="G177" s="332">
        <f>+Synthèse!G177+Synthèse!H177+Synthèse!I177+Synthèse!J177+Synthèse!K177</f>
        <v>-28293.919688480215</v>
      </c>
      <c r="H177" s="246">
        <f t="shared" si="7"/>
        <v>72598.76987831408</v>
      </c>
      <c r="I177" s="246">
        <v>12158.784675888168</v>
      </c>
      <c r="J177" s="332">
        <f>+'M) Police'!O177</f>
        <v>12940.864237435584</v>
      </c>
      <c r="K177" s="246">
        <f t="shared" si="8"/>
        <v>782.07956154741623</v>
      </c>
    </row>
    <row r="178" spans="1:11" x14ac:dyDescent="0.25">
      <c r="A178" s="234">
        <f>'B) D RI'!A179</f>
        <v>5684</v>
      </c>
      <c r="B178" s="235" t="str">
        <f>'B) D RI'!B179</f>
        <v>Rossenges</v>
      </c>
      <c r="C178" s="390">
        <v>18590.07997261405</v>
      </c>
      <c r="D178" s="332">
        <f>+Synthèse!F178</f>
        <v>31087.902925338025</v>
      </c>
      <c r="E178" s="246">
        <f t="shared" si="6"/>
        <v>12497.822952723975</v>
      </c>
      <c r="F178" s="246">
        <v>-6068.6719138602894</v>
      </c>
      <c r="G178" s="332">
        <f>+Synthèse!G178+Synthèse!H178+Synthèse!I178+Synthèse!J178+Synthèse!K178</f>
        <v>25864.882055026384</v>
      </c>
      <c r="H178" s="246">
        <f t="shared" si="7"/>
        <v>31933.553968886674</v>
      </c>
      <c r="I178" s="246">
        <v>3956.2233530831945</v>
      </c>
      <c r="J178" s="332">
        <f>+'M) Police'!O178</f>
        <v>6663.1496025387314</v>
      </c>
      <c r="K178" s="246">
        <f t="shared" si="8"/>
        <v>2706.9262494555369</v>
      </c>
    </row>
    <row r="179" spans="1:11" x14ac:dyDescent="0.25">
      <c r="A179" s="234">
        <f>'B) D RI'!A180</f>
        <v>5686</v>
      </c>
      <c r="B179" s="235" t="str">
        <f>'B) D RI'!B180</f>
        <v>Sarzens</v>
      </c>
      <c r="C179" s="390">
        <v>32704.601121835476</v>
      </c>
      <c r="D179" s="332">
        <f>+Synthèse!F179</f>
        <v>30774.915615929127</v>
      </c>
      <c r="E179" s="246">
        <f t="shared" si="6"/>
        <v>-1929.6855059063491</v>
      </c>
      <c r="F179" s="246">
        <v>-32744.132942576944</v>
      </c>
      <c r="G179" s="332">
        <f>+Synthèse!G179+Synthèse!H179+Synthèse!I179+Synthèse!J179+Synthèse!K179</f>
        <v>-42404.915670395407</v>
      </c>
      <c r="H179" s="246">
        <f t="shared" si="7"/>
        <v>-9660.7827278184632</v>
      </c>
      <c r="I179" s="246">
        <v>4894.5109929958235</v>
      </c>
      <c r="J179" s="332">
        <f>+'M) Police'!O179</f>
        <v>5215.5960546841734</v>
      </c>
      <c r="K179" s="246">
        <f t="shared" si="8"/>
        <v>321.08506168834992</v>
      </c>
    </row>
    <row r="180" spans="1:11" x14ac:dyDescent="0.25">
      <c r="A180" s="234">
        <f>'B) D RI'!A181</f>
        <v>5688</v>
      </c>
      <c r="B180" s="235" t="str">
        <f>'B) D RI'!B181</f>
        <v>Syens</v>
      </c>
      <c r="C180" s="390">
        <v>70374.263898333418</v>
      </c>
      <c r="D180" s="332">
        <f>+Synthèse!F180</f>
        <v>92608.175542923476</v>
      </c>
      <c r="E180" s="246">
        <f t="shared" si="6"/>
        <v>22233.911644590058</v>
      </c>
      <c r="F180" s="246">
        <v>51826.20812355238</v>
      </c>
      <c r="G180" s="332">
        <f>+Synthèse!G180+Synthèse!H180+Synthèse!I180+Synthèse!J180+Synthèse!K180</f>
        <v>22471.832212396821</v>
      </c>
      <c r="H180" s="246">
        <f t="shared" si="7"/>
        <v>-29354.375911155559</v>
      </c>
      <c r="I180" s="246">
        <v>14912.212138599229</v>
      </c>
      <c r="J180" s="332">
        <f>+'M) Police'!O180</f>
        <v>15338.705227606686</v>
      </c>
      <c r="K180" s="246">
        <f t="shared" si="8"/>
        <v>426.49308900745746</v>
      </c>
    </row>
    <row r="181" spans="1:11" x14ac:dyDescent="0.25">
      <c r="A181" s="234">
        <f>'B) D RI'!A182</f>
        <v>5690</v>
      </c>
      <c r="B181" s="235" t="str">
        <f>'B) D RI'!B182</f>
        <v>Villars-le-Comte</v>
      </c>
      <c r="C181" s="390">
        <v>46719.710852775781</v>
      </c>
      <c r="D181" s="332">
        <f>+Synthèse!F181</f>
        <v>49066.05599845964</v>
      </c>
      <c r="E181" s="246">
        <f t="shared" si="6"/>
        <v>2346.3451456838593</v>
      </c>
      <c r="F181" s="246">
        <v>-39573.574161325581</v>
      </c>
      <c r="G181" s="332">
        <f>+Synthèse!G181+Synthèse!H181+Synthèse!I181+Synthèse!J181+Synthèse!K181</f>
        <v>-48012.535715644255</v>
      </c>
      <c r="H181" s="246">
        <f t="shared" si="7"/>
        <v>-8438.9615543186737</v>
      </c>
      <c r="I181" s="246">
        <v>10023.867307628543</v>
      </c>
      <c r="J181" s="332">
        <f>+'M) Police'!O181</f>
        <v>10143.897245781562</v>
      </c>
      <c r="K181" s="246">
        <f t="shared" si="8"/>
        <v>120.02993815301852</v>
      </c>
    </row>
    <row r="182" spans="1:11" x14ac:dyDescent="0.25">
      <c r="A182" s="234">
        <f>'B) D RI'!A183</f>
        <v>5692</v>
      </c>
      <c r="B182" s="235" t="str">
        <f>'B) D RI'!B183</f>
        <v>Vucherens</v>
      </c>
      <c r="C182" s="390">
        <v>261054.80840338537</v>
      </c>
      <c r="D182" s="332">
        <f>+Synthèse!F182</f>
        <v>318908.82406292035</v>
      </c>
      <c r="E182" s="246">
        <f t="shared" si="6"/>
        <v>57854.015659534984</v>
      </c>
      <c r="F182" s="246">
        <v>61376.072838531836</v>
      </c>
      <c r="G182" s="332">
        <f>+Synthèse!G182+Synthèse!H182+Synthèse!I182+Synthèse!J182+Synthèse!K182</f>
        <v>29678.881824147444</v>
      </c>
      <c r="H182" s="246">
        <f t="shared" si="7"/>
        <v>-31697.191014384392</v>
      </c>
      <c r="I182" s="246">
        <v>51560.629411235124</v>
      </c>
      <c r="J182" s="332">
        <f>+'M) Police'!O182</f>
        <v>53570.32770211366</v>
      </c>
      <c r="K182" s="246">
        <f t="shared" si="8"/>
        <v>2009.6982908785358</v>
      </c>
    </row>
    <row r="183" spans="1:11" x14ac:dyDescent="0.25">
      <c r="A183" s="234">
        <f>'B) D RI'!A184</f>
        <v>5693</v>
      </c>
      <c r="B183" s="235" t="str">
        <f>'B) D RI'!B184</f>
        <v>Montanaire</v>
      </c>
      <c r="C183" s="390">
        <v>1022772.4505902866</v>
      </c>
      <c r="D183" s="332">
        <f>+Synthèse!F183</f>
        <v>1079111.6535509767</v>
      </c>
      <c r="E183" s="246">
        <f t="shared" si="6"/>
        <v>56339.202960690018</v>
      </c>
      <c r="F183" s="246">
        <v>-650032.63441397343</v>
      </c>
      <c r="G183" s="332">
        <f>+Synthèse!G183+Synthèse!H183+Synthèse!I183+Synthèse!J183+Synthèse!K183</f>
        <v>-813352.35410553752</v>
      </c>
      <c r="H183" s="246">
        <f t="shared" si="7"/>
        <v>-163319.7196915641</v>
      </c>
      <c r="I183" s="246">
        <v>189596.57005182907</v>
      </c>
      <c r="J183" s="332">
        <f>+'M) Police'!O183</f>
        <v>199643.05699546466</v>
      </c>
      <c r="K183" s="246">
        <f t="shared" si="8"/>
        <v>10046.486943635595</v>
      </c>
    </row>
    <row r="184" spans="1:11" x14ac:dyDescent="0.25">
      <c r="A184" s="234">
        <f>'B) D RI'!A185</f>
        <v>5701</v>
      </c>
      <c r="B184" s="235" t="str">
        <f>'B) D RI'!B185</f>
        <v>Arnex-sur-Nyon</v>
      </c>
      <c r="C184" s="390">
        <v>306129.57206880476</v>
      </c>
      <c r="D184" s="332">
        <f>+Synthèse!F184</f>
        <v>347422.95246436947</v>
      </c>
      <c r="E184" s="246">
        <f t="shared" si="6"/>
        <v>41293.380395564716</v>
      </c>
      <c r="F184" s="246">
        <v>219948</v>
      </c>
      <c r="G184" s="332">
        <f>+Synthèse!G184+Synthèse!H184+Synthèse!I184+Synthèse!J184+Synthèse!K184</f>
        <v>239984.31839606108</v>
      </c>
      <c r="H184" s="246">
        <f t="shared" si="7"/>
        <v>20036.318396061077</v>
      </c>
      <c r="I184" s="246">
        <v>33700.863083245647</v>
      </c>
      <c r="J184" s="332">
        <f>+'M) Police'!O184</f>
        <v>36633.31200635017</v>
      </c>
      <c r="K184" s="246">
        <f t="shared" si="8"/>
        <v>2932.4489231045227</v>
      </c>
    </row>
    <row r="185" spans="1:11" x14ac:dyDescent="0.25">
      <c r="A185" s="234">
        <f>'B) D RI'!A186</f>
        <v>5702</v>
      </c>
      <c r="B185" s="235" t="str">
        <f>'B) D RI'!B186</f>
        <v>Arzier-Le Muids</v>
      </c>
      <c r="C185" s="390">
        <v>2211613.440394647</v>
      </c>
      <c r="D185" s="332">
        <f>+Synthèse!F185</f>
        <v>2905312.9585946631</v>
      </c>
      <c r="E185" s="246">
        <f t="shared" si="6"/>
        <v>693699.51820001611</v>
      </c>
      <c r="F185" s="246">
        <v>1361881</v>
      </c>
      <c r="G185" s="332">
        <f>+Synthèse!G185+Synthèse!H185+Synthèse!I185+Synthèse!J185+Synthèse!K185</f>
        <v>1927844.2505187287</v>
      </c>
      <c r="H185" s="246">
        <f t="shared" si="7"/>
        <v>565963.25051872875</v>
      </c>
      <c r="I185" s="246">
        <v>376999.56323863519</v>
      </c>
      <c r="J185" s="332">
        <f>+'M) Police'!O185</f>
        <v>415600.71491212951</v>
      </c>
      <c r="K185" s="246">
        <f t="shared" si="8"/>
        <v>38601.151673494314</v>
      </c>
    </row>
    <row r="186" spans="1:11" x14ac:dyDescent="0.25">
      <c r="A186" s="234">
        <f>'B) D RI'!A187</f>
        <v>5703</v>
      </c>
      <c r="B186" s="235" t="str">
        <f>'B) D RI'!B187</f>
        <v>Bassins</v>
      </c>
      <c r="C186" s="390">
        <v>968936.34872547886</v>
      </c>
      <c r="D186" s="332">
        <f>+Synthèse!F186</f>
        <v>873397.79854480608</v>
      </c>
      <c r="E186" s="246">
        <f t="shared" si="6"/>
        <v>-95538.550180672784</v>
      </c>
      <c r="F186" s="246">
        <v>401239.56236912985</v>
      </c>
      <c r="G186" s="332">
        <f>+Synthèse!G186+Synthèse!H186+Synthèse!I186+Synthèse!J186+Synthèse!K186</f>
        <v>462067.66329972789</v>
      </c>
      <c r="H186" s="246">
        <f t="shared" si="7"/>
        <v>60828.100930598041</v>
      </c>
      <c r="I186" s="246">
        <v>168950.39036599098</v>
      </c>
      <c r="J186" s="332">
        <f>+'M) Police'!O186</f>
        <v>163727.86118826974</v>
      </c>
      <c r="K186" s="246">
        <f t="shared" si="8"/>
        <v>-5222.5291777212406</v>
      </c>
    </row>
    <row r="187" spans="1:11" x14ac:dyDescent="0.25">
      <c r="A187" s="234">
        <f>'B) D RI'!A188</f>
        <v>5704</v>
      </c>
      <c r="B187" s="235" t="str">
        <f>'B) D RI'!B188</f>
        <v>Begnins</v>
      </c>
      <c r="C187" s="390">
        <v>2284974.8054999779</v>
      </c>
      <c r="D187" s="332">
        <f>+Synthèse!F187</f>
        <v>2371830.0732195866</v>
      </c>
      <c r="E187" s="246">
        <f t="shared" si="6"/>
        <v>86855.267719608732</v>
      </c>
      <c r="F187" s="246">
        <v>1452734</v>
      </c>
      <c r="G187" s="332">
        <f>+Synthèse!G187+Synthèse!H187+Synthèse!I187+Synthèse!J187+Synthèse!K187</f>
        <v>1706792.4128425368</v>
      </c>
      <c r="H187" s="246">
        <f t="shared" si="7"/>
        <v>254058.41284253681</v>
      </c>
      <c r="I187" s="246">
        <v>276561.30100763612</v>
      </c>
      <c r="J187" s="332">
        <f>+'M) Police'!O187</f>
        <v>306431.74504285771</v>
      </c>
      <c r="K187" s="246">
        <f t="shared" si="8"/>
        <v>29870.44403522159</v>
      </c>
    </row>
    <row r="188" spans="1:11" x14ac:dyDescent="0.25">
      <c r="A188" s="234">
        <f>'B) D RI'!A189</f>
        <v>5705</v>
      </c>
      <c r="B188" s="235" t="str">
        <f>'B) D RI'!B189</f>
        <v>Bogis-Bossey</v>
      </c>
      <c r="C188" s="390">
        <v>726648.46689462243</v>
      </c>
      <c r="D188" s="332">
        <f>+Synthèse!F188</f>
        <v>869036.88769535359</v>
      </c>
      <c r="E188" s="246">
        <f t="shared" si="6"/>
        <v>142388.42080073117</v>
      </c>
      <c r="F188" s="246">
        <v>723583</v>
      </c>
      <c r="G188" s="332">
        <f>+Synthèse!G188+Synthèse!H188+Synthèse!I188+Synthèse!J188+Synthèse!K188</f>
        <v>817649.95924687141</v>
      </c>
      <c r="H188" s="246">
        <f t="shared" si="7"/>
        <v>94066.959246871411</v>
      </c>
      <c r="I188" s="246">
        <v>129960.9856654076</v>
      </c>
      <c r="J188" s="332">
        <f>+'M) Police'!O188</f>
        <v>133996.3261495218</v>
      </c>
      <c r="K188" s="246">
        <f t="shared" si="8"/>
        <v>4035.3404841142037</v>
      </c>
    </row>
    <row r="189" spans="1:11" x14ac:dyDescent="0.25">
      <c r="A189" s="234">
        <f>'B) D RI'!A190</f>
        <v>5706</v>
      </c>
      <c r="B189" s="235" t="str">
        <f>'B) D RI'!B190</f>
        <v>Borex</v>
      </c>
      <c r="C189" s="390">
        <v>2378161.106129976</v>
      </c>
      <c r="D189" s="332">
        <f>+Synthèse!F189</f>
        <v>1308351.7113967696</v>
      </c>
      <c r="E189" s="246">
        <f t="shared" si="6"/>
        <v>-1069809.3947332064</v>
      </c>
      <c r="F189" s="246">
        <v>1205665</v>
      </c>
      <c r="G189" s="332">
        <f>+Synthèse!G189+Synthèse!H189+Synthèse!I189+Synthèse!J189+Synthèse!K189</f>
        <v>1089297.0380831116</v>
      </c>
      <c r="H189" s="246">
        <f t="shared" si="7"/>
        <v>-116367.96191688837</v>
      </c>
      <c r="I189" s="246">
        <v>178764.71859678836</v>
      </c>
      <c r="J189" s="332">
        <f>+'M) Police'!O189</f>
        <v>179938.89286655164</v>
      </c>
      <c r="K189" s="246">
        <f t="shared" si="8"/>
        <v>1174.1742697632872</v>
      </c>
    </row>
    <row r="190" spans="1:11" x14ac:dyDescent="0.25">
      <c r="A190" s="234">
        <f>'B) D RI'!A191</f>
        <v>5707</v>
      </c>
      <c r="B190" s="235" t="str">
        <f>'B) D RI'!B191</f>
        <v>Chavannes-de-Bogis</v>
      </c>
      <c r="C190" s="390">
        <v>2422488.6080717877</v>
      </c>
      <c r="D190" s="332">
        <f>+Synthèse!F190</f>
        <v>2539208.226592402</v>
      </c>
      <c r="E190" s="246">
        <f t="shared" si="6"/>
        <v>116719.61852061423</v>
      </c>
      <c r="F190" s="246">
        <v>1397244</v>
      </c>
      <c r="G190" s="332">
        <f>+Synthèse!G190+Synthèse!H190+Synthèse!I190+Synthèse!J190+Synthèse!K190</f>
        <v>1445568.1442869166</v>
      </c>
      <c r="H190" s="246">
        <f t="shared" si="7"/>
        <v>48324.144286916591</v>
      </c>
      <c r="I190" s="246">
        <v>208722.84821570653</v>
      </c>
      <c r="J190" s="332">
        <f>+'M) Police'!O190</f>
        <v>210501.92048756202</v>
      </c>
      <c r="K190" s="246">
        <f t="shared" si="8"/>
        <v>1779.0722718554898</v>
      </c>
    </row>
    <row r="191" spans="1:11" x14ac:dyDescent="0.25">
      <c r="A191" s="234">
        <f>'B) D RI'!A192</f>
        <v>5708</v>
      </c>
      <c r="B191" s="235" t="str">
        <f>'B) D RI'!B192</f>
        <v>Chavannes-des-Bois</v>
      </c>
      <c r="C191" s="390">
        <v>1332760.7906037779</v>
      </c>
      <c r="D191" s="332">
        <f>+Synthèse!F191</f>
        <v>1449425.2365693864</v>
      </c>
      <c r="E191" s="246">
        <f t="shared" si="6"/>
        <v>116664.44596560858</v>
      </c>
      <c r="F191" s="246">
        <v>919541</v>
      </c>
      <c r="G191" s="332">
        <f>+Synthèse!G191+Synthèse!H191+Synthèse!I191+Synthèse!J191+Synthèse!K191</f>
        <v>1007564.3955866465</v>
      </c>
      <c r="H191" s="246">
        <f t="shared" si="7"/>
        <v>88023.395586646511</v>
      </c>
      <c r="I191" s="246">
        <v>141141.91186020896</v>
      </c>
      <c r="J191" s="332">
        <f>+'M) Police'!O191</f>
        <v>149256.05973083148</v>
      </c>
      <c r="K191" s="246">
        <f t="shared" si="8"/>
        <v>8114.1478706225171</v>
      </c>
    </row>
    <row r="192" spans="1:11" x14ac:dyDescent="0.25">
      <c r="A192" s="234">
        <f>'B) D RI'!A193</f>
        <v>5709</v>
      </c>
      <c r="B192" s="235" t="str">
        <f>'B) D RI'!B193</f>
        <v>Chéserex</v>
      </c>
      <c r="C192" s="390">
        <v>3718769.8310674503</v>
      </c>
      <c r="D192" s="332">
        <f>+Synthèse!F192</f>
        <v>4069551.8048635563</v>
      </c>
      <c r="E192" s="246">
        <f t="shared" si="6"/>
        <v>350781.97379610594</v>
      </c>
      <c r="F192" s="246">
        <v>1830903</v>
      </c>
      <c r="G192" s="332">
        <f>+Synthèse!G192+Synthèse!H192+Synthèse!I192+Synthèse!J192+Synthèse!K192</f>
        <v>1810732.3839352152</v>
      </c>
      <c r="H192" s="246">
        <f t="shared" si="7"/>
        <v>-20170.616064784816</v>
      </c>
      <c r="I192" s="246">
        <v>251404.5793829211</v>
      </c>
      <c r="J192" s="332">
        <f>+'M) Police'!O192</f>
        <v>243340.81239002125</v>
      </c>
      <c r="K192" s="246">
        <f t="shared" si="8"/>
        <v>-8063.7669928998512</v>
      </c>
    </row>
    <row r="193" spans="1:11" x14ac:dyDescent="0.25">
      <c r="A193" s="234">
        <f>'B) D RI'!A194</f>
        <v>5710</v>
      </c>
      <c r="B193" s="235" t="str">
        <f>'B) D RI'!B194</f>
        <v>Coinsins</v>
      </c>
      <c r="C193" s="390">
        <v>2696860.0338572818</v>
      </c>
      <c r="D193" s="332">
        <f>+Synthèse!F193</f>
        <v>1886163.6747306432</v>
      </c>
      <c r="E193" s="246">
        <f t="shared" si="6"/>
        <v>-810696.35912663862</v>
      </c>
      <c r="F193" s="246">
        <v>998396</v>
      </c>
      <c r="G193" s="332">
        <f>+Synthèse!G193+Synthèse!H193+Synthèse!I193+Synthèse!J193+Synthèse!K193</f>
        <v>900780.65037064883</v>
      </c>
      <c r="H193" s="246">
        <f t="shared" si="7"/>
        <v>-97615.349629351171</v>
      </c>
      <c r="I193" s="246">
        <v>112408.91889191839</v>
      </c>
      <c r="J193" s="332">
        <f>+'M) Police'!O193</f>
        <v>108114.55172132098</v>
      </c>
      <c r="K193" s="246">
        <f t="shared" si="8"/>
        <v>-4294.367170597412</v>
      </c>
    </row>
    <row r="194" spans="1:11" x14ac:dyDescent="0.25">
      <c r="A194" s="234">
        <f>'B) D RI'!A195</f>
        <v>5711</v>
      </c>
      <c r="B194" s="235" t="str">
        <f>'B) D RI'!B195</f>
        <v>Commugny</v>
      </c>
      <c r="C194" s="390">
        <v>5797961.922769011</v>
      </c>
      <c r="D194" s="332">
        <f>+Synthèse!F194</f>
        <v>6224834.2932440741</v>
      </c>
      <c r="E194" s="246">
        <f t="shared" si="6"/>
        <v>426872.3704750631</v>
      </c>
      <c r="F194" s="246">
        <v>2978226</v>
      </c>
      <c r="G194" s="332">
        <f>+Synthèse!G194+Synthèse!H194+Synthèse!I194+Synthèse!J194+Synthèse!K194</f>
        <v>3138455.3632102422</v>
      </c>
      <c r="H194" s="246">
        <f t="shared" si="7"/>
        <v>160229.36321024224</v>
      </c>
      <c r="I194" s="246">
        <v>479507.5513442941</v>
      </c>
      <c r="J194" s="332">
        <f>+'M) Police'!O194</f>
        <v>483329.99934658443</v>
      </c>
      <c r="K194" s="246">
        <f t="shared" si="8"/>
        <v>3822.4480022903299</v>
      </c>
    </row>
    <row r="195" spans="1:11" x14ac:dyDescent="0.25">
      <c r="A195" s="234">
        <f>'B) D RI'!A196</f>
        <v>5712</v>
      </c>
      <c r="B195" s="235" t="str">
        <f>'B) D RI'!B196</f>
        <v>Coppet</v>
      </c>
      <c r="C195" s="390">
        <v>7682487.7575790808</v>
      </c>
      <c r="D195" s="332">
        <f>+Synthèse!F195</f>
        <v>8594216.1653034016</v>
      </c>
      <c r="E195" s="246">
        <f t="shared" si="6"/>
        <v>911728.40772432089</v>
      </c>
      <c r="F195" s="246">
        <v>3557932</v>
      </c>
      <c r="G195" s="332">
        <f>+Synthèse!G195+Synthèse!H195+Synthèse!I195+Synthèse!J195+Synthèse!K195</f>
        <v>3814565.2329747463</v>
      </c>
      <c r="H195" s="246">
        <f t="shared" si="7"/>
        <v>256633.23297474626</v>
      </c>
      <c r="I195" s="246">
        <v>562654.55783990631</v>
      </c>
      <c r="J195" s="332">
        <f>+'M) Police'!O195</f>
        <v>572197.24037082703</v>
      </c>
      <c r="K195" s="246">
        <f t="shared" si="8"/>
        <v>9542.6825309207197</v>
      </c>
    </row>
    <row r="196" spans="1:11" x14ac:dyDescent="0.25">
      <c r="A196" s="234">
        <f>'B) D RI'!A197</f>
        <v>5713</v>
      </c>
      <c r="B196" s="235" t="str">
        <f>'B) D RI'!B197</f>
        <v>Crans-près-Céligny</v>
      </c>
      <c r="C196" s="390">
        <v>10486927.280924385</v>
      </c>
      <c r="D196" s="332">
        <f>+Synthèse!F196</f>
        <v>6189339.1617117394</v>
      </c>
      <c r="E196" s="246">
        <f t="shared" si="6"/>
        <v>-4297588.119212646</v>
      </c>
      <c r="F196" s="246">
        <v>3544830</v>
      </c>
      <c r="G196" s="332">
        <f>+Synthèse!G196+Synthèse!H196+Synthèse!I196+Synthèse!J196+Synthèse!K196</f>
        <v>2627411.5240848633</v>
      </c>
      <c r="H196" s="246">
        <f t="shared" si="7"/>
        <v>-917418.47591513675</v>
      </c>
      <c r="I196" s="246">
        <v>291830.58730420261</v>
      </c>
      <c r="J196" s="332">
        <f>+'M) Police'!O196</f>
        <v>225530.26651312725</v>
      </c>
      <c r="K196" s="246">
        <f t="shared" si="8"/>
        <v>-66300.320791075355</v>
      </c>
    </row>
    <row r="197" spans="1:11" x14ac:dyDescent="0.25">
      <c r="A197" s="234">
        <f>'B) D RI'!A198</f>
        <v>5714</v>
      </c>
      <c r="B197" s="235" t="str">
        <f>'B) D RI'!B198</f>
        <v>Crassier</v>
      </c>
      <c r="C197" s="390">
        <v>1282519.4431588871</v>
      </c>
      <c r="D197" s="332">
        <f>+Synthèse!F197</f>
        <v>1673389.2498454324</v>
      </c>
      <c r="E197" s="246">
        <f t="shared" si="6"/>
        <v>390869.80668654526</v>
      </c>
      <c r="F197" s="246">
        <v>1035719</v>
      </c>
      <c r="G197" s="332">
        <f>+Synthèse!G197+Synthèse!H197+Synthèse!I197+Synthèse!J197+Synthèse!K197</f>
        <v>1259847.5439377264</v>
      </c>
      <c r="H197" s="246">
        <f t="shared" si="7"/>
        <v>224128.54393772641</v>
      </c>
      <c r="I197" s="246">
        <v>181198.47283590009</v>
      </c>
      <c r="J197" s="332">
        <f>+'M) Police'!O197</f>
        <v>199794.97010342384</v>
      </c>
      <c r="K197" s="246">
        <f t="shared" si="8"/>
        <v>18596.497267523751</v>
      </c>
    </row>
    <row r="198" spans="1:11" x14ac:dyDescent="0.25">
      <c r="A198" s="234">
        <f>'B) D RI'!A199</f>
        <v>5715</v>
      </c>
      <c r="B198" s="235" t="str">
        <f>'B) D RI'!B199</f>
        <v>Duillier</v>
      </c>
      <c r="C198" s="390">
        <v>1008385.4312781364</v>
      </c>
      <c r="D198" s="332">
        <f>+Synthèse!F198</f>
        <v>1245463.0825579222</v>
      </c>
      <c r="E198" s="246">
        <f t="shared" si="6"/>
        <v>237077.65127978579</v>
      </c>
      <c r="F198" s="246">
        <v>986758</v>
      </c>
      <c r="G198" s="332">
        <f>+Synthèse!G198+Synthèse!H198+Synthèse!I198+Synthèse!J198+Synthèse!K198</f>
        <v>1036136.0619614728</v>
      </c>
      <c r="H198" s="246">
        <f t="shared" si="7"/>
        <v>49378.061961472849</v>
      </c>
      <c r="I198" s="246">
        <v>166502.09680287133</v>
      </c>
      <c r="J198" s="332">
        <f>+'M) Police'!O198</f>
        <v>169807.98268767726</v>
      </c>
      <c r="K198" s="246">
        <f t="shared" si="8"/>
        <v>3305.8858848059317</v>
      </c>
    </row>
    <row r="199" spans="1:11" x14ac:dyDescent="0.25">
      <c r="A199" s="234">
        <f>'B) D RI'!A200</f>
        <v>5716</v>
      </c>
      <c r="B199" s="235" t="str">
        <f>'B) D RI'!B200</f>
        <v>Eysins</v>
      </c>
      <c r="C199" s="390">
        <v>3663328.1222406523</v>
      </c>
      <c r="D199" s="332">
        <f>+Synthèse!F199</f>
        <v>2290987.5894944808</v>
      </c>
      <c r="E199" s="246">
        <f t="shared" ref="E199:E262" si="9">D199-C199</f>
        <v>-1372340.5327461716</v>
      </c>
      <c r="F199" s="246">
        <v>1837900</v>
      </c>
      <c r="G199" s="332">
        <f>+Synthèse!G199+Synthèse!H199+Synthèse!I199+Synthèse!J199+Synthèse!K199</f>
        <v>1398178.9680646276</v>
      </c>
      <c r="H199" s="246">
        <f t="shared" ref="H199:H262" si="10">G199-F199</f>
        <v>-439721.03193537239</v>
      </c>
      <c r="I199" s="246">
        <v>278302.77114566951</v>
      </c>
      <c r="J199" s="332">
        <f>+'M) Police'!O199</f>
        <v>243693.28230725718</v>
      </c>
      <c r="K199" s="246">
        <f t="shared" ref="K199:K262" si="11">J199-I199</f>
        <v>-34609.488838412333</v>
      </c>
    </row>
    <row r="200" spans="1:11" x14ac:dyDescent="0.25">
      <c r="A200" s="234">
        <f>'B) D RI'!A201</f>
        <v>5717</v>
      </c>
      <c r="B200" s="235" t="str">
        <f>'B) D RI'!B201</f>
        <v>Founex</v>
      </c>
      <c r="C200" s="390">
        <v>9111521.9860230014</v>
      </c>
      <c r="D200" s="332">
        <f>+Synthèse!F200</f>
        <v>9334048.5387444906</v>
      </c>
      <c r="E200" s="246">
        <f t="shared" si="9"/>
        <v>222526.55272148922</v>
      </c>
      <c r="F200" s="246">
        <v>3957684</v>
      </c>
      <c r="G200" s="332">
        <f>+Synthèse!G200+Synthèse!H200+Synthèse!I200+Synthèse!J200+Synthèse!K200</f>
        <v>4259577.7661741814</v>
      </c>
      <c r="H200" s="246">
        <f t="shared" si="10"/>
        <v>301893.76617418136</v>
      </c>
      <c r="I200" s="246">
        <v>637503.86155261402</v>
      </c>
      <c r="J200" s="332">
        <f>+'M) Police'!O200</f>
        <v>658946.03657449665</v>
      </c>
      <c r="K200" s="246">
        <f t="shared" si="11"/>
        <v>21442.175021882635</v>
      </c>
    </row>
    <row r="201" spans="1:11" x14ac:dyDescent="0.25">
      <c r="A201" s="234">
        <f>'B) D RI'!A202</f>
        <v>5718</v>
      </c>
      <c r="B201" s="235" t="str">
        <f>'B) D RI'!B202</f>
        <v>Genolier</v>
      </c>
      <c r="C201" s="390">
        <v>4572915.9252545107</v>
      </c>
      <c r="D201" s="332">
        <f>+Synthèse!F201</f>
        <v>5094171.6416796949</v>
      </c>
      <c r="E201" s="246">
        <f t="shared" si="9"/>
        <v>521255.71642518416</v>
      </c>
      <c r="F201" s="246">
        <v>2304298</v>
      </c>
      <c r="G201" s="332">
        <f>+Synthèse!G201+Synthèse!H201+Synthèse!I201+Synthèse!J201+Synthèse!K201</f>
        <v>2466779.2414472201</v>
      </c>
      <c r="H201" s="246">
        <f t="shared" si="10"/>
        <v>162481.24144722009</v>
      </c>
      <c r="I201" s="246">
        <v>358217.68189981207</v>
      </c>
      <c r="J201" s="332">
        <f>+'M) Police'!O201</f>
        <v>363184.16574203485</v>
      </c>
      <c r="K201" s="246">
        <f t="shared" si="11"/>
        <v>4966.4838422227767</v>
      </c>
    </row>
    <row r="202" spans="1:11" x14ac:dyDescent="0.25">
      <c r="A202" s="234">
        <f>'B) D RI'!A203</f>
        <v>5719</v>
      </c>
      <c r="B202" s="235" t="str">
        <f>'B) D RI'!B203</f>
        <v>Gingins</v>
      </c>
      <c r="C202" s="390">
        <v>2074464.5962433273</v>
      </c>
      <c r="D202" s="332">
        <f>+Synthèse!F202</f>
        <v>2216416.4885081048</v>
      </c>
      <c r="E202" s="246">
        <f t="shared" si="9"/>
        <v>141951.89226477756</v>
      </c>
      <c r="F202" s="246">
        <v>1391674</v>
      </c>
      <c r="G202" s="332">
        <f>+Synthèse!G202+Synthèse!H202+Synthèse!I202+Synthèse!J202+Synthèse!K202</f>
        <v>1339529.2282898012</v>
      </c>
      <c r="H202" s="246">
        <f t="shared" si="10"/>
        <v>-52144.771710198838</v>
      </c>
      <c r="I202" s="246">
        <v>218561.60189139424</v>
      </c>
      <c r="J202" s="332">
        <f>+'M) Police'!O202</f>
        <v>207841.01045510196</v>
      </c>
      <c r="K202" s="246">
        <f t="shared" si="11"/>
        <v>-10720.591436292278</v>
      </c>
    </row>
    <row r="203" spans="1:11" x14ac:dyDescent="0.25">
      <c r="A203" s="234">
        <f>'B) D RI'!A204</f>
        <v>5720</v>
      </c>
      <c r="B203" s="235" t="str">
        <f>'B) D RI'!B204</f>
        <v>Givrins</v>
      </c>
      <c r="C203" s="390">
        <v>1689559.9071743952</v>
      </c>
      <c r="D203" s="332">
        <f>+Synthèse!F203</f>
        <v>1529402.1693515002</v>
      </c>
      <c r="E203" s="246">
        <f t="shared" si="9"/>
        <v>-160157.73782289494</v>
      </c>
      <c r="F203" s="246">
        <v>1092344</v>
      </c>
      <c r="G203" s="332">
        <f>+Synthèse!G203+Synthèse!H203+Synthèse!I203+Synthèse!J203+Synthèse!K203</f>
        <v>1132256.978425795</v>
      </c>
      <c r="H203" s="246">
        <f t="shared" si="10"/>
        <v>39912.97842579498</v>
      </c>
      <c r="I203" s="246">
        <v>170266.62454729021</v>
      </c>
      <c r="J203" s="332">
        <f>+'M) Police'!O203</f>
        <v>172755.45522335765</v>
      </c>
      <c r="K203" s="246">
        <f t="shared" si="11"/>
        <v>2488.8306760674459</v>
      </c>
    </row>
    <row r="204" spans="1:11" x14ac:dyDescent="0.25">
      <c r="A204" s="234">
        <f>'B) D RI'!A205</f>
        <v>5721</v>
      </c>
      <c r="B204" s="235" t="str">
        <f>'B) D RI'!B205</f>
        <v>Gland</v>
      </c>
      <c r="C204" s="390">
        <v>9874728.8409222346</v>
      </c>
      <c r="D204" s="332">
        <f>+Synthèse!F204</f>
        <v>8675746.3159939274</v>
      </c>
      <c r="E204" s="246">
        <f t="shared" si="9"/>
        <v>-1198982.5249283072</v>
      </c>
      <c r="F204" s="246">
        <v>2849697.3602491552</v>
      </c>
      <c r="G204" s="332">
        <f>+Synthèse!G204+Synthèse!H204+Synthèse!I204+Synthèse!J204+Synthèse!K204</f>
        <v>2187847.3188928701</v>
      </c>
      <c r="H204" s="246">
        <f t="shared" si="10"/>
        <v>-661850.0413562851</v>
      </c>
      <c r="I204" s="246">
        <v>1747268.6241427646</v>
      </c>
      <c r="J204" s="332">
        <f>+'M) Police'!O204</f>
        <v>1684070.7950210837</v>
      </c>
      <c r="K204" s="246">
        <f t="shared" si="11"/>
        <v>-63197.82912168093</v>
      </c>
    </row>
    <row r="205" spans="1:11" x14ac:dyDescent="0.25">
      <c r="A205" s="234">
        <f>'B) D RI'!A206</f>
        <v>5722</v>
      </c>
      <c r="B205" s="235" t="str">
        <f>'B) D RI'!B206</f>
        <v>Grens</v>
      </c>
      <c r="C205" s="390">
        <v>292249.15378406958</v>
      </c>
      <c r="D205" s="332">
        <f>+Synthèse!F205</f>
        <v>488740.82674301555</v>
      </c>
      <c r="E205" s="246">
        <f t="shared" si="9"/>
        <v>196491.67295894597</v>
      </c>
      <c r="F205" s="246">
        <v>296906</v>
      </c>
      <c r="G205" s="332">
        <f>+Synthèse!G205+Synthèse!H205+Synthèse!I205+Synthèse!J205+Synthèse!K205</f>
        <v>343282.92816918134</v>
      </c>
      <c r="H205" s="246">
        <f t="shared" si="10"/>
        <v>46376.928169181338</v>
      </c>
      <c r="I205" s="246">
        <v>55695.439838352249</v>
      </c>
      <c r="J205" s="332">
        <f>+'M) Police'!O205</f>
        <v>59052.141403685673</v>
      </c>
      <c r="K205" s="246">
        <f t="shared" si="11"/>
        <v>3356.7015653334238</v>
      </c>
    </row>
    <row r="206" spans="1:11" x14ac:dyDescent="0.25">
      <c r="A206" s="234">
        <f>'B) D RI'!A207</f>
        <v>5723</v>
      </c>
      <c r="B206" s="235" t="str">
        <f>'B) D RI'!B207</f>
        <v>Mies</v>
      </c>
      <c r="C206" s="390">
        <v>7596815.1729110572</v>
      </c>
      <c r="D206" s="332">
        <f>+Synthèse!F206</f>
        <v>21046978.011191443</v>
      </c>
      <c r="E206" s="246">
        <f t="shared" si="9"/>
        <v>13450162.838280385</v>
      </c>
      <c r="F206" s="246">
        <v>2199517.7687839298</v>
      </c>
      <c r="G206" s="332">
        <f>+Synthèse!G206+Synthèse!H206+Synthèse!I206+Synthèse!J206+Synthèse!K206</f>
        <v>5231607.9728291184</v>
      </c>
      <c r="H206" s="246">
        <f t="shared" si="10"/>
        <v>3032090.2040451886</v>
      </c>
      <c r="I206" s="246">
        <v>354289.67594717117</v>
      </c>
      <c r="J206" s="332">
        <f>+'M) Police'!O206</f>
        <v>542399.93341113883</v>
      </c>
      <c r="K206" s="246">
        <f t="shared" si="11"/>
        <v>188110.25746396766</v>
      </c>
    </row>
    <row r="207" spans="1:11" x14ac:dyDescent="0.25">
      <c r="A207" s="234">
        <f>'B) D RI'!A208</f>
        <v>5724</v>
      </c>
      <c r="B207" s="235" t="str">
        <f>'B) D RI'!B208</f>
        <v>Nyon</v>
      </c>
      <c r="C207" s="390">
        <v>25992965.808230616</v>
      </c>
      <c r="D207" s="332">
        <f>+Synthèse!F207</f>
        <v>31283671.89495004</v>
      </c>
      <c r="E207" s="246">
        <f t="shared" si="9"/>
        <v>5290706.0867194235</v>
      </c>
      <c r="F207" s="246">
        <v>7805194</v>
      </c>
      <c r="G207" s="332">
        <f>+Synthèse!G207+Synthèse!H207+Synthèse!I207+Synthèse!J207+Synthèse!K207</f>
        <v>9410073.2743108664</v>
      </c>
      <c r="H207" s="246">
        <f t="shared" si="10"/>
        <v>1604879.2743108664</v>
      </c>
      <c r="I207" s="246">
        <v>1630880.8466755031</v>
      </c>
      <c r="J207" s="332">
        <f>+'M) Police'!O207</f>
        <v>1679108.4578714087</v>
      </c>
      <c r="K207" s="246">
        <f t="shared" si="11"/>
        <v>48227.6111959056</v>
      </c>
    </row>
    <row r="208" spans="1:11" x14ac:dyDescent="0.25">
      <c r="A208" s="234">
        <f>'B) D RI'!A209</f>
        <v>5725</v>
      </c>
      <c r="B208" s="235" t="str">
        <f>'B) D RI'!B209</f>
        <v>Prangins</v>
      </c>
      <c r="C208" s="390">
        <v>8267557.0862959633</v>
      </c>
      <c r="D208" s="332">
        <f>+Synthèse!F208</f>
        <v>7094933.9795801146</v>
      </c>
      <c r="E208" s="246">
        <f t="shared" si="9"/>
        <v>-1172623.1067158487</v>
      </c>
      <c r="F208" s="246">
        <v>4003596</v>
      </c>
      <c r="G208" s="332">
        <f>+Synthèse!G208+Synthèse!H208+Synthèse!I208+Synthèse!J208+Synthèse!K208</f>
        <v>3943337.4333729022</v>
      </c>
      <c r="H208" s="246">
        <f t="shared" si="10"/>
        <v>-60258.566627097782</v>
      </c>
      <c r="I208" s="246">
        <v>383270.07956534153</v>
      </c>
      <c r="J208" s="332">
        <f>+'M) Police'!O208</f>
        <v>360840.79719153873</v>
      </c>
      <c r="K208" s="246">
        <f t="shared" si="11"/>
        <v>-22429.282373802795</v>
      </c>
    </row>
    <row r="209" spans="1:11" x14ac:dyDescent="0.25">
      <c r="A209" s="234">
        <f>'B) D RI'!A210</f>
        <v>5726</v>
      </c>
      <c r="B209" s="235" t="str">
        <f>'B) D RI'!B210</f>
        <v>La Rippe</v>
      </c>
      <c r="C209" s="390">
        <v>894300.67336751672</v>
      </c>
      <c r="D209" s="332">
        <f>+Synthèse!F209</f>
        <v>1036299.5152808205</v>
      </c>
      <c r="E209" s="246">
        <f t="shared" si="9"/>
        <v>141998.84191330383</v>
      </c>
      <c r="F209" s="246">
        <v>775333</v>
      </c>
      <c r="G209" s="332">
        <f>+Synthèse!G209+Synthèse!H209+Synthèse!I209+Synthèse!J209+Synthèse!K209</f>
        <v>978892.63869704679</v>
      </c>
      <c r="H209" s="246">
        <f t="shared" si="10"/>
        <v>203559.63869704679</v>
      </c>
      <c r="I209" s="246">
        <v>161524.50750360556</v>
      </c>
      <c r="J209" s="332">
        <f>+'M) Police'!O209</f>
        <v>177380.79147403809</v>
      </c>
      <c r="K209" s="246">
        <f t="shared" si="11"/>
        <v>15856.283970432531</v>
      </c>
    </row>
    <row r="210" spans="1:11" x14ac:dyDescent="0.25">
      <c r="A210" s="234">
        <f>'B) D RI'!A211</f>
        <v>5727</v>
      </c>
      <c r="B210" s="235" t="str">
        <f>'B) D RI'!B211</f>
        <v>Saint-Cergue</v>
      </c>
      <c r="C210" s="390">
        <v>1617084.5953328363</v>
      </c>
      <c r="D210" s="332">
        <f>+Synthèse!F210</f>
        <v>1745040.4191853974</v>
      </c>
      <c r="E210" s="246">
        <f t="shared" si="9"/>
        <v>127955.82385256118</v>
      </c>
      <c r="F210" s="246">
        <v>654001.96253691614</v>
      </c>
      <c r="G210" s="332">
        <f>+Synthèse!G210+Synthèse!H210+Synthèse!I210+Synthèse!J210+Synthèse!K210</f>
        <v>639539.09098523762</v>
      </c>
      <c r="H210" s="246">
        <f t="shared" si="10"/>
        <v>-14462.871551678516</v>
      </c>
      <c r="I210" s="246">
        <v>276172.75467685674</v>
      </c>
      <c r="J210" s="332">
        <f>+'M) Police'!O210</f>
        <v>294440.27808643004</v>
      </c>
      <c r="K210" s="246">
        <f t="shared" si="11"/>
        <v>18267.523409573303</v>
      </c>
    </row>
    <row r="211" spans="1:11" x14ac:dyDescent="0.25">
      <c r="A211" s="234">
        <f>'B) D RI'!A212</f>
        <v>5728</v>
      </c>
      <c r="B211" s="235" t="str">
        <f>'B) D RI'!B212</f>
        <v>Signy-Avenex</v>
      </c>
      <c r="C211" s="390">
        <v>963882.13966100675</v>
      </c>
      <c r="D211" s="332">
        <f>+Synthèse!F211</f>
        <v>787648.32841439848</v>
      </c>
      <c r="E211" s="246">
        <f t="shared" si="9"/>
        <v>-176233.81124660827</v>
      </c>
      <c r="F211" s="246">
        <v>572967</v>
      </c>
      <c r="G211" s="332">
        <f>+Synthèse!G211+Synthèse!H211+Synthèse!I211+Synthèse!J211+Synthèse!K211</f>
        <v>540970.6471493881</v>
      </c>
      <c r="H211" s="246">
        <f t="shared" si="10"/>
        <v>-31996.352850611904</v>
      </c>
      <c r="I211" s="246">
        <v>84255.451262828894</v>
      </c>
      <c r="J211" s="332">
        <f>+'M) Police'!O211</f>
        <v>85731.087883043481</v>
      </c>
      <c r="K211" s="246">
        <f t="shared" si="11"/>
        <v>1475.6366202145873</v>
      </c>
    </row>
    <row r="212" spans="1:11" x14ac:dyDescent="0.25">
      <c r="A212" s="234">
        <f>'B) D RI'!A213</f>
        <v>5729</v>
      </c>
      <c r="B212" s="235" t="str">
        <f>'B) D RI'!B213</f>
        <v>Tannay</v>
      </c>
      <c r="C212" s="390">
        <v>4124207.2800183794</v>
      </c>
      <c r="D212" s="332">
        <f>+Synthèse!F212</f>
        <v>3543159.617269394</v>
      </c>
      <c r="E212" s="246">
        <f t="shared" si="9"/>
        <v>-581047.66274898546</v>
      </c>
      <c r="F212" s="246">
        <v>1972230</v>
      </c>
      <c r="G212" s="332">
        <f>+Synthèse!G212+Synthèse!H212+Synthèse!I212+Synthèse!J212+Synthèse!K212</f>
        <v>1879685.7569364393</v>
      </c>
      <c r="H212" s="246">
        <f t="shared" si="10"/>
        <v>-92544.243063560687</v>
      </c>
      <c r="I212" s="246">
        <v>293530.80106836418</v>
      </c>
      <c r="J212" s="332">
        <f>+'M) Police'!O212</f>
        <v>271148.92275662394</v>
      </c>
      <c r="K212" s="246">
        <f t="shared" si="11"/>
        <v>-22381.878311740234</v>
      </c>
    </row>
    <row r="213" spans="1:11" x14ac:dyDescent="0.25">
      <c r="A213" s="234">
        <f>'B) D RI'!A214</f>
        <v>5730</v>
      </c>
      <c r="B213" s="235" t="str">
        <f>'B) D RI'!B214</f>
        <v>Trélex</v>
      </c>
      <c r="C213" s="390">
        <v>3420667.0562252384</v>
      </c>
      <c r="D213" s="332">
        <f>+Synthèse!F213</f>
        <v>2814549.1438400964</v>
      </c>
      <c r="E213" s="246">
        <f t="shared" si="9"/>
        <v>-606117.91238514194</v>
      </c>
      <c r="F213" s="246">
        <v>1857564</v>
      </c>
      <c r="G213" s="332">
        <f>+Synthèse!G213+Synthèse!H213+Synthèse!I213+Synthèse!J213+Synthèse!K213</f>
        <v>1726853.7932262763</v>
      </c>
      <c r="H213" s="246">
        <f t="shared" si="10"/>
        <v>-130710.20677372371</v>
      </c>
      <c r="I213" s="246">
        <v>272495.74675985565</v>
      </c>
      <c r="J213" s="332">
        <f>+'M) Police'!O213</f>
        <v>258832.11481341312</v>
      </c>
      <c r="K213" s="246">
        <f t="shared" si="11"/>
        <v>-13663.631946442532</v>
      </c>
    </row>
    <row r="214" spans="1:11" x14ac:dyDescent="0.25">
      <c r="A214" s="234">
        <f>'B) D RI'!A215</f>
        <v>5731</v>
      </c>
      <c r="B214" s="235" t="str">
        <f>'B) D RI'!B215</f>
        <v>Le Vaud</v>
      </c>
      <c r="C214" s="390">
        <v>725370.87447200459</v>
      </c>
      <c r="D214" s="332">
        <f>+Synthèse!F214</f>
        <v>833028.35279387934</v>
      </c>
      <c r="E214" s="246">
        <f t="shared" si="9"/>
        <v>107657.47832187475</v>
      </c>
      <c r="F214" s="246">
        <v>255360.48257324228</v>
      </c>
      <c r="G214" s="332">
        <f>+Synthèse!G214+Synthèse!H214+Synthèse!I214+Synthèse!J214+Synthèse!K214</f>
        <v>399382.19198431028</v>
      </c>
      <c r="H214" s="246">
        <f t="shared" si="10"/>
        <v>144021.709411068</v>
      </c>
      <c r="I214" s="246">
        <v>141907.52420322178</v>
      </c>
      <c r="J214" s="332">
        <f>+'M) Police'!O214</f>
        <v>148640.39357326558</v>
      </c>
      <c r="K214" s="246">
        <f t="shared" si="11"/>
        <v>6732.8693700438016</v>
      </c>
    </row>
    <row r="215" spans="1:11" x14ac:dyDescent="0.25">
      <c r="A215" s="234">
        <f>'B) D RI'!A216</f>
        <v>5732</v>
      </c>
      <c r="B215" s="235" t="str">
        <f>'B) D RI'!B216</f>
        <v>Vich</v>
      </c>
      <c r="C215" s="390">
        <v>879728.1703281441</v>
      </c>
      <c r="D215" s="332">
        <f>+Synthèse!F215</f>
        <v>1777795.0827528471</v>
      </c>
      <c r="E215" s="246">
        <f t="shared" si="9"/>
        <v>898066.91242470301</v>
      </c>
      <c r="F215" s="246">
        <v>673175</v>
      </c>
      <c r="G215" s="332">
        <f>+Synthèse!G215+Synthèse!H215+Synthèse!I215+Synthèse!J215+Synthèse!K215</f>
        <v>1154326.4054527448</v>
      </c>
      <c r="H215" s="246">
        <f t="shared" si="10"/>
        <v>481151.4054527448</v>
      </c>
      <c r="I215" s="246">
        <v>120052.28633816898</v>
      </c>
      <c r="J215" s="332">
        <f>+'M) Police'!O215</f>
        <v>169513.3455124856</v>
      </c>
      <c r="K215" s="246">
        <f t="shared" si="11"/>
        <v>49461.059174316615</v>
      </c>
    </row>
    <row r="216" spans="1:11" x14ac:dyDescent="0.25">
      <c r="A216" s="234">
        <f>'B) D RI'!A217</f>
        <v>5741</v>
      </c>
      <c r="B216" s="235" t="str">
        <f>'B) D RI'!B217</f>
        <v>L'Abergement</v>
      </c>
      <c r="C216" s="390">
        <v>107951.33927146508</v>
      </c>
      <c r="D216" s="332">
        <f>+Synthèse!F216</f>
        <v>114389.62555027219</v>
      </c>
      <c r="E216" s="246">
        <f t="shared" si="9"/>
        <v>6438.286278807107</v>
      </c>
      <c r="F216" s="246">
        <v>-143589.56870260261</v>
      </c>
      <c r="G216" s="332">
        <f>+Synthèse!G216+Synthèse!H216+Synthèse!I216+Synthèse!J216+Synthèse!K216</f>
        <v>-73117.316713889624</v>
      </c>
      <c r="H216" s="246">
        <f t="shared" si="10"/>
        <v>70472.251988712989</v>
      </c>
      <c r="I216" s="246">
        <v>18098.156184530948</v>
      </c>
      <c r="J216" s="332">
        <f>+'M) Police'!O216</f>
        <v>20347.743167280682</v>
      </c>
      <c r="K216" s="246">
        <f t="shared" si="11"/>
        <v>2249.5869827497336</v>
      </c>
    </row>
    <row r="217" spans="1:11" x14ac:dyDescent="0.25">
      <c r="A217" s="234">
        <f>'B) D RI'!A218</f>
        <v>5742</v>
      </c>
      <c r="B217" s="235" t="str">
        <f>'B) D RI'!B218</f>
        <v>Agiez</v>
      </c>
      <c r="C217" s="390">
        <v>158745.13475726717</v>
      </c>
      <c r="D217" s="332">
        <f>+Synthèse!F217</f>
        <v>171396.45808332766</v>
      </c>
      <c r="E217" s="246">
        <f t="shared" si="9"/>
        <v>12651.32332606049</v>
      </c>
      <c r="F217" s="246">
        <v>-8261.0178857384017</v>
      </c>
      <c r="G217" s="332">
        <f>+Synthèse!G217+Synthèse!H217+Synthèse!I217+Synthèse!J217+Synthèse!K217</f>
        <v>32.648937184523675</v>
      </c>
      <c r="H217" s="246">
        <f t="shared" si="10"/>
        <v>8293.6668229229253</v>
      </c>
      <c r="I217" s="246">
        <v>27356.644149406071</v>
      </c>
      <c r="J217" s="332">
        <f>+'M) Police'!O217</f>
        <v>26322.133867780321</v>
      </c>
      <c r="K217" s="246">
        <f t="shared" si="11"/>
        <v>-1034.5102816257495</v>
      </c>
    </row>
    <row r="218" spans="1:11" x14ac:dyDescent="0.25">
      <c r="A218" s="234">
        <f>'B) D RI'!A219</f>
        <v>5743</v>
      </c>
      <c r="B218" s="235" t="str">
        <f>'B) D RI'!B219</f>
        <v>Arnex-sur-Orbe</v>
      </c>
      <c r="C218" s="390">
        <v>279204.23990124575</v>
      </c>
      <c r="D218" s="332">
        <f>+Synthèse!F218</f>
        <v>259527.55052518309</v>
      </c>
      <c r="E218" s="246">
        <f t="shared" si="9"/>
        <v>-19676.689376062655</v>
      </c>
      <c r="F218" s="246">
        <v>-141151.44613459695</v>
      </c>
      <c r="G218" s="332">
        <f>+Synthèse!G218+Synthèse!H218+Synthèse!I218+Synthèse!J218+Synthèse!K218</f>
        <v>-113496.69118111953</v>
      </c>
      <c r="H218" s="246">
        <f t="shared" si="10"/>
        <v>27654.754953477415</v>
      </c>
      <c r="I218" s="246">
        <v>45690.444002637916</v>
      </c>
      <c r="J218" s="332">
        <f>+'M) Police'!O218</f>
        <v>50890.027578920388</v>
      </c>
      <c r="K218" s="246">
        <f t="shared" si="11"/>
        <v>5199.5835762824718</v>
      </c>
    </row>
    <row r="219" spans="1:11" x14ac:dyDescent="0.25">
      <c r="A219" s="234">
        <f>'B) D RI'!A220</f>
        <v>5744</v>
      </c>
      <c r="B219" s="235" t="str">
        <f>'B) D RI'!B220</f>
        <v>Ballaigues</v>
      </c>
      <c r="C219" s="390">
        <v>2755238.9818103854</v>
      </c>
      <c r="D219" s="332">
        <f>+Synthèse!F219</f>
        <v>1588274.6065855701</v>
      </c>
      <c r="E219" s="246">
        <f t="shared" si="9"/>
        <v>-1166964.3752248152</v>
      </c>
      <c r="F219" s="246">
        <v>1303853</v>
      </c>
      <c r="G219" s="332">
        <f>+Synthèse!G219+Synthèse!H219+Synthèse!I219+Synthèse!J219+Synthèse!K219</f>
        <v>795389.97613386344</v>
      </c>
      <c r="H219" s="246">
        <f t="shared" si="10"/>
        <v>-508463.02386613656</v>
      </c>
      <c r="I219" s="246">
        <v>198705.90777858114</v>
      </c>
      <c r="J219" s="332">
        <f>+'M) Police'!O219</f>
        <v>179890.65094607574</v>
      </c>
      <c r="K219" s="246">
        <f t="shared" si="11"/>
        <v>-18815.256832505402</v>
      </c>
    </row>
    <row r="220" spans="1:11" x14ac:dyDescent="0.25">
      <c r="A220" s="234">
        <f>'B) D RI'!A221</f>
        <v>5745</v>
      </c>
      <c r="B220" s="235" t="str">
        <f>'B) D RI'!B221</f>
        <v>Baulmes</v>
      </c>
      <c r="C220" s="390">
        <v>489224.07093910809</v>
      </c>
      <c r="D220" s="332">
        <f>+Synthèse!F220</f>
        <v>474891.09466892341</v>
      </c>
      <c r="E220" s="246">
        <f t="shared" si="9"/>
        <v>-14332.976270184678</v>
      </c>
      <c r="F220" s="246">
        <v>-224144.77488435805</v>
      </c>
      <c r="G220" s="332">
        <f>+Synthèse!G220+Synthèse!H220+Synthèse!I220+Synthèse!J220+Synthèse!K220</f>
        <v>-437668.04828966054</v>
      </c>
      <c r="H220" s="246">
        <f t="shared" si="10"/>
        <v>-213523.27340530249</v>
      </c>
      <c r="I220" s="246">
        <v>88480.117342861631</v>
      </c>
      <c r="J220" s="332">
        <f>+'M) Police'!O220</f>
        <v>84489.170433015708</v>
      </c>
      <c r="K220" s="246">
        <f t="shared" si="11"/>
        <v>-3990.9469098459231</v>
      </c>
    </row>
    <row r="221" spans="1:11" x14ac:dyDescent="0.25">
      <c r="A221" s="234">
        <f>'B) D RI'!A222</f>
        <v>5746</v>
      </c>
      <c r="B221" s="235" t="str">
        <f>'B) D RI'!B222</f>
        <v>Bavois</v>
      </c>
      <c r="C221" s="390">
        <v>433054.12275279011</v>
      </c>
      <c r="D221" s="332">
        <f>+Synthèse!F221</f>
        <v>446751.70671354717</v>
      </c>
      <c r="E221" s="246">
        <f t="shared" si="9"/>
        <v>13697.583960757067</v>
      </c>
      <c r="F221" s="246">
        <v>-132197.70370228135</v>
      </c>
      <c r="G221" s="332">
        <f>+Synthèse!G221+Synthèse!H221+Synthèse!I221+Synthèse!J221+Synthèse!K221</f>
        <v>-126419.81584400957</v>
      </c>
      <c r="H221" s="246">
        <f t="shared" si="10"/>
        <v>5777.8878582717734</v>
      </c>
      <c r="I221" s="246">
        <v>79578.67078781419</v>
      </c>
      <c r="J221" s="332">
        <f>+'M) Police'!O221</f>
        <v>82843.656932606595</v>
      </c>
      <c r="K221" s="246">
        <f t="shared" si="11"/>
        <v>3264.986144792405</v>
      </c>
    </row>
    <row r="222" spans="1:11" x14ac:dyDescent="0.25">
      <c r="A222" s="234">
        <f>'B) D RI'!A223</f>
        <v>5747</v>
      </c>
      <c r="B222" s="235" t="str">
        <f>'B) D RI'!B223</f>
        <v>Bofflens</v>
      </c>
      <c r="C222" s="390">
        <v>94963.14803437666</v>
      </c>
      <c r="D222" s="332">
        <f>+Synthèse!F222</f>
        <v>85268.592329368272</v>
      </c>
      <c r="E222" s="246">
        <f t="shared" si="9"/>
        <v>-9694.555705008388</v>
      </c>
      <c r="F222" s="246">
        <v>28257.445988398758</v>
      </c>
      <c r="G222" s="332">
        <f>+Synthèse!G222+Synthèse!H222+Synthèse!I222+Synthèse!J222+Synthèse!K222</f>
        <v>15631.188127288817</v>
      </c>
      <c r="H222" s="246">
        <f t="shared" si="10"/>
        <v>-12626.257861109942</v>
      </c>
      <c r="I222" s="246">
        <v>17516.15174952049</v>
      </c>
      <c r="J222" s="332">
        <f>+'M) Police'!O222</f>
        <v>16656.059632254452</v>
      </c>
      <c r="K222" s="246">
        <f t="shared" si="11"/>
        <v>-860.09211726603826</v>
      </c>
    </row>
    <row r="223" spans="1:11" x14ac:dyDescent="0.25">
      <c r="A223" s="234">
        <f>'B) D RI'!A224</f>
        <v>5748</v>
      </c>
      <c r="B223" s="235" t="str">
        <f>'B) D RI'!B224</f>
        <v>Bretonnières</v>
      </c>
      <c r="C223" s="390">
        <v>93529.01155598255</v>
      </c>
      <c r="D223" s="332">
        <f>+Synthèse!F223</f>
        <v>133499.74207565695</v>
      </c>
      <c r="E223" s="246">
        <f t="shared" si="9"/>
        <v>39970.730519674398</v>
      </c>
      <c r="F223" s="246">
        <v>-91034.454003516468</v>
      </c>
      <c r="G223" s="332">
        <f>+Synthèse!G223+Synthèse!H223+Synthèse!I223+Synthèse!J223+Synthèse!K223</f>
        <v>-39354.720176162962</v>
      </c>
      <c r="H223" s="246">
        <f t="shared" si="10"/>
        <v>51679.733827353506</v>
      </c>
      <c r="I223" s="246">
        <v>15399.209503099417</v>
      </c>
      <c r="J223" s="332">
        <f>+'M) Police'!O223</f>
        <v>22853.20329544416</v>
      </c>
      <c r="K223" s="246">
        <f t="shared" si="11"/>
        <v>7453.9937923447433</v>
      </c>
    </row>
    <row r="224" spans="1:11" x14ac:dyDescent="0.25">
      <c r="A224" s="234">
        <f>'B) D RI'!A225</f>
        <v>5749</v>
      </c>
      <c r="B224" s="235" t="str">
        <f>'B) D RI'!B225</f>
        <v>Chavornay</v>
      </c>
      <c r="C224" s="390">
        <v>2325736.5270008072</v>
      </c>
      <c r="D224" s="332">
        <f>+Synthèse!F224</f>
        <v>2318496.0370561196</v>
      </c>
      <c r="E224" s="246">
        <f t="shared" si="9"/>
        <v>-7240.4899446875788</v>
      </c>
      <c r="F224" s="246">
        <v>-384764.86254245648</v>
      </c>
      <c r="G224" s="332">
        <f>+Synthèse!G224+Synthèse!H224+Synthèse!I224+Synthèse!J224+Synthèse!K224</f>
        <v>-1105713.4494475522</v>
      </c>
      <c r="H224" s="246">
        <f t="shared" si="10"/>
        <v>-720948.58690509573</v>
      </c>
      <c r="I224" s="246">
        <v>394391.08793041285</v>
      </c>
      <c r="J224" s="332">
        <f>+'M) Police'!O224</f>
        <v>374435.74382093467</v>
      </c>
      <c r="K224" s="246">
        <f t="shared" si="11"/>
        <v>-19955.344109478174</v>
      </c>
    </row>
    <row r="225" spans="1:11" x14ac:dyDescent="0.25">
      <c r="A225" s="234">
        <f>'B) D RI'!A226</f>
        <v>5750</v>
      </c>
      <c r="B225" s="235" t="str">
        <f>'B) D RI'!B226</f>
        <v>Les Clées</v>
      </c>
      <c r="C225" s="390">
        <v>73149.989505870049</v>
      </c>
      <c r="D225" s="332">
        <f>+Synthèse!F225</f>
        <v>81510.341533617859</v>
      </c>
      <c r="E225" s="246">
        <f t="shared" si="9"/>
        <v>8360.3520277478092</v>
      </c>
      <c r="F225" s="246">
        <v>-29954.804614513268</v>
      </c>
      <c r="G225" s="332">
        <f>+Synthèse!G225+Synthèse!H225+Synthèse!I225+Synthèse!J225+Synthèse!K225</f>
        <v>-48680.688387939052</v>
      </c>
      <c r="H225" s="246">
        <f t="shared" si="10"/>
        <v>-18725.883773425783</v>
      </c>
      <c r="I225" s="246">
        <v>15399.531698981027</v>
      </c>
      <c r="J225" s="332">
        <f>+'M) Police'!O225</f>
        <v>15166.785042994517</v>
      </c>
      <c r="K225" s="246">
        <f t="shared" si="11"/>
        <v>-232.74665598650972</v>
      </c>
    </row>
    <row r="226" spans="1:11" x14ac:dyDescent="0.25">
      <c r="A226" s="234">
        <f>'B) D RI'!A227</f>
        <v>5751</v>
      </c>
      <c r="B226" s="235" t="str">
        <f>'B) D RI'!B227</f>
        <v>Corcelles-sur-Chavornay</v>
      </c>
      <c r="C226" s="390">
        <v>165456.86696579074</v>
      </c>
      <c r="D226" s="332">
        <f>+Synthèse!F226</f>
        <v>146401.07744778408</v>
      </c>
      <c r="E226" s="246">
        <f t="shared" si="9"/>
        <v>-19055.78951800667</v>
      </c>
      <c r="F226" s="246">
        <v>-66845.514029181009</v>
      </c>
      <c r="G226" s="332">
        <f>+Synthèse!G226+Synthèse!H226+Synthèse!I226+Synthèse!J226+Synthèse!K226</f>
        <v>-119330.59314451242</v>
      </c>
      <c r="H226" s="246">
        <f t="shared" si="10"/>
        <v>-52485.079115331406</v>
      </c>
      <c r="I226" s="246">
        <v>11310.009257824275</v>
      </c>
      <c r="J226" s="332">
        <f>+'M) Police'!O226</f>
        <v>11232.261166734515</v>
      </c>
      <c r="K226" s="246">
        <f t="shared" si="11"/>
        <v>-77.748091089759328</v>
      </c>
    </row>
    <row r="227" spans="1:11" x14ac:dyDescent="0.25">
      <c r="A227" s="234">
        <f>'B) D RI'!A228</f>
        <v>5752</v>
      </c>
      <c r="B227" s="235" t="str">
        <f>'B) D RI'!B228</f>
        <v>Croy</v>
      </c>
      <c r="C227" s="390">
        <v>134406.81933073595</v>
      </c>
      <c r="D227" s="332">
        <f>+Synthèse!F227</f>
        <v>158379.93668551237</v>
      </c>
      <c r="E227" s="246">
        <f t="shared" si="9"/>
        <v>23973.117354776419</v>
      </c>
      <c r="F227" s="246">
        <v>-55704.898736639007</v>
      </c>
      <c r="G227" s="332">
        <f>+Synthèse!G227+Synthèse!H227+Synthèse!I227+Synthèse!J227+Synthèse!K227</f>
        <v>-385894.81351485569</v>
      </c>
      <c r="H227" s="246">
        <f t="shared" si="10"/>
        <v>-330189.91477821668</v>
      </c>
      <c r="I227" s="246">
        <v>26116.345323299793</v>
      </c>
      <c r="J227" s="332">
        <f>+'M) Police'!O227</f>
        <v>29026.644771236301</v>
      </c>
      <c r="K227" s="246">
        <f t="shared" si="11"/>
        <v>2910.2994479365079</v>
      </c>
    </row>
    <row r="228" spans="1:11" x14ac:dyDescent="0.25">
      <c r="A228" s="234">
        <f>'B) D RI'!A229</f>
        <v>5754</v>
      </c>
      <c r="B228" s="235" t="str">
        <f>'B) D RI'!B229</f>
        <v>Juriens</v>
      </c>
      <c r="C228" s="390">
        <v>103536.16138158643</v>
      </c>
      <c r="D228" s="332">
        <f>+Synthèse!F228</f>
        <v>121523.31160687661</v>
      </c>
      <c r="E228" s="246">
        <f t="shared" si="9"/>
        <v>17987.150225290185</v>
      </c>
      <c r="F228" s="246">
        <v>-123690.5994662476</v>
      </c>
      <c r="G228" s="332">
        <f>+Synthèse!G228+Synthèse!H228+Synthèse!I228+Synthèse!J228+Synthèse!K228</f>
        <v>-88508.129629855903</v>
      </c>
      <c r="H228" s="246">
        <f t="shared" si="10"/>
        <v>35182.469836391698</v>
      </c>
      <c r="I228" s="246">
        <v>21830.505722884263</v>
      </c>
      <c r="J228" s="332">
        <f>+'M) Police'!O228</f>
        <v>22676.261575903452</v>
      </c>
      <c r="K228" s="246">
        <f t="shared" si="11"/>
        <v>845.75585301918909</v>
      </c>
    </row>
    <row r="229" spans="1:11" x14ac:dyDescent="0.25">
      <c r="A229" s="234">
        <f>'B) D RI'!A230</f>
        <v>5755</v>
      </c>
      <c r="B229" s="235" t="str">
        <f>'B) D RI'!B230</f>
        <v>Lignerolle</v>
      </c>
      <c r="C229" s="390">
        <v>176774.47080141999</v>
      </c>
      <c r="D229" s="332">
        <f>+Synthèse!F229</f>
        <v>173320.13656802374</v>
      </c>
      <c r="E229" s="246">
        <f t="shared" si="9"/>
        <v>-3454.3342333962501</v>
      </c>
      <c r="F229" s="246">
        <v>-178946.61524187389</v>
      </c>
      <c r="G229" s="332">
        <f>+Synthèse!G229+Synthèse!H229+Synthèse!I229+Synthèse!J229+Synthèse!K229</f>
        <v>-274061.24451145227</v>
      </c>
      <c r="H229" s="246">
        <f t="shared" si="10"/>
        <v>-95114.629269578378</v>
      </c>
      <c r="I229" s="246">
        <v>28958.702641987835</v>
      </c>
      <c r="J229" s="332">
        <f>+'M) Police'!O229</f>
        <v>28624.774342702214</v>
      </c>
      <c r="K229" s="246">
        <f t="shared" si="11"/>
        <v>-333.9282992856206</v>
      </c>
    </row>
    <row r="230" spans="1:11" x14ac:dyDescent="0.25">
      <c r="A230" s="234">
        <f>'B) D RI'!A231</f>
        <v>5756</v>
      </c>
      <c r="B230" s="235" t="str">
        <f>'B) D RI'!B231</f>
        <v>Montcherand</v>
      </c>
      <c r="C230" s="390">
        <v>272507.59336736694</v>
      </c>
      <c r="D230" s="332">
        <f>+Synthèse!F230</f>
        <v>278085.45317505044</v>
      </c>
      <c r="E230" s="246">
        <f t="shared" si="9"/>
        <v>5577.8598076835042</v>
      </c>
      <c r="F230" s="246">
        <v>113420.55963913025</v>
      </c>
      <c r="G230" s="332">
        <f>+Synthèse!G230+Synthèse!H230+Synthèse!I230+Synthèse!J230+Synthèse!K230</f>
        <v>53604.386567229529</v>
      </c>
      <c r="H230" s="246">
        <f t="shared" si="10"/>
        <v>-59816.173071900725</v>
      </c>
      <c r="I230" s="246">
        <v>21183.94420092634</v>
      </c>
      <c r="J230" s="332">
        <f>+'M) Police'!O230</f>
        <v>18749.702859863977</v>
      </c>
      <c r="K230" s="246">
        <f t="shared" si="11"/>
        <v>-2434.2413410623631</v>
      </c>
    </row>
    <row r="231" spans="1:11" x14ac:dyDescent="0.25">
      <c r="A231" s="234">
        <f>'B) D RI'!A232</f>
        <v>5757</v>
      </c>
      <c r="B231" s="235" t="str">
        <f>'B) D RI'!B232</f>
        <v>Orbe</v>
      </c>
      <c r="C231" s="390">
        <v>4141308.5828181598</v>
      </c>
      <c r="D231" s="332">
        <f>+Synthèse!F231</f>
        <v>4258015.2263764562</v>
      </c>
      <c r="E231" s="246">
        <f t="shared" si="9"/>
        <v>116706.64355829637</v>
      </c>
      <c r="F231" s="246">
        <v>-2047701.0428069076</v>
      </c>
      <c r="G231" s="332">
        <f>+Synthèse!G231+Synthèse!H231+Synthèse!I231+Synthèse!J231+Synthèse!K231</f>
        <v>-1915207.2256284379</v>
      </c>
      <c r="H231" s="246">
        <f t="shared" si="10"/>
        <v>132493.81717846962</v>
      </c>
      <c r="I231" s="246">
        <v>274856.68528959842</v>
      </c>
      <c r="J231" s="332">
        <f>+'M) Police'!O231</f>
        <v>280989.48546182213</v>
      </c>
      <c r="K231" s="246">
        <f t="shared" si="11"/>
        <v>6132.8001722237095</v>
      </c>
    </row>
    <row r="232" spans="1:11" x14ac:dyDescent="0.25">
      <c r="A232" s="234">
        <f>'B) D RI'!A233</f>
        <v>5758</v>
      </c>
      <c r="B232" s="235" t="str">
        <f>'B) D RI'!B233</f>
        <v>La Praz</v>
      </c>
      <c r="C232" s="390">
        <v>69554.034523738228</v>
      </c>
      <c r="D232" s="332">
        <f>+Synthèse!F232</f>
        <v>61451.768314729728</v>
      </c>
      <c r="E232" s="246">
        <f t="shared" si="9"/>
        <v>-8102.2662090084996</v>
      </c>
      <c r="F232" s="246">
        <v>-61663.558940067232</v>
      </c>
      <c r="G232" s="332">
        <f>+Synthèse!G232+Synthèse!H232+Synthèse!I232+Synthèse!J232+Synthèse!K232</f>
        <v>-53896.065926696894</v>
      </c>
      <c r="H232" s="246">
        <f t="shared" si="10"/>
        <v>7767.4930133703383</v>
      </c>
      <c r="I232" s="246">
        <v>12416.794922420255</v>
      </c>
      <c r="J232" s="332">
        <f>+'M) Police'!O232</f>
        <v>11864.67388873221</v>
      </c>
      <c r="K232" s="246">
        <f t="shared" si="11"/>
        <v>-552.12103368804492</v>
      </c>
    </row>
    <row r="233" spans="1:11" x14ac:dyDescent="0.25">
      <c r="A233" s="234">
        <f>'B) D RI'!A234</f>
        <v>5759</v>
      </c>
      <c r="B233" s="235" t="str">
        <f>'B) D RI'!B234</f>
        <v>Premier</v>
      </c>
      <c r="C233" s="390">
        <v>71323.841938520258</v>
      </c>
      <c r="D233" s="332">
        <f>+Synthèse!F233</f>
        <v>71916.51842280454</v>
      </c>
      <c r="E233" s="246">
        <f t="shared" si="9"/>
        <v>592.6764842842822</v>
      </c>
      <c r="F233" s="246">
        <v>-85961.692988449751</v>
      </c>
      <c r="G233" s="332">
        <f>+Synthèse!G233+Synthèse!H233+Synthèse!I233+Synthèse!J233+Synthèse!K233</f>
        <v>-111591.04506178605</v>
      </c>
      <c r="H233" s="246">
        <f t="shared" si="10"/>
        <v>-25629.352073336297</v>
      </c>
      <c r="I233" s="246">
        <v>12394.520613953639</v>
      </c>
      <c r="J233" s="332">
        <f>+'M) Police'!O233</f>
        <v>14738.314891185506</v>
      </c>
      <c r="K233" s="246">
        <f t="shared" si="11"/>
        <v>2343.7942772318675</v>
      </c>
    </row>
    <row r="234" spans="1:11" x14ac:dyDescent="0.25">
      <c r="A234" s="234">
        <f>'B) D RI'!A235</f>
        <v>5760</v>
      </c>
      <c r="B234" s="235" t="str">
        <f>'B) D RI'!B235</f>
        <v>Rances</v>
      </c>
      <c r="C234" s="390">
        <v>197525.77822592444</v>
      </c>
      <c r="D234" s="332">
        <f>+Synthèse!F234</f>
        <v>301306.3045992371</v>
      </c>
      <c r="E234" s="246">
        <f t="shared" si="9"/>
        <v>103780.52637331266</v>
      </c>
      <c r="F234" s="246">
        <v>-106762.67676838892</v>
      </c>
      <c r="G234" s="332">
        <f>+Synthèse!G234+Synthèse!H234+Synthèse!I234+Synthèse!J234+Synthèse!K234</f>
        <v>-96400.666457936255</v>
      </c>
      <c r="H234" s="246">
        <f t="shared" si="10"/>
        <v>10362.010310452664</v>
      </c>
      <c r="I234" s="246">
        <v>36376.200317186122</v>
      </c>
      <c r="J234" s="332">
        <f>+'M) Police'!O234</f>
        <v>41752.894430381159</v>
      </c>
      <c r="K234" s="246">
        <f t="shared" si="11"/>
        <v>5376.6941131950371</v>
      </c>
    </row>
    <row r="235" spans="1:11" x14ac:dyDescent="0.25">
      <c r="A235" s="234">
        <f>'B) D RI'!A236</f>
        <v>5761</v>
      </c>
      <c r="B235" s="235" t="str">
        <f>'B) D RI'!B236</f>
        <v>Romainmôtier-Envy</v>
      </c>
      <c r="C235" s="390">
        <v>226225.724844018</v>
      </c>
      <c r="D235" s="332">
        <f>+Synthèse!F235</f>
        <v>252443.66491880227</v>
      </c>
      <c r="E235" s="246">
        <f t="shared" si="9"/>
        <v>26217.940074784274</v>
      </c>
      <c r="F235" s="246">
        <v>-133544.19306640845</v>
      </c>
      <c r="G235" s="332">
        <f>+Synthèse!G235+Synthèse!H235+Synthèse!I235+Synthèse!J235+Synthèse!K235</f>
        <v>-150291.89379162574</v>
      </c>
      <c r="H235" s="246">
        <f t="shared" si="10"/>
        <v>-16747.700725217292</v>
      </c>
      <c r="I235" s="246">
        <v>38592.988349419727</v>
      </c>
      <c r="J235" s="332">
        <f>+'M) Police'!O235</f>
        <v>37864.354058525358</v>
      </c>
      <c r="K235" s="246">
        <f t="shared" si="11"/>
        <v>-728.63429089436977</v>
      </c>
    </row>
    <row r="236" spans="1:11" x14ac:dyDescent="0.25">
      <c r="A236" s="234">
        <f>'B) D RI'!A237</f>
        <v>5762</v>
      </c>
      <c r="B236" s="235" t="str">
        <f>'B) D RI'!B237</f>
        <v>Sergey</v>
      </c>
      <c r="C236" s="390">
        <v>67753.197208198719</v>
      </c>
      <c r="D236" s="332">
        <f>+Synthèse!F236</f>
        <v>56721.156481767859</v>
      </c>
      <c r="E236" s="246">
        <f t="shared" si="9"/>
        <v>-11032.04072643086</v>
      </c>
      <c r="F236" s="246">
        <v>-50648.975180892157</v>
      </c>
      <c r="G236" s="332">
        <f>+Synthèse!G236+Synthèse!H236+Synthèse!I236+Synthèse!J236+Synthèse!K236</f>
        <v>-36682.614957599835</v>
      </c>
      <c r="H236" s="246">
        <f t="shared" si="10"/>
        <v>13966.360223292322</v>
      </c>
      <c r="I236" s="246">
        <v>13709.163602297602</v>
      </c>
      <c r="J236" s="332">
        <f>+'M) Police'!O236</f>
        <v>11275.649870736244</v>
      </c>
      <c r="K236" s="246">
        <f t="shared" si="11"/>
        <v>-2433.5137315613574</v>
      </c>
    </row>
    <row r="237" spans="1:11" x14ac:dyDescent="0.25">
      <c r="A237" s="234">
        <f>'B) D RI'!A238</f>
        <v>5763</v>
      </c>
      <c r="B237" s="235" t="str">
        <f>'B) D RI'!B238</f>
        <v>Valeyres-sous-Rances</v>
      </c>
      <c r="C237" s="390">
        <v>304254.06444618973</v>
      </c>
      <c r="D237" s="332">
        <f>+Synthèse!F237</f>
        <v>285745.13306737144</v>
      </c>
      <c r="E237" s="246">
        <f t="shared" si="9"/>
        <v>-18508.931378818292</v>
      </c>
      <c r="F237" s="246">
        <v>-44559.127459620446</v>
      </c>
      <c r="G237" s="332">
        <f>+Synthèse!G237+Synthèse!H237+Synthèse!I237+Synthèse!J237+Synthèse!K237</f>
        <v>-87640.19973583825</v>
      </c>
      <c r="H237" s="246">
        <f t="shared" si="10"/>
        <v>-43081.072276217805</v>
      </c>
      <c r="I237" s="246">
        <v>50471.838956033389</v>
      </c>
      <c r="J237" s="332">
        <f>+'M) Police'!O237</f>
        <v>50188.473920412376</v>
      </c>
      <c r="K237" s="246">
        <f t="shared" si="11"/>
        <v>-283.36503562101279</v>
      </c>
    </row>
    <row r="238" spans="1:11" x14ac:dyDescent="0.25">
      <c r="A238" s="234">
        <f>'B) D RI'!A239</f>
        <v>5764</v>
      </c>
      <c r="B238" s="235" t="str">
        <f>'B) D RI'!B239</f>
        <v>Vallorbe</v>
      </c>
      <c r="C238" s="390">
        <v>1986516.7381812087</v>
      </c>
      <c r="D238" s="332">
        <f>+Synthèse!F238</f>
        <v>2095899.3707891977</v>
      </c>
      <c r="E238" s="246">
        <f t="shared" si="9"/>
        <v>109382.63260798901</v>
      </c>
      <c r="F238" s="246">
        <v>-2738324.7458939627</v>
      </c>
      <c r="G238" s="332">
        <f>+Synthèse!G238+Synthèse!H238+Synthèse!I238+Synthèse!J238+Synthèse!K238</f>
        <v>-3022107.1044336781</v>
      </c>
      <c r="H238" s="246">
        <f t="shared" si="10"/>
        <v>-283782.35853971541</v>
      </c>
      <c r="I238" s="246">
        <v>255799.17455892602</v>
      </c>
      <c r="J238" s="332">
        <f>+'M) Police'!O238</f>
        <v>266586.5214842186</v>
      </c>
      <c r="K238" s="246">
        <f t="shared" si="11"/>
        <v>10787.346925292572</v>
      </c>
    </row>
    <row r="239" spans="1:11" x14ac:dyDescent="0.25">
      <c r="A239" s="234">
        <f>'B) D RI'!A240</f>
        <v>5765</v>
      </c>
      <c r="B239" s="235" t="str">
        <f>'B) D RI'!B240</f>
        <v>Vaulion</v>
      </c>
      <c r="C239" s="390">
        <v>191463.54601729324</v>
      </c>
      <c r="D239" s="332">
        <f>+Synthèse!F239</f>
        <v>169168.49807640834</v>
      </c>
      <c r="E239" s="246">
        <f t="shared" si="9"/>
        <v>-22295.047940884891</v>
      </c>
      <c r="F239" s="246">
        <v>-325418.57694781758</v>
      </c>
      <c r="G239" s="332">
        <f>+Synthèse!G239+Synthèse!H239+Synthèse!I239+Synthèse!J239+Synthèse!K239</f>
        <v>-302550.63218395994</v>
      </c>
      <c r="H239" s="246">
        <f t="shared" si="10"/>
        <v>22867.944763857638</v>
      </c>
      <c r="I239" s="246">
        <v>32876.465043756754</v>
      </c>
      <c r="J239" s="332">
        <f>+'M) Police'!O239</f>
        <v>32036.749833262897</v>
      </c>
      <c r="K239" s="246">
        <f t="shared" si="11"/>
        <v>-839.71521049385774</v>
      </c>
    </row>
    <row r="240" spans="1:11" x14ac:dyDescent="0.25">
      <c r="A240" s="234">
        <f>'B) D RI'!A241</f>
        <v>5766</v>
      </c>
      <c r="B240" s="235" t="str">
        <f>'B) D RI'!B241</f>
        <v>Vuiteboeuf</v>
      </c>
      <c r="C240" s="390">
        <v>218429.47692564473</v>
      </c>
      <c r="D240" s="332">
        <f>+Synthèse!F240</f>
        <v>219333.45666879034</v>
      </c>
      <c r="E240" s="246">
        <f t="shared" si="9"/>
        <v>903.97974314560997</v>
      </c>
      <c r="F240" s="246">
        <v>-71216.670737470326</v>
      </c>
      <c r="G240" s="332">
        <f>+Synthèse!G240+Synthèse!H240+Synthèse!I240+Synthèse!J240+Synthèse!K240</f>
        <v>-188550.63047251437</v>
      </c>
      <c r="H240" s="246">
        <f t="shared" si="10"/>
        <v>-117333.95973504405</v>
      </c>
      <c r="I240" s="246">
        <v>42328.236672825748</v>
      </c>
      <c r="J240" s="332">
        <f>+'M) Police'!O240</f>
        <v>40813.804444348978</v>
      </c>
      <c r="K240" s="246">
        <f t="shared" si="11"/>
        <v>-1514.4322284767695</v>
      </c>
    </row>
    <row r="241" spans="1:11" x14ac:dyDescent="0.25">
      <c r="A241" s="234">
        <f>'B) D RI'!A242</f>
        <v>5782</v>
      </c>
      <c r="B241" s="235" t="str">
        <f>'B) D RI'!B242</f>
        <v>Carrouge</v>
      </c>
      <c r="C241" s="390">
        <v>525219.92450594832</v>
      </c>
      <c r="D241" s="332">
        <f>+Synthèse!F241</f>
        <v>651990.48254534509</v>
      </c>
      <c r="E241" s="246">
        <f t="shared" si="9"/>
        <v>126770.55803939677</v>
      </c>
      <c r="F241" s="246">
        <v>-97474.328880011104</v>
      </c>
      <c r="G241" s="332">
        <f>+Synthèse!G241+Synthèse!H241+Synthèse!I241+Synthèse!J241+Synthèse!K241</f>
        <v>-121915.88390175292</v>
      </c>
      <c r="H241" s="246">
        <f t="shared" si="10"/>
        <v>-24441.55502174182</v>
      </c>
      <c r="I241" s="246">
        <v>97763.711055030726</v>
      </c>
      <c r="J241" s="332">
        <f>+'M) Police'!O241</f>
        <v>101541.10072971725</v>
      </c>
      <c r="K241" s="246">
        <f t="shared" si="11"/>
        <v>3777.3896746865212</v>
      </c>
    </row>
    <row r="242" spans="1:11" x14ac:dyDescent="0.25">
      <c r="A242" s="234">
        <f>'B) D RI'!A243</f>
        <v>5785</v>
      </c>
      <c r="B242" s="235" t="str">
        <f>'B) D RI'!B243</f>
        <v>Corcelles-le-Jorat</v>
      </c>
      <c r="C242" s="390">
        <v>267166.9648321179</v>
      </c>
      <c r="D242" s="332">
        <f>+Synthèse!F242</f>
        <v>199762.06442793386</v>
      </c>
      <c r="E242" s="246">
        <f t="shared" si="9"/>
        <v>-67404.900404184038</v>
      </c>
      <c r="F242" s="246">
        <v>71753.391286455793</v>
      </c>
      <c r="G242" s="332">
        <f>+Synthèse!G242+Synthèse!H242+Synthèse!I242+Synthèse!J242+Synthèse!K242</f>
        <v>-19031.375719044619</v>
      </c>
      <c r="H242" s="246">
        <f t="shared" si="10"/>
        <v>-90784.767005500413</v>
      </c>
      <c r="I242" s="246">
        <v>49382.090628161888</v>
      </c>
      <c r="J242" s="332">
        <f>+'M) Police'!O242</f>
        <v>38515.647479861407</v>
      </c>
      <c r="K242" s="246">
        <f t="shared" si="11"/>
        <v>-10866.443148300481</v>
      </c>
    </row>
    <row r="243" spans="1:11" x14ac:dyDescent="0.25">
      <c r="A243" s="234">
        <f>'B) D RI'!A244</f>
        <v>5788</v>
      </c>
      <c r="B243" s="235" t="str">
        <f>'B) D RI'!B244</f>
        <v>Essertes</v>
      </c>
      <c r="C243" s="390">
        <v>142124.05664020067</v>
      </c>
      <c r="D243" s="332">
        <f>+Synthèse!F243</f>
        <v>155420.26338284963</v>
      </c>
      <c r="E243" s="246">
        <f t="shared" si="9"/>
        <v>13296.206742648967</v>
      </c>
      <c r="F243" s="246">
        <v>10782.275722406863</v>
      </c>
      <c r="G243" s="332">
        <f>+Synthèse!G243+Synthèse!H243+Synthèse!I243+Synthèse!J243+Synthèse!K243</f>
        <v>37679.206210647739</v>
      </c>
      <c r="H243" s="246">
        <f t="shared" si="10"/>
        <v>26896.930488240876</v>
      </c>
      <c r="I243" s="246">
        <v>29632.343592908197</v>
      </c>
      <c r="J243" s="332">
        <f>+'M) Police'!O243</f>
        <v>30173.057709968016</v>
      </c>
      <c r="K243" s="246">
        <f t="shared" si="11"/>
        <v>540.71411705981882</v>
      </c>
    </row>
    <row r="244" spans="1:11" x14ac:dyDescent="0.25">
      <c r="A244" s="234">
        <f>'B) D RI'!A245</f>
        <v>5789</v>
      </c>
      <c r="B244" s="235" t="str">
        <f>'B) D RI'!B245</f>
        <v>Ferlens</v>
      </c>
      <c r="C244" s="390">
        <v>149104.5791523912</v>
      </c>
      <c r="D244" s="332">
        <f>+Synthèse!F244</f>
        <v>155748.2900478713</v>
      </c>
      <c r="E244" s="246">
        <f t="shared" si="9"/>
        <v>6643.7108954800933</v>
      </c>
      <c r="F244" s="246">
        <v>15152.039515362354</v>
      </c>
      <c r="G244" s="332">
        <f>+Synthèse!G244+Synthèse!H244+Synthèse!I244+Synthèse!J244+Synthèse!K244</f>
        <v>-20659.564917854928</v>
      </c>
      <c r="H244" s="246">
        <f t="shared" si="10"/>
        <v>-35811.604433217282</v>
      </c>
      <c r="I244" s="246">
        <v>30589.633396250112</v>
      </c>
      <c r="J244" s="332">
        <f>+'M) Police'!O244</f>
        <v>29017.20922423021</v>
      </c>
      <c r="K244" s="246">
        <f t="shared" si="11"/>
        <v>-1572.4241720199025</v>
      </c>
    </row>
    <row r="245" spans="1:11" x14ac:dyDescent="0.25">
      <c r="A245" s="234">
        <f>'B) D RI'!A246</f>
        <v>5790</v>
      </c>
      <c r="B245" s="235" t="str">
        <f>'B) D RI'!B246</f>
        <v>Maracon</v>
      </c>
      <c r="C245" s="390">
        <v>202712.45937716673</v>
      </c>
      <c r="D245" s="332">
        <f>+Synthèse!F245</f>
        <v>207260.36754144929</v>
      </c>
      <c r="E245" s="246">
        <f t="shared" si="9"/>
        <v>4547.9081642825622</v>
      </c>
      <c r="F245" s="246">
        <v>-98959.331732884166</v>
      </c>
      <c r="G245" s="332">
        <f>+Synthèse!G245+Synthèse!H245+Synthèse!I245+Synthèse!J245+Synthèse!K245</f>
        <v>-77986.289249887137</v>
      </c>
      <c r="H245" s="246">
        <f t="shared" si="10"/>
        <v>20973.042482997029</v>
      </c>
      <c r="I245" s="246">
        <v>36850.722788673636</v>
      </c>
      <c r="J245" s="332">
        <f>+'M) Police'!O245</f>
        <v>37683.532702798555</v>
      </c>
      <c r="K245" s="246">
        <f t="shared" si="11"/>
        <v>832.80991412491858</v>
      </c>
    </row>
    <row r="246" spans="1:11" x14ac:dyDescent="0.25">
      <c r="A246" s="234">
        <f>'B) D RI'!A247</f>
        <v>5791</v>
      </c>
      <c r="B246" s="235" t="str">
        <f>'B) D RI'!B247</f>
        <v>Mézières</v>
      </c>
      <c r="C246" s="390">
        <v>712632.59060679236</v>
      </c>
      <c r="D246" s="332">
        <f>+Synthèse!F246</f>
        <v>825028.91583035141</v>
      </c>
      <c r="E246" s="246">
        <f t="shared" si="9"/>
        <v>112396.32522355905</v>
      </c>
      <c r="F246" s="246">
        <v>58300.039772770368</v>
      </c>
      <c r="G246" s="332">
        <f>+Synthèse!G246+Synthèse!H246+Synthèse!I246+Synthèse!J246+Synthèse!K246</f>
        <v>344888.08834459109</v>
      </c>
      <c r="H246" s="246">
        <f t="shared" si="10"/>
        <v>286588.04857182072</v>
      </c>
      <c r="I246" s="246">
        <v>133738.27345959315</v>
      </c>
      <c r="J246" s="332">
        <f>+'M) Police'!O246</f>
        <v>151194.55374830603</v>
      </c>
      <c r="K246" s="246">
        <f t="shared" si="11"/>
        <v>17456.280288712878</v>
      </c>
    </row>
    <row r="247" spans="1:11" x14ac:dyDescent="0.25">
      <c r="A247" s="234">
        <f>'B) D RI'!A248</f>
        <v>5792</v>
      </c>
      <c r="B247" s="235" t="str">
        <f>'B) D RI'!B248</f>
        <v>Montpreveyres</v>
      </c>
      <c r="C247" s="390">
        <v>296805.55381206539</v>
      </c>
      <c r="D247" s="332">
        <f>+Synthèse!F247</f>
        <v>297194.71364672028</v>
      </c>
      <c r="E247" s="246">
        <f t="shared" si="9"/>
        <v>389.15983465488534</v>
      </c>
      <c r="F247" s="246">
        <v>-95133.014040402602</v>
      </c>
      <c r="G247" s="332">
        <f>+Synthèse!G247+Synthèse!H247+Synthèse!I247+Synthèse!J247+Synthèse!K247</f>
        <v>-190799.11112419484</v>
      </c>
      <c r="H247" s="246">
        <f t="shared" si="10"/>
        <v>-95666.097083792236</v>
      </c>
      <c r="I247" s="246">
        <v>54886.350207057149</v>
      </c>
      <c r="J247" s="332">
        <f>+'M) Police'!O247</f>
        <v>48685.288335142948</v>
      </c>
      <c r="K247" s="246">
        <f t="shared" si="11"/>
        <v>-6201.0618719142003</v>
      </c>
    </row>
    <row r="248" spans="1:11" x14ac:dyDescent="0.25">
      <c r="A248" s="234">
        <f>'B) D RI'!A249</f>
        <v>5798</v>
      </c>
      <c r="B248" s="235" t="str">
        <f>'B) D RI'!B249</f>
        <v>Ropraz</v>
      </c>
      <c r="C248" s="390">
        <v>215229.2079094181</v>
      </c>
      <c r="D248" s="332">
        <f>+Synthèse!F248</f>
        <v>182018.43213153337</v>
      </c>
      <c r="E248" s="246">
        <f t="shared" si="9"/>
        <v>-33210.77577788473</v>
      </c>
      <c r="F248" s="246">
        <v>-60968.297581979074</v>
      </c>
      <c r="G248" s="332">
        <f>+Synthèse!G248+Synthèse!H248+Synthèse!I248+Synthèse!J248+Synthèse!K248</f>
        <v>-112503.38745496432</v>
      </c>
      <c r="H248" s="246">
        <f t="shared" si="10"/>
        <v>-51535.089872985249</v>
      </c>
      <c r="I248" s="246">
        <v>37186.950066127371</v>
      </c>
      <c r="J248" s="332">
        <f>+'M) Police'!O248</f>
        <v>35013.749258113472</v>
      </c>
      <c r="K248" s="246">
        <f t="shared" si="11"/>
        <v>-2173.2008080138985</v>
      </c>
    </row>
    <row r="249" spans="1:11" x14ac:dyDescent="0.25">
      <c r="A249" s="234">
        <f>'B) D RI'!A250</f>
        <v>5799</v>
      </c>
      <c r="B249" s="235" t="str">
        <f>'B) D RI'!B250</f>
        <v>Servion</v>
      </c>
      <c r="C249" s="390">
        <v>1334903.8746069036</v>
      </c>
      <c r="D249" s="332">
        <f>+Synthèse!F249</f>
        <v>1014325.2829145661</v>
      </c>
      <c r="E249" s="246">
        <f t="shared" si="9"/>
        <v>-320578.59169233753</v>
      </c>
      <c r="F249" s="246">
        <v>445415.62587386114</v>
      </c>
      <c r="G249" s="332">
        <f>+Synthèse!G249+Synthèse!H249+Synthèse!I249+Synthèse!J249+Synthèse!K249</f>
        <v>6862.2826373605931</v>
      </c>
      <c r="H249" s="246">
        <f t="shared" si="10"/>
        <v>-438553.34323650051</v>
      </c>
      <c r="I249" s="246">
        <v>221290.81359248899</v>
      </c>
      <c r="J249" s="332">
        <f>+'M) Police'!O249</f>
        <v>188574.15474398487</v>
      </c>
      <c r="K249" s="246">
        <f t="shared" si="11"/>
        <v>-32716.658848504128</v>
      </c>
    </row>
    <row r="250" spans="1:11" x14ac:dyDescent="0.25">
      <c r="A250" s="234">
        <f>'B) D RI'!A251</f>
        <v>5803</v>
      </c>
      <c r="B250" s="235" t="str">
        <f>'B) D RI'!B251</f>
        <v>Vulliens</v>
      </c>
      <c r="C250" s="390">
        <v>279391.12739785179</v>
      </c>
      <c r="D250" s="332">
        <f>+Synthèse!F250</f>
        <v>287149.25536916475</v>
      </c>
      <c r="E250" s="246">
        <f t="shared" si="9"/>
        <v>7758.1279713129625</v>
      </c>
      <c r="F250" s="246">
        <v>-137854.47722388245</v>
      </c>
      <c r="G250" s="332">
        <f>+Synthèse!G250+Synthèse!H250+Synthèse!I250+Synthèse!J250+Synthèse!K250</f>
        <v>-8246.5206211512996</v>
      </c>
      <c r="H250" s="246">
        <f t="shared" si="10"/>
        <v>129607.95660273115</v>
      </c>
      <c r="I250" s="246">
        <v>38939.369258730469</v>
      </c>
      <c r="J250" s="332">
        <f>+'M) Police'!O250</f>
        <v>44701.884519991072</v>
      </c>
      <c r="K250" s="246">
        <f t="shared" si="11"/>
        <v>5762.5152612606034</v>
      </c>
    </row>
    <row r="251" spans="1:11" x14ac:dyDescent="0.25">
      <c r="A251" s="234">
        <f>'B) D RI'!A252</f>
        <v>5804</v>
      </c>
      <c r="B251" s="235" t="str">
        <f>'B) D RI'!B252</f>
        <v>Jorat-Menthue</v>
      </c>
      <c r="C251" s="390">
        <v>685398.6761240788</v>
      </c>
      <c r="D251" s="332">
        <f>+Synthèse!F251</f>
        <v>778944.37291943841</v>
      </c>
      <c r="E251" s="246">
        <f t="shared" si="9"/>
        <v>93545.696795359603</v>
      </c>
      <c r="F251" s="246">
        <v>-265612.0485903701</v>
      </c>
      <c r="G251" s="332">
        <f>+Synthèse!G251+Synthèse!H251+Synthèse!I251+Synthèse!J251+Synthèse!K251</f>
        <v>-746714.36841853755</v>
      </c>
      <c r="H251" s="246">
        <f t="shared" si="10"/>
        <v>-481102.31982816744</v>
      </c>
      <c r="I251" s="246">
        <v>137111.91465158813</v>
      </c>
      <c r="J251" s="332">
        <f>+'M) Police'!O251</f>
        <v>152505.83361146832</v>
      </c>
      <c r="K251" s="246">
        <f t="shared" si="11"/>
        <v>15393.91895988019</v>
      </c>
    </row>
    <row r="252" spans="1:11" x14ac:dyDescent="0.25">
      <c r="A252" s="234">
        <f>'B) D RI'!A253</f>
        <v>5805</v>
      </c>
      <c r="B252" s="235" t="str">
        <f>'B) D RI'!B253</f>
        <v>Oron</v>
      </c>
      <c r="C252" s="390">
        <v>2454986.4471217641</v>
      </c>
      <c r="D252" s="332">
        <f>+Synthèse!F252</f>
        <v>2580181.4119351953</v>
      </c>
      <c r="E252" s="246">
        <f t="shared" si="9"/>
        <v>125194.96481343126</v>
      </c>
      <c r="F252" s="246">
        <v>-1544089.2849944625</v>
      </c>
      <c r="G252" s="332">
        <f>+Synthèse!G252+Synthèse!H252+Synthèse!I252+Synthèse!J252+Synthèse!K252</f>
        <v>-1880252.6705802358</v>
      </c>
      <c r="H252" s="246">
        <f t="shared" si="10"/>
        <v>-336163.38558577327</v>
      </c>
      <c r="I252" s="246">
        <v>463549.23643138621</v>
      </c>
      <c r="J252" s="332">
        <f>+'M) Police'!O252</f>
        <v>457485.02460716164</v>
      </c>
      <c r="K252" s="246">
        <f t="shared" si="11"/>
        <v>-6064.2118242245633</v>
      </c>
    </row>
    <row r="253" spans="1:11" x14ac:dyDescent="0.25">
      <c r="A253" s="234">
        <f>'B) D RI'!A254</f>
        <v>5812</v>
      </c>
      <c r="B253" s="235" t="str">
        <f>'B) D RI'!B254</f>
        <v>Champtauroz</v>
      </c>
      <c r="C253" s="390">
        <v>47836.659107465377</v>
      </c>
      <c r="D253" s="332">
        <f>+Synthèse!F253</f>
        <v>43826.528164240626</v>
      </c>
      <c r="E253" s="246">
        <f t="shared" si="9"/>
        <v>-4010.1309432247508</v>
      </c>
      <c r="F253" s="246">
        <v>-77456.34363544386</v>
      </c>
      <c r="G253" s="332">
        <f>+Synthèse!G253+Synthèse!H253+Synthèse!I253+Synthèse!J253+Synthèse!K253</f>
        <v>-91920.897423651651</v>
      </c>
      <c r="H253" s="246">
        <f t="shared" si="10"/>
        <v>-14464.553788207792</v>
      </c>
      <c r="I253" s="246">
        <v>8868.170744238374</v>
      </c>
      <c r="J253" s="332">
        <f>+'M) Police'!O253</f>
        <v>7215.9556499051168</v>
      </c>
      <c r="K253" s="246">
        <f t="shared" si="11"/>
        <v>-1652.2150943332572</v>
      </c>
    </row>
    <row r="254" spans="1:11" x14ac:dyDescent="0.25">
      <c r="A254" s="234">
        <f>'B) D RI'!A255</f>
        <v>5813</v>
      </c>
      <c r="B254" s="235" t="str">
        <f>'B) D RI'!B255</f>
        <v>Chevroux</v>
      </c>
      <c r="C254" s="390">
        <v>204008.11839573161</v>
      </c>
      <c r="D254" s="332">
        <f>+Synthèse!F254</f>
        <v>200934.58477887264</v>
      </c>
      <c r="E254" s="246">
        <f t="shared" si="9"/>
        <v>-3073.5336168589711</v>
      </c>
      <c r="F254" s="246">
        <v>36098.331145642675</v>
      </c>
      <c r="G254" s="332">
        <f>+Synthèse!G254+Synthèse!H254+Synthèse!I254+Synthèse!J254+Synthèse!K254</f>
        <v>-26316.664834838288</v>
      </c>
      <c r="H254" s="246">
        <f t="shared" si="10"/>
        <v>-62414.995980480962</v>
      </c>
      <c r="I254" s="246">
        <v>36415.260346601615</v>
      </c>
      <c r="J254" s="332">
        <f>+'M) Police'!O254</f>
        <v>35637.240838678314</v>
      </c>
      <c r="K254" s="246">
        <f t="shared" si="11"/>
        <v>-778.01950792330172</v>
      </c>
    </row>
    <row r="255" spans="1:11" x14ac:dyDescent="0.25">
      <c r="A255" s="234">
        <f>'B) D RI'!A256</f>
        <v>5816</v>
      </c>
      <c r="B255" s="235" t="str">
        <f>'B) D RI'!B256</f>
        <v>Corcelles-près-Payerne</v>
      </c>
      <c r="C255" s="390">
        <v>976312.74107809947</v>
      </c>
      <c r="D255" s="332">
        <f>+Synthèse!F255</f>
        <v>956876.80147261079</v>
      </c>
      <c r="E255" s="246">
        <f t="shared" si="9"/>
        <v>-19435.939605488675</v>
      </c>
      <c r="F255" s="246">
        <v>-746890.38279357017</v>
      </c>
      <c r="G255" s="332">
        <f>+Synthèse!G255+Synthèse!H255+Synthèse!I255+Synthèse!J255+Synthèse!K255</f>
        <v>-853756.66262511234</v>
      </c>
      <c r="H255" s="246">
        <f t="shared" si="10"/>
        <v>-106866.27983154217</v>
      </c>
      <c r="I255" s="246">
        <v>163794.62219570047</v>
      </c>
      <c r="J255" s="332">
        <f>+'M) Police'!O255</f>
        <v>176914.38206170089</v>
      </c>
      <c r="K255" s="246">
        <f t="shared" si="11"/>
        <v>13119.759866000415</v>
      </c>
    </row>
    <row r="256" spans="1:11" x14ac:dyDescent="0.25">
      <c r="A256" s="234">
        <f>'B) D RI'!A257</f>
        <v>5817</v>
      </c>
      <c r="B256" s="235" t="str">
        <f>'B) D RI'!B257</f>
        <v>Grandcour</v>
      </c>
      <c r="C256" s="390">
        <v>339607.42962729745</v>
      </c>
      <c r="D256" s="332">
        <f>+Synthèse!F256</f>
        <v>346073.16142765695</v>
      </c>
      <c r="E256" s="246">
        <f t="shared" si="9"/>
        <v>6465.7318003594992</v>
      </c>
      <c r="F256" s="246">
        <v>-275653.00513689488</v>
      </c>
      <c r="G256" s="332">
        <f>+Synthèse!G256+Synthèse!H256+Synthèse!I256+Synthèse!J256+Synthèse!K256</f>
        <v>-254681.73533543653</v>
      </c>
      <c r="H256" s="246">
        <f t="shared" si="10"/>
        <v>20971.269801458344</v>
      </c>
      <c r="I256" s="246">
        <v>64764.848684794008</v>
      </c>
      <c r="J256" s="332">
        <f>+'M) Police'!O256</f>
        <v>66056.921446611945</v>
      </c>
      <c r="K256" s="246">
        <f t="shared" si="11"/>
        <v>1292.0727618179371</v>
      </c>
    </row>
    <row r="257" spans="1:11" x14ac:dyDescent="0.25">
      <c r="A257" s="234">
        <f>'B) D RI'!A258</f>
        <v>5819</v>
      </c>
      <c r="B257" s="235" t="str">
        <f>'B) D RI'!B258</f>
        <v>Henniez</v>
      </c>
      <c r="C257" s="390">
        <v>155340.65838143107</v>
      </c>
      <c r="D257" s="332">
        <f>+Synthèse!F257</f>
        <v>243203.72497099286</v>
      </c>
      <c r="E257" s="246">
        <f t="shared" si="9"/>
        <v>87863.066589561786</v>
      </c>
      <c r="F257" s="246">
        <v>52289.169455021212</v>
      </c>
      <c r="G257" s="332">
        <f>+Synthèse!G257+Synthèse!H257+Synthèse!I257+Synthèse!J257+Synthèse!K257</f>
        <v>214571.44604510118</v>
      </c>
      <c r="H257" s="246">
        <f t="shared" si="10"/>
        <v>162282.27659007997</v>
      </c>
      <c r="I257" s="246">
        <v>30928.796654353209</v>
      </c>
      <c r="J257" s="332">
        <f>+'M) Police'!O257</f>
        <v>46791.02763009246</v>
      </c>
      <c r="K257" s="246">
        <f t="shared" si="11"/>
        <v>15862.23097573925</v>
      </c>
    </row>
    <row r="258" spans="1:11" x14ac:dyDescent="0.25">
      <c r="A258" s="234">
        <f>'B) D RI'!A259</f>
        <v>5821</v>
      </c>
      <c r="B258" s="235" t="str">
        <f>'B) D RI'!B259</f>
        <v>Missy</v>
      </c>
      <c r="C258" s="390">
        <v>146617.49649334472</v>
      </c>
      <c r="D258" s="332">
        <f>+Synthèse!F258</f>
        <v>133332.50384932387</v>
      </c>
      <c r="E258" s="246">
        <f t="shared" si="9"/>
        <v>-13284.992644020851</v>
      </c>
      <c r="F258" s="246">
        <v>-104432.07341804498</v>
      </c>
      <c r="G258" s="332">
        <f>+Synthèse!G258+Synthèse!H258+Synthèse!I258+Synthèse!J258+Synthèse!K258</f>
        <v>-113443.14912770304</v>
      </c>
      <c r="H258" s="246">
        <f t="shared" si="10"/>
        <v>-9011.0757096580637</v>
      </c>
      <c r="I258" s="246">
        <v>24061.501602572585</v>
      </c>
      <c r="J258" s="332">
        <f>+'M) Police'!O258</f>
        <v>24206.671434386648</v>
      </c>
      <c r="K258" s="246">
        <f t="shared" si="11"/>
        <v>145.16983181406249</v>
      </c>
    </row>
    <row r="259" spans="1:11" x14ac:dyDescent="0.25">
      <c r="A259" s="234">
        <f>'B) D RI'!A260</f>
        <v>5822</v>
      </c>
      <c r="B259" s="235" t="str">
        <f>'B) D RI'!B260</f>
        <v>Payerne</v>
      </c>
      <c r="C259" s="390">
        <v>4283648.3220418245</v>
      </c>
      <c r="D259" s="332">
        <f>+Synthèse!F259</f>
        <v>4640327.1754773557</v>
      </c>
      <c r="E259" s="246">
        <f t="shared" si="9"/>
        <v>356678.85343553126</v>
      </c>
      <c r="F259" s="246">
        <v>-4619387.1562506799</v>
      </c>
      <c r="G259" s="332">
        <f>+Synthèse!G259+Synthèse!H259+Synthèse!I259+Synthèse!J259+Synthèse!K259</f>
        <v>-5367917.699959402</v>
      </c>
      <c r="H259" s="246">
        <f t="shared" si="10"/>
        <v>-748530.54370872211</v>
      </c>
      <c r="I259" s="246">
        <v>742956.74754345184</v>
      </c>
      <c r="J259" s="332">
        <f>+'M) Police'!O259</f>
        <v>722740.95312196575</v>
      </c>
      <c r="K259" s="246">
        <f t="shared" si="11"/>
        <v>-20215.794421486091</v>
      </c>
    </row>
    <row r="260" spans="1:11" x14ac:dyDescent="0.25">
      <c r="A260" s="234">
        <f>'B) D RI'!A261</f>
        <v>5827</v>
      </c>
      <c r="B260" s="235" t="str">
        <f>'B) D RI'!B261</f>
        <v>Trey</v>
      </c>
      <c r="C260" s="390">
        <v>104404.35278297562</v>
      </c>
      <c r="D260" s="332">
        <f>+Synthèse!F260</f>
        <v>127599.04604318553</v>
      </c>
      <c r="E260" s="246">
        <f t="shared" si="9"/>
        <v>23194.693260209911</v>
      </c>
      <c r="F260" s="246">
        <v>-101126.54353440134</v>
      </c>
      <c r="G260" s="332">
        <f>+Synthèse!G260+Synthèse!H260+Synthèse!I260+Synthèse!J260+Synthèse!K260</f>
        <v>-91931.145186118549</v>
      </c>
      <c r="H260" s="246">
        <f t="shared" si="10"/>
        <v>9195.3983482827898</v>
      </c>
      <c r="I260" s="246">
        <v>19816.358575280778</v>
      </c>
      <c r="J260" s="332">
        <f>+'M) Police'!O260</f>
        <v>19472.39110227488</v>
      </c>
      <c r="K260" s="246">
        <f t="shared" si="11"/>
        <v>-343.96747300589777</v>
      </c>
    </row>
    <row r="261" spans="1:11" x14ac:dyDescent="0.25">
      <c r="A261" s="234">
        <f>'B) D RI'!A262</f>
        <v>5828</v>
      </c>
      <c r="B261" s="235" t="str">
        <f>'B) D RI'!B262</f>
        <v>Treytorrens (Payerne)</v>
      </c>
      <c r="C261" s="390">
        <v>47983.46464517025</v>
      </c>
      <c r="D261" s="332">
        <f>+Synthèse!F261</f>
        <v>39648.408700679742</v>
      </c>
      <c r="E261" s="246">
        <f t="shared" si="9"/>
        <v>-8335.0559444905084</v>
      </c>
      <c r="F261" s="246">
        <v>-74021.589103525519</v>
      </c>
      <c r="G261" s="332">
        <f>+Synthèse!G261+Synthèse!H261+Synthèse!I261+Synthèse!J261+Synthèse!K261</f>
        <v>-97690.417802524404</v>
      </c>
      <c r="H261" s="246">
        <f t="shared" si="10"/>
        <v>-23668.828698998885</v>
      </c>
      <c r="I261" s="246">
        <v>7910.6477197591357</v>
      </c>
      <c r="J261" s="332">
        <f>+'M) Police'!O261</f>
        <v>7392.2124988534542</v>
      </c>
      <c r="K261" s="246">
        <f t="shared" si="11"/>
        <v>-518.43522090568149</v>
      </c>
    </row>
    <row r="262" spans="1:11" x14ac:dyDescent="0.25">
      <c r="A262" s="234">
        <f>'B) D RI'!A263</f>
        <v>5830</v>
      </c>
      <c r="B262" s="235" t="str">
        <f>'B) D RI'!B263</f>
        <v>Villarzel</v>
      </c>
      <c r="C262" s="390">
        <v>174695.06775935937</v>
      </c>
      <c r="D262" s="332">
        <f>+Synthèse!F262</f>
        <v>171400.60779955951</v>
      </c>
      <c r="E262" s="246">
        <f t="shared" si="9"/>
        <v>-3294.4599597998604</v>
      </c>
      <c r="F262" s="246">
        <v>-153528.98801359054</v>
      </c>
      <c r="G262" s="332">
        <f>+Synthèse!G262+Synthèse!H262+Synthèse!I262+Synthèse!J262+Synthèse!K262</f>
        <v>-181509.64065418782</v>
      </c>
      <c r="H262" s="246">
        <f t="shared" si="10"/>
        <v>-27980.652640597284</v>
      </c>
      <c r="I262" s="246">
        <v>31814.095176697163</v>
      </c>
      <c r="J262" s="332">
        <f>+'M) Police'!O262</f>
        <v>30491.169604548821</v>
      </c>
      <c r="K262" s="246">
        <f t="shared" si="11"/>
        <v>-1322.9255721483423</v>
      </c>
    </row>
    <row r="263" spans="1:11" x14ac:dyDescent="0.25">
      <c r="A263" s="234">
        <f>'B) D RI'!A264</f>
        <v>5831</v>
      </c>
      <c r="B263" s="235" t="str">
        <f>'B) D RI'!B264</f>
        <v>Valbroye</v>
      </c>
      <c r="C263" s="390">
        <v>1209372.7116989782</v>
      </c>
      <c r="D263" s="332">
        <f>+Synthèse!F263</f>
        <v>1272341.2727270615</v>
      </c>
      <c r="E263" s="246">
        <f t="shared" ref="E263:E323" si="12">D263-C263</f>
        <v>62968.561028083321</v>
      </c>
      <c r="F263" s="246">
        <v>-1249234.1954992516</v>
      </c>
      <c r="G263" s="332">
        <f>+Synthèse!G263+Synthèse!H263+Synthèse!I263+Synthèse!J263+Synthèse!K263</f>
        <v>-1333166.0373119544</v>
      </c>
      <c r="H263" s="246">
        <f t="shared" ref="H263:H323" si="13">G263-F263</f>
        <v>-83931.841812702827</v>
      </c>
      <c r="I263" s="246">
        <v>231841.52199460176</v>
      </c>
      <c r="J263" s="332">
        <f>+'M) Police'!O263</f>
        <v>235461.70743312879</v>
      </c>
      <c r="K263" s="246">
        <f t="shared" ref="K263:K323" si="14">J263-I263</f>
        <v>3620.1854385270271</v>
      </c>
    </row>
    <row r="264" spans="1:11" x14ac:dyDescent="0.25">
      <c r="A264" s="234">
        <f>'B) D RI'!A265</f>
        <v>5841</v>
      </c>
      <c r="B264" s="235" t="str">
        <f>'B) D RI'!B265</f>
        <v>Château-d'Oex</v>
      </c>
      <c r="C264" s="390">
        <v>2069175.0584469324</v>
      </c>
      <c r="D264" s="332">
        <f>+Synthèse!F264</f>
        <v>2145043.9073032695</v>
      </c>
      <c r="E264" s="246">
        <f t="shared" si="12"/>
        <v>75868.848856337136</v>
      </c>
      <c r="F264" s="246">
        <v>-1738392.4343920117</v>
      </c>
      <c r="G264" s="332">
        <f>+Synthèse!G264+Synthèse!H264+Synthèse!I264+Synthèse!J264+Synthèse!K264</f>
        <v>-2214494.2067057695</v>
      </c>
      <c r="H264" s="246">
        <f t="shared" si="13"/>
        <v>-476101.7723137578</v>
      </c>
      <c r="I264" s="246">
        <v>338393.79532812303</v>
      </c>
      <c r="J264" s="332">
        <f>+'M) Police'!O264</f>
        <v>327034.21610318485</v>
      </c>
      <c r="K264" s="246">
        <f t="shared" si="14"/>
        <v>-11359.579224938178</v>
      </c>
    </row>
    <row r="265" spans="1:11" x14ac:dyDescent="0.25">
      <c r="A265" s="234">
        <f>'B) D RI'!A266</f>
        <v>5842</v>
      </c>
      <c r="B265" s="235" t="str">
        <f>'B) D RI'!B266</f>
        <v>Rossinière</v>
      </c>
      <c r="C265" s="390">
        <v>257914.63075250486</v>
      </c>
      <c r="D265" s="332">
        <f>+Synthèse!F265</f>
        <v>304679.76155911869</v>
      </c>
      <c r="E265" s="246">
        <f t="shared" si="12"/>
        <v>46765.13080661383</v>
      </c>
      <c r="F265" s="246">
        <v>-302538.25841414783</v>
      </c>
      <c r="G265" s="332">
        <f>+Synthèse!G265+Synthèse!H265+Synthèse!I265+Synthèse!J265+Synthèse!K265</f>
        <v>-274388.86973074486</v>
      </c>
      <c r="H265" s="246">
        <f t="shared" si="13"/>
        <v>28149.388683402969</v>
      </c>
      <c r="I265" s="246">
        <v>46585.091179021656</v>
      </c>
      <c r="J265" s="332">
        <f>+'M) Police'!O265</f>
        <v>42262.451432670125</v>
      </c>
      <c r="K265" s="246">
        <f t="shared" si="14"/>
        <v>-4322.6397463515314</v>
      </c>
    </row>
    <row r="266" spans="1:11" x14ac:dyDescent="0.25">
      <c r="A266" s="234">
        <f>'B) D RI'!A267</f>
        <v>5843</v>
      </c>
      <c r="B266" s="235" t="str">
        <f>'B) D RI'!B267</f>
        <v>Rougemont</v>
      </c>
      <c r="C266" s="390">
        <v>2687680.8450608659</v>
      </c>
      <c r="D266" s="332">
        <f>+Synthèse!F266</f>
        <v>3046569.5171754109</v>
      </c>
      <c r="E266" s="246">
        <f t="shared" si="12"/>
        <v>358888.67211454501</v>
      </c>
      <c r="F266" s="246">
        <v>273576</v>
      </c>
      <c r="G266" s="332">
        <f>+Synthèse!G266+Synthèse!H266+Synthèse!I266+Synthèse!J266+Synthèse!K266</f>
        <v>240316.19884927443</v>
      </c>
      <c r="H266" s="246">
        <f t="shared" si="13"/>
        <v>-33259.801150725572</v>
      </c>
      <c r="I266" s="246">
        <v>166290.23341689675</v>
      </c>
      <c r="J266" s="332">
        <f>+'M) Police'!O266</f>
        <v>169059.89455112355</v>
      </c>
      <c r="K266" s="246">
        <f t="shared" si="14"/>
        <v>2769.6611342268006</v>
      </c>
    </row>
    <row r="267" spans="1:11" x14ac:dyDescent="0.25">
      <c r="A267" s="234">
        <f>'B) D RI'!A268</f>
        <v>5851</v>
      </c>
      <c r="B267" s="235" t="str">
        <f>'B) D RI'!B268</f>
        <v>Allaman</v>
      </c>
      <c r="C267" s="390">
        <v>784137.9840882807</v>
      </c>
      <c r="D267" s="332">
        <f>+Synthèse!F267</f>
        <v>888560.59832920705</v>
      </c>
      <c r="E267" s="246">
        <f t="shared" si="12"/>
        <v>104422.61424092634</v>
      </c>
      <c r="F267" s="246">
        <v>400791</v>
      </c>
      <c r="G267" s="332">
        <f>+Synthèse!G267+Synthèse!H267+Synthèse!I267+Synthèse!J267+Synthèse!K267</f>
        <v>438821.49066323036</v>
      </c>
      <c r="H267" s="246">
        <f t="shared" si="13"/>
        <v>38030.490663230361</v>
      </c>
      <c r="I267" s="246">
        <v>66513.333827772469</v>
      </c>
      <c r="J267" s="332">
        <f>+'M) Police'!O267</f>
        <v>70803.21898713577</v>
      </c>
      <c r="K267" s="246">
        <f t="shared" si="14"/>
        <v>4289.8851593633008</v>
      </c>
    </row>
    <row r="268" spans="1:11" x14ac:dyDescent="0.25">
      <c r="A268" s="234">
        <f>'B) D RI'!A269</f>
        <v>5852</v>
      </c>
      <c r="B268" s="235" t="str">
        <f>'B) D RI'!B269</f>
        <v>Bursinel</v>
      </c>
      <c r="C268" s="390">
        <v>564306.77279399976</v>
      </c>
      <c r="D268" s="332">
        <f>+Synthèse!F268</f>
        <v>504660.37569569593</v>
      </c>
      <c r="E268" s="246">
        <f t="shared" si="12"/>
        <v>-59646.397098303831</v>
      </c>
      <c r="F268" s="246">
        <v>445049</v>
      </c>
      <c r="G268" s="332">
        <f>+Synthèse!G268+Synthèse!H268+Synthèse!I268+Synthèse!J268+Synthèse!K268</f>
        <v>453401.53900271462</v>
      </c>
      <c r="H268" s="246">
        <f t="shared" si="13"/>
        <v>8352.5390027146204</v>
      </c>
      <c r="I268" s="246">
        <v>78933.726352203041</v>
      </c>
      <c r="J268" s="332">
        <f>+'M) Police'!O268</f>
        <v>79261.391221927464</v>
      </c>
      <c r="K268" s="246">
        <f t="shared" si="14"/>
        <v>327.66486972442362</v>
      </c>
    </row>
    <row r="269" spans="1:11" x14ac:dyDescent="0.25">
      <c r="A269" s="234">
        <f>'B) D RI'!A270</f>
        <v>5853</v>
      </c>
      <c r="B269" s="235" t="str">
        <f>'B) D RI'!B270</f>
        <v>Bursins</v>
      </c>
      <c r="C269" s="390">
        <v>649733.66763403092</v>
      </c>
      <c r="D269" s="332">
        <f>+Synthèse!F269</f>
        <v>785014.50727217051</v>
      </c>
      <c r="E269" s="246">
        <f t="shared" si="12"/>
        <v>135280.83963813959</v>
      </c>
      <c r="F269" s="246">
        <v>569365</v>
      </c>
      <c r="G269" s="332">
        <f>+Synthèse!G269+Synthèse!H269+Synthèse!I269+Synthèse!J269+Synthèse!K269</f>
        <v>644653.82261512789</v>
      </c>
      <c r="H269" s="246">
        <f t="shared" si="13"/>
        <v>75288.822615127894</v>
      </c>
      <c r="I269" s="246">
        <v>113766.94125995193</v>
      </c>
      <c r="J269" s="332">
        <f>+'M) Police'!O269</f>
        <v>118565.32456797562</v>
      </c>
      <c r="K269" s="246">
        <f t="shared" si="14"/>
        <v>4798.3833080236946</v>
      </c>
    </row>
    <row r="270" spans="1:11" x14ac:dyDescent="0.25">
      <c r="A270" s="234">
        <f>'B) D RI'!A271</f>
        <v>5854</v>
      </c>
      <c r="B270" s="235" t="str">
        <f>'B) D RI'!B271</f>
        <v>Burtigny</v>
      </c>
      <c r="C270" s="390">
        <v>182354.77174480809</v>
      </c>
      <c r="D270" s="332">
        <f>+Synthèse!F270</f>
        <v>182244.37516893228</v>
      </c>
      <c r="E270" s="246">
        <f t="shared" si="12"/>
        <v>-110.39657587581314</v>
      </c>
      <c r="F270" s="246">
        <v>-177533.83256605273</v>
      </c>
      <c r="G270" s="332">
        <f>+Synthèse!G270+Synthèse!H270+Synthèse!I270+Synthèse!J270+Synthèse!K270</f>
        <v>-1393.3790234856133</v>
      </c>
      <c r="H270" s="246">
        <f t="shared" si="13"/>
        <v>176140.45354256712</v>
      </c>
      <c r="I270" s="246">
        <v>35004.789140236717</v>
      </c>
      <c r="J270" s="332">
        <f>+'M) Police'!O270</f>
        <v>33128.098614204537</v>
      </c>
      <c r="K270" s="246">
        <f t="shared" si="14"/>
        <v>-1876.6905260321801</v>
      </c>
    </row>
    <row r="271" spans="1:11" x14ac:dyDescent="0.25">
      <c r="A271" s="234">
        <f>'B) D RI'!A272</f>
        <v>5855</v>
      </c>
      <c r="B271" s="235" t="str">
        <f>'B) D RI'!B272</f>
        <v>Dully</v>
      </c>
      <c r="C271" s="390">
        <v>2285486.1301487517</v>
      </c>
      <c r="D271" s="332">
        <f>+Synthèse!F271</f>
        <v>2356696.3869985947</v>
      </c>
      <c r="E271" s="246">
        <f t="shared" si="12"/>
        <v>71210.256849843077</v>
      </c>
      <c r="F271" s="246">
        <v>1002916</v>
      </c>
      <c r="G271" s="332">
        <f>+Synthèse!G271+Synthèse!H271+Synthèse!I271+Synthèse!J271+Synthèse!K271</f>
        <v>1015277.5699630089</v>
      </c>
      <c r="H271" s="246">
        <f t="shared" si="13"/>
        <v>12361.569963008864</v>
      </c>
      <c r="I271" s="246">
        <v>129972.38799978644</v>
      </c>
      <c r="J271" s="332">
        <f>+'M) Police'!O271</f>
        <v>129429.56548793559</v>
      </c>
      <c r="K271" s="246">
        <f t="shared" si="14"/>
        <v>-542.82251185085624</v>
      </c>
    </row>
    <row r="272" spans="1:11" x14ac:dyDescent="0.25">
      <c r="A272" s="234">
        <f>'B) D RI'!A273</f>
        <v>5856</v>
      </c>
      <c r="B272" s="235" t="str">
        <f>'B) D RI'!B273</f>
        <v>Essertines-sur-Rolle</v>
      </c>
      <c r="C272" s="390">
        <v>602556.00618822908</v>
      </c>
      <c r="D272" s="332">
        <f>+Synthèse!F272</f>
        <v>524667.59243888012</v>
      </c>
      <c r="E272" s="246">
        <f t="shared" si="12"/>
        <v>-77888.413749348954</v>
      </c>
      <c r="F272" s="246">
        <v>623672</v>
      </c>
      <c r="G272" s="332">
        <f>+Synthèse!G272+Synthèse!H272+Synthèse!I272+Synthèse!J272+Synthèse!K272</f>
        <v>522827.84738666285</v>
      </c>
      <c r="H272" s="246">
        <f t="shared" si="13"/>
        <v>-100844.15261333715</v>
      </c>
      <c r="I272" s="246">
        <v>110395.69902839366</v>
      </c>
      <c r="J272" s="332">
        <f>+'M) Police'!O272</f>
        <v>99480.293892865462</v>
      </c>
      <c r="K272" s="246">
        <f t="shared" si="14"/>
        <v>-10915.405135528199</v>
      </c>
    </row>
    <row r="273" spans="1:11" x14ac:dyDescent="0.25">
      <c r="A273" s="234">
        <f>'B) D RI'!A274</f>
        <v>5857</v>
      </c>
      <c r="B273" s="235" t="str">
        <f>'B) D RI'!B274</f>
        <v>Gilly</v>
      </c>
      <c r="C273" s="390">
        <v>1417077.6053521745</v>
      </c>
      <c r="D273" s="332">
        <f>+Synthèse!F273</f>
        <v>1431780.4907025988</v>
      </c>
      <c r="E273" s="246">
        <f t="shared" si="12"/>
        <v>14702.885350424331</v>
      </c>
      <c r="F273" s="246">
        <v>1033320</v>
      </c>
      <c r="G273" s="332">
        <f>+Synthèse!G273+Synthèse!H273+Synthèse!I273+Synthèse!J273+Synthèse!K273</f>
        <v>982744.5678052064</v>
      </c>
      <c r="H273" s="246">
        <f t="shared" si="13"/>
        <v>-50575.432194793597</v>
      </c>
      <c r="I273" s="246">
        <v>176570.10441833732</v>
      </c>
      <c r="J273" s="332">
        <f>+'M) Police'!O273</f>
        <v>187105.77399618423</v>
      </c>
      <c r="K273" s="246">
        <f t="shared" si="14"/>
        <v>10535.669577846915</v>
      </c>
    </row>
    <row r="274" spans="1:11" x14ac:dyDescent="0.25">
      <c r="A274" s="234">
        <f>'B) D RI'!A275</f>
        <v>5858</v>
      </c>
      <c r="B274" s="235" t="str">
        <f>'B) D RI'!B275</f>
        <v>Luins</v>
      </c>
      <c r="C274" s="390">
        <v>619615.3336807196</v>
      </c>
      <c r="D274" s="332">
        <f>+Synthèse!F274</f>
        <v>514807.69876425929</v>
      </c>
      <c r="E274" s="246">
        <f t="shared" si="12"/>
        <v>-104807.63491646032</v>
      </c>
      <c r="F274" s="246">
        <v>585834</v>
      </c>
      <c r="G274" s="332">
        <f>+Synthèse!G274+Synthèse!H274+Synthèse!I274+Synthèse!J274+Synthèse!K274</f>
        <v>588793.98881216231</v>
      </c>
      <c r="H274" s="246">
        <f t="shared" si="13"/>
        <v>2959.988812162308</v>
      </c>
      <c r="I274" s="246">
        <v>99258.642217933768</v>
      </c>
      <c r="J274" s="332">
        <f>+'M) Police'!O274</f>
        <v>99256.563937149025</v>
      </c>
      <c r="K274" s="246">
        <f t="shared" si="14"/>
        <v>-2.0782807847426739</v>
      </c>
    </row>
    <row r="275" spans="1:11" x14ac:dyDescent="0.25">
      <c r="A275" s="234">
        <f>'B) D RI'!A276</f>
        <v>5859</v>
      </c>
      <c r="B275" s="235" t="str">
        <f>'B) D RI'!B276</f>
        <v>Mont-sur-Rolle</v>
      </c>
      <c r="C275" s="390">
        <v>2420298.8506463207</v>
      </c>
      <c r="D275" s="332">
        <f>+Synthèse!F275</f>
        <v>2263540.5024198005</v>
      </c>
      <c r="E275" s="246">
        <f t="shared" si="12"/>
        <v>-156758.34822652023</v>
      </c>
      <c r="F275" s="246">
        <v>1861870</v>
      </c>
      <c r="G275" s="332">
        <f>+Synthèse!G275+Synthèse!H275+Synthèse!I275+Synthèse!J275+Synthèse!K275</f>
        <v>1749278.5709507586</v>
      </c>
      <c r="H275" s="246">
        <f t="shared" si="13"/>
        <v>-112591.42904924136</v>
      </c>
      <c r="I275" s="246">
        <v>406981.95738969481</v>
      </c>
      <c r="J275" s="332">
        <f>+'M) Police'!O275</f>
        <v>398464.25298991014</v>
      </c>
      <c r="K275" s="246">
        <f t="shared" si="14"/>
        <v>-8517.7043997846777</v>
      </c>
    </row>
    <row r="276" spans="1:11" x14ac:dyDescent="0.25">
      <c r="A276" s="234">
        <f>'B) D RI'!A277</f>
        <v>5860</v>
      </c>
      <c r="B276" s="235" t="str">
        <f>'B) D RI'!B277</f>
        <v>Perroy</v>
      </c>
      <c r="C276" s="390">
        <v>1239739.2416184396</v>
      </c>
      <c r="D276" s="332">
        <f>+Synthèse!F276</f>
        <v>1793604.9635031547</v>
      </c>
      <c r="E276" s="246">
        <f t="shared" si="12"/>
        <v>553865.72188471514</v>
      </c>
      <c r="F276" s="246">
        <v>1079104</v>
      </c>
      <c r="G276" s="332">
        <f>+Synthèse!G276+Synthèse!H276+Synthèse!I276+Synthèse!J276+Synthèse!K276</f>
        <v>1391269.3608571633</v>
      </c>
      <c r="H276" s="246">
        <f t="shared" si="13"/>
        <v>312165.36085716332</v>
      </c>
      <c r="I276" s="246">
        <v>215643.08822681505</v>
      </c>
      <c r="J276" s="332">
        <f>+'M) Police'!O276</f>
        <v>240002.74065381789</v>
      </c>
      <c r="K276" s="246">
        <f t="shared" si="14"/>
        <v>24359.652427002846</v>
      </c>
    </row>
    <row r="277" spans="1:11" x14ac:dyDescent="0.25">
      <c r="A277" s="234">
        <f>'B) D RI'!A278</f>
        <v>5861</v>
      </c>
      <c r="B277" s="235" t="str">
        <f>'B) D RI'!B278</f>
        <v>Rolle</v>
      </c>
      <c r="C277" s="390">
        <v>7040453.0485947896</v>
      </c>
      <c r="D277" s="332">
        <f>+Synthèse!F277</f>
        <v>24119805.501387954</v>
      </c>
      <c r="E277" s="246">
        <f t="shared" si="12"/>
        <v>17079352.452793166</v>
      </c>
      <c r="F277" s="246">
        <v>3655452</v>
      </c>
      <c r="G277" s="332">
        <f>+Synthèse!G277+Synthèse!H277+Synthèse!I277+Synthèse!J277+Synthèse!K277</f>
        <v>8533210.7740760595</v>
      </c>
      <c r="H277" s="246">
        <f t="shared" si="13"/>
        <v>4877758.7740760595</v>
      </c>
      <c r="I277" s="246">
        <v>973043.43130276841</v>
      </c>
      <c r="J277" s="332">
        <f>+'M) Police'!O277</f>
        <v>1292185.9081231141</v>
      </c>
      <c r="K277" s="246">
        <f t="shared" si="14"/>
        <v>319142.47682034574</v>
      </c>
    </row>
    <row r="278" spans="1:11" x14ac:dyDescent="0.25">
      <c r="A278" s="234">
        <f>'B) D RI'!A279</f>
        <v>5862</v>
      </c>
      <c r="B278" s="235" t="str">
        <f>'B) D RI'!B279</f>
        <v>Tartegnin</v>
      </c>
      <c r="C278" s="390">
        <v>166851.84419743458</v>
      </c>
      <c r="D278" s="332">
        <f>+Synthèse!F278</f>
        <v>149220.09535884648</v>
      </c>
      <c r="E278" s="246">
        <f t="shared" si="12"/>
        <v>-17631.748838588101</v>
      </c>
      <c r="F278" s="246">
        <v>47412.657146513637</v>
      </c>
      <c r="G278" s="332">
        <f>+Synthèse!G278+Synthèse!H278+Synthèse!I278+Synthèse!J278+Synthèse!K278</f>
        <v>71439.714658370794</v>
      </c>
      <c r="H278" s="246">
        <f t="shared" si="13"/>
        <v>24027.057511857158</v>
      </c>
      <c r="I278" s="246">
        <v>24899.886657405077</v>
      </c>
      <c r="J278" s="332">
        <f>+'M) Police'!O278</f>
        <v>26154.357008871175</v>
      </c>
      <c r="K278" s="246">
        <f t="shared" si="14"/>
        <v>1254.4703514660978</v>
      </c>
    </row>
    <row r="279" spans="1:11" x14ac:dyDescent="0.25">
      <c r="A279" s="234">
        <f>'B) D RI'!A280</f>
        <v>5863</v>
      </c>
      <c r="B279" s="235" t="str">
        <f>'B) D RI'!B280</f>
        <v>Vinzel</v>
      </c>
      <c r="C279" s="390">
        <v>352043.24785210198</v>
      </c>
      <c r="D279" s="332">
        <f>+Synthèse!F279</f>
        <v>468554.35555856279</v>
      </c>
      <c r="E279" s="246">
        <f t="shared" si="12"/>
        <v>116511.10770646081</v>
      </c>
      <c r="F279" s="246">
        <v>345333</v>
      </c>
      <c r="G279" s="332">
        <f>+Synthèse!G279+Synthèse!H279+Synthèse!I279+Synthèse!J279+Synthèse!K279</f>
        <v>388551.74194485642</v>
      </c>
      <c r="H279" s="246">
        <f t="shared" si="13"/>
        <v>43218.741944856418</v>
      </c>
      <c r="I279" s="246">
        <v>57914.105127461087</v>
      </c>
      <c r="J279" s="332">
        <f>+'M) Police'!O279</f>
        <v>59829.705519499621</v>
      </c>
      <c r="K279" s="246">
        <f t="shared" si="14"/>
        <v>1915.6003920385338</v>
      </c>
    </row>
    <row r="280" spans="1:11" x14ac:dyDescent="0.25">
      <c r="A280" s="234">
        <f>'B) D RI'!A281</f>
        <v>5871</v>
      </c>
      <c r="B280" s="235" t="str">
        <f>'B) D RI'!B281</f>
        <v>L'Abbaye</v>
      </c>
      <c r="C280" s="390">
        <v>1178763.4802946784</v>
      </c>
      <c r="D280" s="332">
        <f>+Synthèse!F280</f>
        <v>897198.0231617362</v>
      </c>
      <c r="E280" s="246">
        <f t="shared" si="12"/>
        <v>-281565.45713294216</v>
      </c>
      <c r="F280" s="246">
        <v>699354.36284082965</v>
      </c>
      <c r="G280" s="332">
        <f>+Synthèse!G280+Synthèse!H280+Synthèse!I280+Synthèse!J280+Synthèse!K280</f>
        <v>-303253.0515881927</v>
      </c>
      <c r="H280" s="246">
        <f t="shared" si="13"/>
        <v>-1002607.4144290223</v>
      </c>
      <c r="I280" s="246">
        <v>198348.0445494508</v>
      </c>
      <c r="J280" s="332">
        <f>+'M) Police'!O280</f>
        <v>128828.38352145709</v>
      </c>
      <c r="K280" s="246">
        <f t="shared" si="14"/>
        <v>-69519.661027993716</v>
      </c>
    </row>
    <row r="281" spans="1:11" x14ac:dyDescent="0.25">
      <c r="A281" s="234">
        <f>'B) D RI'!A282</f>
        <v>5872</v>
      </c>
      <c r="B281" s="235" t="str">
        <f>'B) D RI'!B282</f>
        <v>Le Chenit</v>
      </c>
      <c r="C281" s="390">
        <v>10786229.414816879</v>
      </c>
      <c r="D281" s="332">
        <f>+Synthèse!F281</f>
        <v>7492944.3013770869</v>
      </c>
      <c r="E281" s="246">
        <f t="shared" si="12"/>
        <v>-3293285.1134397918</v>
      </c>
      <c r="F281" s="246">
        <v>3514659</v>
      </c>
      <c r="G281" s="332">
        <f>+Synthèse!G281+Synthèse!H281+Synthèse!I281+Synthèse!J281+Synthèse!K281</f>
        <v>2575009.2019989332</v>
      </c>
      <c r="H281" s="246">
        <f t="shared" si="13"/>
        <v>-939649.79800106678</v>
      </c>
      <c r="I281" s="246">
        <v>821103.58964935236</v>
      </c>
      <c r="J281" s="332">
        <f>+'M) Police'!O281</f>
        <v>778657.12432704517</v>
      </c>
      <c r="K281" s="246">
        <f t="shared" si="14"/>
        <v>-42446.465322307195</v>
      </c>
    </row>
    <row r="282" spans="1:11" x14ac:dyDescent="0.25">
      <c r="A282" s="234">
        <f>'B) D RI'!A283</f>
        <v>5873</v>
      </c>
      <c r="B282" s="235" t="str">
        <f>'B) D RI'!B283</f>
        <v>Le Lieu</v>
      </c>
      <c r="C282" s="390">
        <v>927820.66944664391</v>
      </c>
      <c r="D282" s="332">
        <f>+Synthèse!F282</f>
        <v>748960.55287067639</v>
      </c>
      <c r="E282" s="246">
        <f t="shared" si="12"/>
        <v>-178860.11657596752</v>
      </c>
      <c r="F282" s="246">
        <v>53946</v>
      </c>
      <c r="G282" s="332">
        <f>+Synthèse!G282+Synthèse!H282+Synthèse!I282+Synthèse!J282+Synthèse!K282</f>
        <v>-560192.31095142628</v>
      </c>
      <c r="H282" s="246">
        <f t="shared" si="13"/>
        <v>-614138.31095142628</v>
      </c>
      <c r="I282" s="246">
        <v>126662.58698623457</v>
      </c>
      <c r="J282" s="332">
        <f>+'M) Police'!O282</f>
        <v>96174.778407950042</v>
      </c>
      <c r="K282" s="246">
        <f t="shared" si="14"/>
        <v>-30487.80857828453</v>
      </c>
    </row>
    <row r="283" spans="1:11" x14ac:dyDescent="0.25">
      <c r="A283" s="234">
        <f>'B) D RI'!A284</f>
        <v>5881</v>
      </c>
      <c r="B283" s="235" t="str">
        <f>'B) D RI'!B284</f>
        <v>Blonay</v>
      </c>
      <c r="C283" s="390">
        <v>5675378.2590688672</v>
      </c>
      <c r="D283" s="332">
        <f>+Synthèse!F283</f>
        <v>6299600.5186384656</v>
      </c>
      <c r="E283" s="246">
        <f t="shared" si="12"/>
        <v>624222.25956959836</v>
      </c>
      <c r="F283" s="246">
        <v>3201472</v>
      </c>
      <c r="G283" s="332">
        <f>+Synthèse!G283+Synthèse!H283+Synthèse!I283+Synthèse!J283+Synthèse!K283</f>
        <v>2859106.618304586</v>
      </c>
      <c r="H283" s="246">
        <f t="shared" si="13"/>
        <v>-342365.38169541396</v>
      </c>
      <c r="I283" s="246">
        <v>448004.91080211051</v>
      </c>
      <c r="J283" s="332">
        <f>+'M) Police'!O283</f>
        <v>425605.99351998739</v>
      </c>
      <c r="K283" s="246">
        <f t="shared" si="14"/>
        <v>-22398.917282123119</v>
      </c>
    </row>
    <row r="284" spans="1:11" x14ac:dyDescent="0.25">
      <c r="A284" s="234">
        <f>'B) D RI'!A285</f>
        <v>5882</v>
      </c>
      <c r="B284" s="235" t="str">
        <f>'B) D RI'!B285</f>
        <v>Chardonne</v>
      </c>
      <c r="C284" s="390">
        <v>3993707.2753481558</v>
      </c>
      <c r="D284" s="332">
        <f>+Synthèse!F284</f>
        <v>2818476.5050710109</v>
      </c>
      <c r="E284" s="246">
        <f t="shared" si="12"/>
        <v>-1175230.7702771449</v>
      </c>
      <c r="F284" s="246">
        <v>2003814</v>
      </c>
      <c r="G284" s="332">
        <f>+Synthèse!G284+Synthèse!H284+Synthèse!I284+Synthèse!J284+Synthèse!K284</f>
        <v>1726823.0650715232</v>
      </c>
      <c r="H284" s="246">
        <f t="shared" si="13"/>
        <v>-276990.93492847681</v>
      </c>
      <c r="I284" s="246">
        <v>215352.20869044025</v>
      </c>
      <c r="J284" s="332">
        <f>+'M) Police'!O284</f>
        <v>193450.8469759021</v>
      </c>
      <c r="K284" s="246">
        <f t="shared" si="14"/>
        <v>-21901.361714538158</v>
      </c>
    </row>
    <row r="285" spans="1:11" x14ac:dyDescent="0.25">
      <c r="A285" s="234">
        <f>'B) D RI'!A286</f>
        <v>5883</v>
      </c>
      <c r="B285" s="235" t="str">
        <f>'B) D RI'!B286</f>
        <v>Corseaux</v>
      </c>
      <c r="C285" s="390">
        <v>3541890.0788427172</v>
      </c>
      <c r="D285" s="332">
        <f>+Synthèse!F285</f>
        <v>3170508.1543549933</v>
      </c>
      <c r="E285" s="246">
        <f t="shared" si="12"/>
        <v>-371381.92448772397</v>
      </c>
      <c r="F285" s="246">
        <v>2164412</v>
      </c>
      <c r="G285" s="332">
        <f>+Synthèse!G285+Synthèse!H285+Synthèse!I285+Synthèse!J285+Synthèse!K285</f>
        <v>2107080.312439655</v>
      </c>
      <c r="H285" s="246">
        <f t="shared" si="13"/>
        <v>-57331.687560345046</v>
      </c>
      <c r="I285" s="246">
        <v>194567.70836111551</v>
      </c>
      <c r="J285" s="332">
        <f>+'M) Police'!O285</f>
        <v>181018.67766346518</v>
      </c>
      <c r="K285" s="246">
        <f t="shared" si="14"/>
        <v>-13549.030697650334</v>
      </c>
    </row>
    <row r="286" spans="1:11" x14ac:dyDescent="0.25">
      <c r="A286" s="234">
        <f>'B) D RI'!A287</f>
        <v>5884</v>
      </c>
      <c r="B286" s="235" t="str">
        <f>'B) D RI'!B287</f>
        <v>Corsier-sur-Vevey</v>
      </c>
      <c r="C286" s="390">
        <v>2071558.6912202216</v>
      </c>
      <c r="D286" s="332">
        <f>+Synthèse!F286</f>
        <v>2044738.1583040599</v>
      </c>
      <c r="E286" s="246">
        <f t="shared" si="12"/>
        <v>-26820.532916161697</v>
      </c>
      <c r="F286" s="246">
        <v>158420.99778597686</v>
      </c>
      <c r="G286" s="332">
        <f>+Synthèse!G286+Synthèse!H286+Synthèse!I286+Synthèse!J286+Synthèse!K286</f>
        <v>-316581.41527602181</v>
      </c>
      <c r="H286" s="246">
        <f t="shared" si="13"/>
        <v>-475002.41306199867</v>
      </c>
      <c r="I286" s="246">
        <v>163881.30303892295</v>
      </c>
      <c r="J286" s="332">
        <f>+'M) Police'!O286</f>
        <v>149087.40725865704</v>
      </c>
      <c r="K286" s="246">
        <f t="shared" si="14"/>
        <v>-14793.895780265913</v>
      </c>
    </row>
    <row r="287" spans="1:11" x14ac:dyDescent="0.25">
      <c r="A287" s="234">
        <f>'B) D RI'!A288</f>
        <v>5885</v>
      </c>
      <c r="B287" s="235" t="str">
        <f>'B) D RI'!B288</f>
        <v>Jongny</v>
      </c>
      <c r="C287" s="390">
        <v>1326014.0039685247</v>
      </c>
      <c r="D287" s="332">
        <f>+Synthèse!F287</f>
        <v>1416484.286135071</v>
      </c>
      <c r="E287" s="246">
        <f t="shared" si="12"/>
        <v>90470.282166546211</v>
      </c>
      <c r="F287" s="246">
        <v>1140076</v>
      </c>
      <c r="G287" s="332">
        <f>+Synthèse!G287+Synthèse!H287+Synthèse!I287+Synthèse!J287+Synthèse!K287</f>
        <v>1185270.5906034</v>
      </c>
      <c r="H287" s="246">
        <f t="shared" si="13"/>
        <v>45194.590603400022</v>
      </c>
      <c r="I287" s="246">
        <v>102859.57687739609</v>
      </c>
      <c r="J287" s="332">
        <f>+'M) Police'!O287</f>
        <v>104789.71082246037</v>
      </c>
      <c r="K287" s="246">
        <f t="shared" si="14"/>
        <v>1930.1339450642845</v>
      </c>
    </row>
    <row r="288" spans="1:11" x14ac:dyDescent="0.25">
      <c r="A288" s="234">
        <f>'B) D RI'!A289</f>
        <v>5886</v>
      </c>
      <c r="B288" s="235" t="str">
        <f>'B) D RI'!B289</f>
        <v>Montreux</v>
      </c>
      <c r="C288" s="390">
        <v>21806851.388510562</v>
      </c>
      <c r="D288" s="332">
        <f>+Synthèse!F288</f>
        <v>24315913.28262499</v>
      </c>
      <c r="E288" s="246">
        <f t="shared" si="12"/>
        <v>2509061.8941144273</v>
      </c>
      <c r="F288" s="246">
        <v>-5319441.5890740938</v>
      </c>
      <c r="G288" s="332">
        <f>+Synthèse!G288+Synthèse!H288+Synthèse!I288+Synthèse!J288+Synthèse!K288</f>
        <v>-4689321.9428216759</v>
      </c>
      <c r="H288" s="246">
        <f t="shared" si="13"/>
        <v>630119.64625241794</v>
      </c>
      <c r="I288" s="246">
        <v>1511658.2218872542</v>
      </c>
      <c r="J288" s="332">
        <f>+'M) Police'!O288</f>
        <v>1504744.1040386187</v>
      </c>
      <c r="K288" s="246">
        <f t="shared" si="14"/>
        <v>-6914.1178486354183</v>
      </c>
    </row>
    <row r="289" spans="1:11" x14ac:dyDescent="0.25">
      <c r="A289" s="234">
        <f>'B) D RI'!A290</f>
        <v>5888</v>
      </c>
      <c r="B289" s="235" t="str">
        <f>'B) D RI'!B290</f>
        <v>Saint-Légier-La Chiésaz</v>
      </c>
      <c r="C289" s="390">
        <v>7338110.4216827173</v>
      </c>
      <c r="D289" s="332">
        <f>+Synthèse!F289</f>
        <v>5594477.1710605668</v>
      </c>
      <c r="E289" s="246">
        <f t="shared" si="12"/>
        <v>-1743633.2506221505</v>
      </c>
      <c r="F289" s="246">
        <v>3326716</v>
      </c>
      <c r="G289" s="332">
        <f>+Synthèse!G289+Synthèse!H289+Synthèse!I289+Synthèse!J289+Synthèse!K289</f>
        <v>3458161.1800223929</v>
      </c>
      <c r="H289" s="246">
        <f t="shared" si="13"/>
        <v>131445.18002239289</v>
      </c>
      <c r="I289" s="246">
        <v>444386.89150966343</v>
      </c>
      <c r="J289" s="332">
        <f>+'M) Police'!O289</f>
        <v>384305.18783523858</v>
      </c>
      <c r="K289" s="246">
        <f t="shared" si="14"/>
        <v>-60081.703674424847</v>
      </c>
    </row>
    <row r="290" spans="1:11" x14ac:dyDescent="0.25">
      <c r="A290" s="234">
        <f>'B) D RI'!A291</f>
        <v>5889</v>
      </c>
      <c r="B290" s="235" t="str">
        <f>'B) D RI'!B291</f>
        <v>La Tour-de-Peilz</v>
      </c>
      <c r="C290" s="390">
        <v>10187369.945510648</v>
      </c>
      <c r="D290" s="332">
        <f>+Synthèse!F290</f>
        <v>11233033.972794957</v>
      </c>
      <c r="E290" s="246">
        <f t="shared" si="12"/>
        <v>1045664.0272843093</v>
      </c>
      <c r="F290" s="246">
        <v>4928233</v>
      </c>
      <c r="G290" s="332">
        <f>+Synthèse!G290+Synthèse!H290+Synthèse!I290+Synthèse!J290+Synthèse!K290</f>
        <v>5130216.9740286265</v>
      </c>
      <c r="H290" s="246">
        <f t="shared" si="13"/>
        <v>201983.97402862646</v>
      </c>
      <c r="I290" s="246">
        <v>800511.87113751692</v>
      </c>
      <c r="J290" s="332">
        <f>+'M) Police'!O290</f>
        <v>792052.74781351059</v>
      </c>
      <c r="K290" s="246">
        <f t="shared" si="14"/>
        <v>-8459.1233240063302</v>
      </c>
    </row>
    <row r="291" spans="1:11" x14ac:dyDescent="0.25">
      <c r="A291" s="234">
        <f>'B) D RI'!A292</f>
        <v>5890</v>
      </c>
      <c r="B291" s="235" t="str">
        <f>'B) D RI'!B292</f>
        <v>Vevey</v>
      </c>
      <c r="C291" s="390">
        <v>15816384.55193341</v>
      </c>
      <c r="D291" s="332">
        <f>+Synthèse!F291</f>
        <v>15667163.625780936</v>
      </c>
      <c r="E291" s="246">
        <f t="shared" si="12"/>
        <v>-149220.92615247332</v>
      </c>
      <c r="F291" s="246">
        <v>2509499</v>
      </c>
      <c r="G291" s="332">
        <f>+Synthèse!G291+Synthèse!H291+Synthèse!I291+Synthèse!J291+Synthèse!K291</f>
        <v>702464.47066946141</v>
      </c>
      <c r="H291" s="246">
        <f t="shared" si="13"/>
        <v>-1807034.5293305386</v>
      </c>
      <c r="I291" s="246">
        <v>1241947.7884901036</v>
      </c>
      <c r="J291" s="332">
        <f>+'M) Police'!O291</f>
        <v>1164131.5024232415</v>
      </c>
      <c r="K291" s="246">
        <f t="shared" si="14"/>
        <v>-77816.286066862056</v>
      </c>
    </row>
    <row r="292" spans="1:11" x14ac:dyDescent="0.25">
      <c r="A292" s="234">
        <f>'B) D RI'!A293</f>
        <v>5891</v>
      </c>
      <c r="B292" s="235" t="str">
        <f>'B) D RI'!B293</f>
        <v>Veytaux</v>
      </c>
      <c r="C292" s="390">
        <v>858391.97254309396</v>
      </c>
      <c r="D292" s="332">
        <f>+Synthèse!F292</f>
        <v>740379.77877078811</v>
      </c>
      <c r="E292" s="246">
        <f t="shared" si="12"/>
        <v>-118012.19377230585</v>
      </c>
      <c r="F292" s="246">
        <v>270309</v>
      </c>
      <c r="G292" s="332">
        <f>+Synthèse!G292+Synthèse!H292+Synthèse!I292+Synthèse!J292+Synthèse!K292</f>
        <v>363671.05221068597</v>
      </c>
      <c r="H292" s="246">
        <f t="shared" si="13"/>
        <v>93362.052210685972</v>
      </c>
      <c r="I292" s="246">
        <v>50805.776872795024</v>
      </c>
      <c r="J292" s="332">
        <f>+'M) Police'!O292</f>
        <v>50588.147334005938</v>
      </c>
      <c r="K292" s="246">
        <f t="shared" si="14"/>
        <v>-217.62953878908593</v>
      </c>
    </row>
    <row r="293" spans="1:11" x14ac:dyDescent="0.25">
      <c r="A293" s="234">
        <f>'B) D RI'!A294</f>
        <v>5902</v>
      </c>
      <c r="B293" s="235" t="str">
        <f>'B) D RI'!B294</f>
        <v>Belmont-sur-Yverdon</v>
      </c>
      <c r="C293" s="390">
        <v>175195.25452828725</v>
      </c>
      <c r="D293" s="332">
        <f>+Synthèse!F293</f>
        <v>143538.18625945519</v>
      </c>
      <c r="E293" s="246">
        <f t="shared" si="12"/>
        <v>-31657.068268832052</v>
      </c>
      <c r="F293" s="246">
        <v>-44708.936941261753</v>
      </c>
      <c r="G293" s="332">
        <f>+Synthèse!G293+Synthèse!H293+Synthèse!I293+Synthèse!J293+Synthèse!K293</f>
        <v>-34130.361980452624</v>
      </c>
      <c r="H293" s="246">
        <f t="shared" si="13"/>
        <v>10578.574960809128</v>
      </c>
      <c r="I293" s="246">
        <v>28347.380538581594</v>
      </c>
      <c r="J293" s="332">
        <f>+'M) Police'!O293</f>
        <v>28944.367404721157</v>
      </c>
      <c r="K293" s="246">
        <f t="shared" si="14"/>
        <v>596.98686613956306</v>
      </c>
    </row>
    <row r="294" spans="1:11" x14ac:dyDescent="0.25">
      <c r="A294" s="234">
        <f>'B) D RI'!A295</f>
        <v>5903</v>
      </c>
      <c r="B294" s="235" t="str">
        <f>'B) D RI'!B295</f>
        <v>Bioley-Magnoux</v>
      </c>
      <c r="C294" s="390">
        <v>97923.699481482254</v>
      </c>
      <c r="D294" s="332">
        <f>+Synthèse!F294</f>
        <v>100260.36614700397</v>
      </c>
      <c r="E294" s="246">
        <f t="shared" si="12"/>
        <v>2336.6666655217123</v>
      </c>
      <c r="F294" s="246">
        <v>17199.347449559136</v>
      </c>
      <c r="G294" s="332">
        <f>+Synthèse!G294+Synthèse!H294+Synthèse!I294+Synthèse!J294+Synthèse!K294</f>
        <v>-223492.71347446361</v>
      </c>
      <c r="H294" s="246">
        <f t="shared" si="13"/>
        <v>-240692.06092402275</v>
      </c>
      <c r="I294" s="246">
        <v>19591.618246971735</v>
      </c>
      <c r="J294" s="332">
        <f>+'M) Police'!O294</f>
        <v>18637.189306186367</v>
      </c>
      <c r="K294" s="246">
        <f t="shared" si="14"/>
        <v>-954.42894078536847</v>
      </c>
    </row>
    <row r="295" spans="1:11" x14ac:dyDescent="0.25">
      <c r="A295" s="234">
        <f>'B) D RI'!A296</f>
        <v>5904</v>
      </c>
      <c r="B295" s="235" t="str">
        <f>'B) D RI'!B296</f>
        <v>Chamblon</v>
      </c>
      <c r="C295" s="390">
        <v>348665.3298469804</v>
      </c>
      <c r="D295" s="332">
        <f>+Synthèse!F295</f>
        <v>369900.8779295836</v>
      </c>
      <c r="E295" s="246">
        <f t="shared" si="12"/>
        <v>21235.5480826032</v>
      </c>
      <c r="F295" s="246">
        <v>268530.60509777727</v>
      </c>
      <c r="G295" s="332">
        <f>+Synthèse!G295+Synthèse!H295+Synthèse!I295+Synthèse!J295+Synthèse!K295</f>
        <v>349475.4602012267</v>
      </c>
      <c r="H295" s="246">
        <f t="shared" si="13"/>
        <v>80944.85510344943</v>
      </c>
      <c r="I295" s="246">
        <v>29186.902418374324</v>
      </c>
      <c r="J295" s="332">
        <f>+'M) Police'!O295</f>
        <v>29338.475573314816</v>
      </c>
      <c r="K295" s="246">
        <f t="shared" si="14"/>
        <v>151.5731549404918</v>
      </c>
    </row>
    <row r="296" spans="1:11" x14ac:dyDescent="0.25">
      <c r="A296" s="234">
        <f>'B) D RI'!A297</f>
        <v>5905</v>
      </c>
      <c r="B296" s="235" t="str">
        <f>'B) D RI'!B297</f>
        <v>Champvent</v>
      </c>
      <c r="C296" s="390">
        <v>360832.60864840646</v>
      </c>
      <c r="D296" s="332">
        <f>+Synthèse!F296</f>
        <v>441457.90810924215</v>
      </c>
      <c r="E296" s="246">
        <f t="shared" si="12"/>
        <v>80625.299460835697</v>
      </c>
      <c r="F296" s="246">
        <v>196718.19472743379</v>
      </c>
      <c r="G296" s="332">
        <f>+Synthèse!G296+Synthèse!H296+Synthèse!I296+Synthèse!J296+Synthèse!K296</f>
        <v>126136.21978336236</v>
      </c>
      <c r="H296" s="246">
        <f t="shared" si="13"/>
        <v>-70581.974944071422</v>
      </c>
      <c r="I296" s="246">
        <v>65622.439015822805</v>
      </c>
      <c r="J296" s="332">
        <f>+'M) Police'!O296</f>
        <v>66467.524153636245</v>
      </c>
      <c r="K296" s="246">
        <f t="shared" si="14"/>
        <v>845.08513781343936</v>
      </c>
    </row>
    <row r="297" spans="1:11" x14ac:dyDescent="0.25">
      <c r="A297" s="234">
        <f>'B) D RI'!A298</f>
        <v>5907</v>
      </c>
      <c r="B297" s="235" t="str">
        <f>'B) D RI'!B298</f>
        <v>Chavannes-le-Chêne</v>
      </c>
      <c r="C297" s="390">
        <v>110868.45204663411</v>
      </c>
      <c r="D297" s="332">
        <f>+Synthèse!F297</f>
        <v>156559.88679271331</v>
      </c>
      <c r="E297" s="246">
        <f t="shared" si="12"/>
        <v>45691.434746079205</v>
      </c>
      <c r="F297" s="246">
        <v>-136500.20371829244</v>
      </c>
      <c r="G297" s="332">
        <f>+Synthèse!G297+Synthèse!H297+Synthèse!I297+Synthèse!J297+Synthèse!K297</f>
        <v>-45253.786707003339</v>
      </c>
      <c r="H297" s="246">
        <f t="shared" si="13"/>
        <v>91246.417011289101</v>
      </c>
      <c r="I297" s="246">
        <v>21760.324583390895</v>
      </c>
      <c r="J297" s="332">
        <f>+'M) Police'!O297</f>
        <v>27943.203604175847</v>
      </c>
      <c r="K297" s="246">
        <f t="shared" si="14"/>
        <v>6182.8790207849524</v>
      </c>
    </row>
    <row r="298" spans="1:11" x14ac:dyDescent="0.25">
      <c r="A298" s="234">
        <f>'B) D RI'!A299</f>
        <v>5908</v>
      </c>
      <c r="B298" s="235" t="str">
        <f>'B) D RI'!B299</f>
        <v>Chêne-Pâquier</v>
      </c>
      <c r="C298" s="390">
        <v>66952.780554570141</v>
      </c>
      <c r="D298" s="332">
        <f>+Synthèse!F298</f>
        <v>48731.722189448061</v>
      </c>
      <c r="E298" s="246">
        <f t="shared" si="12"/>
        <v>-18221.05836512208</v>
      </c>
      <c r="F298" s="246">
        <v>-46916.597566370372</v>
      </c>
      <c r="G298" s="332">
        <f>+Synthèse!G298+Synthèse!H298+Synthèse!I298+Synthèse!J298+Synthèse!K298</f>
        <v>-53430.687022783721</v>
      </c>
      <c r="H298" s="246">
        <f t="shared" si="13"/>
        <v>-6514.0894564133487</v>
      </c>
      <c r="I298" s="246">
        <v>10753.464813459206</v>
      </c>
      <c r="J298" s="332">
        <f>+'M) Police'!O298</f>
        <v>9155.504024236423</v>
      </c>
      <c r="K298" s="246">
        <f t="shared" si="14"/>
        <v>-1597.9607892227832</v>
      </c>
    </row>
    <row r="299" spans="1:11" x14ac:dyDescent="0.25">
      <c r="A299" s="234">
        <f>'B) D RI'!A300</f>
        <v>5909</v>
      </c>
      <c r="B299" s="235" t="str">
        <f>'B) D RI'!B300</f>
        <v>Cheseaux-Noréaz</v>
      </c>
      <c r="C299" s="390">
        <v>620620.66227965732</v>
      </c>
      <c r="D299" s="332">
        <f>+Synthèse!F299</f>
        <v>414904.52900509251</v>
      </c>
      <c r="E299" s="246">
        <f t="shared" si="12"/>
        <v>-205716.13327456481</v>
      </c>
      <c r="F299" s="246">
        <v>419994</v>
      </c>
      <c r="G299" s="332">
        <f>+Synthèse!G299+Synthèse!H299+Synthèse!I299+Synthèse!J299+Synthèse!K299</f>
        <v>180071.36760207184</v>
      </c>
      <c r="H299" s="246">
        <f t="shared" si="13"/>
        <v>-239922.63239792816</v>
      </c>
      <c r="I299" s="246">
        <v>41402.284577430306</v>
      </c>
      <c r="J299" s="332">
        <f>+'M) Police'!O299</f>
        <v>31716.257242257139</v>
      </c>
      <c r="K299" s="246">
        <f t="shared" si="14"/>
        <v>-9686.0273351731666</v>
      </c>
    </row>
    <row r="300" spans="1:11" x14ac:dyDescent="0.25">
      <c r="A300" s="234">
        <f>'B) D RI'!A301</f>
        <v>5910</v>
      </c>
      <c r="B300" s="235" t="str">
        <f>'B) D RI'!B301</f>
        <v>Cronay</v>
      </c>
      <c r="C300" s="390">
        <v>159203.82150357135</v>
      </c>
      <c r="D300" s="332">
        <f>+Synthèse!F300</f>
        <v>166848.45003250497</v>
      </c>
      <c r="E300" s="246">
        <f t="shared" si="12"/>
        <v>7644.6285289336229</v>
      </c>
      <c r="F300" s="246">
        <v>-120536.92201460846</v>
      </c>
      <c r="G300" s="332">
        <f>+Synthèse!G300+Synthèse!H300+Synthèse!I300+Synthèse!J300+Synthèse!K300</f>
        <v>-132815.51597922522</v>
      </c>
      <c r="H300" s="246">
        <f t="shared" si="13"/>
        <v>-12278.593964616768</v>
      </c>
      <c r="I300" s="246">
        <v>30018.574197533591</v>
      </c>
      <c r="J300" s="332">
        <f>+'M) Police'!O300</f>
        <v>31845.992951783592</v>
      </c>
      <c r="K300" s="246">
        <f t="shared" si="14"/>
        <v>1827.4187542500003</v>
      </c>
    </row>
    <row r="301" spans="1:11" x14ac:dyDescent="0.25">
      <c r="A301" s="234">
        <f>'B) D RI'!A302</f>
        <v>5911</v>
      </c>
      <c r="B301" s="235" t="str">
        <f>'B) D RI'!B302</f>
        <v>Cuarny</v>
      </c>
      <c r="C301" s="390">
        <v>111856.46955094305</v>
      </c>
      <c r="D301" s="332">
        <f>+Synthèse!F301</f>
        <v>114566.75144681893</v>
      </c>
      <c r="E301" s="246">
        <f t="shared" si="12"/>
        <v>2710.2818958758871</v>
      </c>
      <c r="F301" s="246">
        <v>-36393.783073014085</v>
      </c>
      <c r="G301" s="332">
        <f>+Synthèse!G301+Synthèse!H301+Synthèse!I301+Synthèse!J301+Synthèse!K301</f>
        <v>-50240.166917119364</v>
      </c>
      <c r="H301" s="246">
        <f t="shared" si="13"/>
        <v>-13846.383844105279</v>
      </c>
      <c r="I301" s="246">
        <v>22264.399129220463</v>
      </c>
      <c r="J301" s="332">
        <f>+'M) Police'!O301</f>
        <v>24647.785683688286</v>
      </c>
      <c r="K301" s="246">
        <f t="shared" si="14"/>
        <v>2383.3865544678229</v>
      </c>
    </row>
    <row r="302" spans="1:11" x14ac:dyDescent="0.25">
      <c r="A302" s="234">
        <f>'B) D RI'!A303</f>
        <v>5912</v>
      </c>
      <c r="B302" s="235" t="str">
        <f>'B) D RI'!B303</f>
        <v>Démoret</v>
      </c>
      <c r="C302" s="390">
        <v>46306.232133669335</v>
      </c>
      <c r="D302" s="332">
        <f>+Synthèse!F302</f>
        <v>45510.398561168382</v>
      </c>
      <c r="E302" s="246">
        <f t="shared" si="12"/>
        <v>-795.83357250095287</v>
      </c>
      <c r="F302" s="246">
        <v>-35657.0870585581</v>
      </c>
      <c r="G302" s="332">
        <f>+Synthèse!G302+Synthèse!H302+Synthèse!I302+Synthèse!J302+Synthèse!K302</f>
        <v>-51206.510886007076</v>
      </c>
      <c r="H302" s="246">
        <f t="shared" si="13"/>
        <v>-15549.423827448976</v>
      </c>
      <c r="I302" s="246">
        <v>10183.454807118429</v>
      </c>
      <c r="J302" s="332">
        <f>+'M) Police'!O302</f>
        <v>8648.9996475069893</v>
      </c>
      <c r="K302" s="246">
        <f t="shared" si="14"/>
        <v>-1534.4551596114397</v>
      </c>
    </row>
    <row r="303" spans="1:11" x14ac:dyDescent="0.25">
      <c r="A303" s="234">
        <f>'B) D RI'!A304</f>
        <v>5913</v>
      </c>
      <c r="B303" s="235" t="str">
        <f>'B) D RI'!B304</f>
        <v>Donneloye</v>
      </c>
      <c r="C303" s="390">
        <v>385292.30578761559</v>
      </c>
      <c r="D303" s="332">
        <f>+Synthèse!F303</f>
        <v>374190.16621333698</v>
      </c>
      <c r="E303" s="246">
        <f t="shared" si="12"/>
        <v>-11102.139574278612</v>
      </c>
      <c r="F303" s="246">
        <v>142814.21844193086</v>
      </c>
      <c r="G303" s="332">
        <f>+Synthèse!G303+Synthèse!H303+Synthèse!I303+Synthèse!J303+Synthèse!K303</f>
        <v>-44390.157824432375</v>
      </c>
      <c r="H303" s="246">
        <f t="shared" si="13"/>
        <v>-187204.37626636325</v>
      </c>
      <c r="I303" s="246">
        <v>75084.372366271797</v>
      </c>
      <c r="J303" s="332">
        <f>+'M) Police'!O303</f>
        <v>66142.573410339653</v>
      </c>
      <c r="K303" s="246">
        <f t="shared" si="14"/>
        <v>-8941.7989559321431</v>
      </c>
    </row>
    <row r="304" spans="1:11" x14ac:dyDescent="0.25">
      <c r="A304" s="234">
        <f>'B) D RI'!A305</f>
        <v>5914</v>
      </c>
      <c r="B304" s="235" t="str">
        <f>'B) D RI'!B305</f>
        <v>Ependes</v>
      </c>
      <c r="C304" s="390">
        <v>133706.1544554462</v>
      </c>
      <c r="D304" s="332">
        <f>+Synthèse!F304</f>
        <v>136679.07411250714</v>
      </c>
      <c r="E304" s="246">
        <f t="shared" si="12"/>
        <v>2972.9196570609347</v>
      </c>
      <c r="F304" s="246">
        <v>-39423.61616150476</v>
      </c>
      <c r="G304" s="332">
        <f>+Synthèse!G304+Synthèse!H304+Synthèse!I304+Synthèse!J304+Synthèse!K304</f>
        <v>-54921.704544100387</v>
      </c>
      <c r="H304" s="246">
        <f t="shared" si="13"/>
        <v>-15498.088382595626</v>
      </c>
      <c r="I304" s="246">
        <v>11768.290062798595</v>
      </c>
      <c r="J304" s="332">
        <f>+'M) Police'!O304</f>
        <v>11316.013918192375</v>
      </c>
      <c r="K304" s="246">
        <f t="shared" si="14"/>
        <v>-452.27614460621953</v>
      </c>
    </row>
    <row r="305" spans="1:11" x14ac:dyDescent="0.25">
      <c r="A305" s="234">
        <f>'B) D RI'!A306</f>
        <v>5915</v>
      </c>
      <c r="B305" s="235" t="str">
        <f>'B) D RI'!B306</f>
        <v>Essert-Pittet</v>
      </c>
      <c r="C305" s="390">
        <v>64810.136188471719</v>
      </c>
      <c r="D305" s="332">
        <f>+Synthèse!F305</f>
        <v>56673.507962618023</v>
      </c>
      <c r="E305" s="246">
        <f t="shared" si="12"/>
        <v>-8136.6282258536958</v>
      </c>
      <c r="F305" s="246">
        <v>-38376.629165472594</v>
      </c>
      <c r="G305" s="332">
        <f>+Synthèse!G305+Synthèse!H305+Synthèse!I305+Synthèse!J305+Synthèse!K305</f>
        <v>-65489.553470667124</v>
      </c>
      <c r="H305" s="246">
        <f t="shared" si="13"/>
        <v>-27112.92430519453</v>
      </c>
      <c r="I305" s="246">
        <v>4682.8350098887568</v>
      </c>
      <c r="J305" s="332">
        <f>+'M) Police'!O305</f>
        <v>4942.7307160937698</v>
      </c>
      <c r="K305" s="246">
        <f t="shared" si="14"/>
        <v>259.89570620501308</v>
      </c>
    </row>
    <row r="306" spans="1:11" x14ac:dyDescent="0.25">
      <c r="A306" s="234">
        <f>'B) D RI'!A307</f>
        <v>5919</v>
      </c>
      <c r="B306" s="235" t="str">
        <f>'B) D RI'!B307</f>
        <v>Mathod</v>
      </c>
      <c r="C306" s="390">
        <v>274591.99443200248</v>
      </c>
      <c r="D306" s="332">
        <f>+Synthèse!F306</f>
        <v>333216.84541399078</v>
      </c>
      <c r="E306" s="246">
        <f t="shared" si="12"/>
        <v>58624.850981988304</v>
      </c>
      <c r="F306" s="246">
        <v>-50550.361814869451</v>
      </c>
      <c r="G306" s="332">
        <f>+Synthèse!G306+Synthèse!H306+Synthèse!I306+Synthèse!J306+Synthèse!K306</f>
        <v>-69020.729219384477</v>
      </c>
      <c r="H306" s="246">
        <f t="shared" si="13"/>
        <v>-18470.367404515026</v>
      </c>
      <c r="I306" s="246">
        <v>19831.522067600858</v>
      </c>
      <c r="J306" s="332">
        <f>+'M) Police'!O306</f>
        <v>21617.659670996247</v>
      </c>
      <c r="K306" s="246">
        <f t="shared" si="14"/>
        <v>1786.1376033953893</v>
      </c>
    </row>
    <row r="307" spans="1:11" x14ac:dyDescent="0.25">
      <c r="A307" s="234">
        <f>'B) D RI'!A308</f>
        <v>5921</v>
      </c>
      <c r="B307" s="235" t="str">
        <f>'B) D RI'!B308</f>
        <v>Molondin</v>
      </c>
      <c r="C307" s="390">
        <v>69963.851206615218</v>
      </c>
      <c r="D307" s="332">
        <f>+Synthèse!F307</f>
        <v>98501.822249687044</v>
      </c>
      <c r="E307" s="246">
        <f t="shared" si="12"/>
        <v>28537.971043071826</v>
      </c>
      <c r="F307" s="246">
        <v>-128987.8444457156</v>
      </c>
      <c r="G307" s="332">
        <f>+Synthèse!G307+Synthèse!H307+Synthèse!I307+Synthèse!J307+Synthèse!K307</f>
        <v>-89810.934236755042</v>
      </c>
      <c r="H307" s="246">
        <f t="shared" si="13"/>
        <v>39176.910208960559</v>
      </c>
      <c r="I307" s="246">
        <v>14968.394401988735</v>
      </c>
      <c r="J307" s="332">
        <f>+'M) Police'!O307</f>
        <v>17387.574289635668</v>
      </c>
      <c r="K307" s="246">
        <f t="shared" si="14"/>
        <v>2419.1798876469329</v>
      </c>
    </row>
    <row r="308" spans="1:11" x14ac:dyDescent="0.25">
      <c r="A308" s="234">
        <f>'B) D RI'!A309</f>
        <v>5922</v>
      </c>
      <c r="B308" s="235" t="str">
        <f>'B) D RI'!B309</f>
        <v>Montagny-près-Yverdon</v>
      </c>
      <c r="C308" s="390">
        <v>887764.00899760227</v>
      </c>
      <c r="D308" s="332">
        <f>+Synthèse!F308</f>
        <v>790375.36283341108</v>
      </c>
      <c r="E308" s="246">
        <f t="shared" si="12"/>
        <v>-97388.646164191188</v>
      </c>
      <c r="F308" s="246">
        <v>678483</v>
      </c>
      <c r="G308" s="332">
        <f>+Synthèse!G308+Synthèse!H308+Synthèse!I308+Synthèse!J308+Synthèse!K308</f>
        <v>624785.34176913579</v>
      </c>
      <c r="H308" s="246">
        <f t="shared" si="13"/>
        <v>-53697.65823086421</v>
      </c>
      <c r="I308" s="246">
        <v>121236.31859883649</v>
      </c>
      <c r="J308" s="332">
        <f>+'M) Police'!O308</f>
        <v>119631.69517153785</v>
      </c>
      <c r="K308" s="246">
        <f t="shared" si="14"/>
        <v>-1604.623427298633</v>
      </c>
    </row>
    <row r="309" spans="1:11" x14ac:dyDescent="0.25">
      <c r="A309" s="234">
        <f>'B) D RI'!A310</f>
        <v>5923</v>
      </c>
      <c r="B309" s="235" t="str">
        <f>'B) D RI'!B310</f>
        <v>Oppens</v>
      </c>
      <c r="C309" s="390">
        <v>74788.493043838404</v>
      </c>
      <c r="D309" s="332">
        <f>+Synthèse!F309</f>
        <v>102604.52512356729</v>
      </c>
      <c r="E309" s="246">
        <f t="shared" si="12"/>
        <v>27816.032079728888</v>
      </c>
      <c r="F309" s="246">
        <v>-42269.076849923644</v>
      </c>
      <c r="G309" s="332">
        <f>+Synthèse!G309+Synthèse!H309+Synthèse!I309+Synthèse!J309+Synthèse!K309</f>
        <v>-46556.407996589885</v>
      </c>
      <c r="H309" s="246">
        <f t="shared" si="13"/>
        <v>-4287.3311466662417</v>
      </c>
      <c r="I309" s="246">
        <v>14440.765593232207</v>
      </c>
      <c r="J309" s="332">
        <f>+'M) Police'!O309</f>
        <v>15451.685437254375</v>
      </c>
      <c r="K309" s="246">
        <f t="shared" si="14"/>
        <v>1010.919844022168</v>
      </c>
    </row>
    <row r="310" spans="1:11" x14ac:dyDescent="0.25">
      <c r="A310" s="234">
        <f>'B) D RI'!A311</f>
        <v>5924</v>
      </c>
      <c r="B310" s="235" t="str">
        <f>'B) D RI'!B311</f>
        <v>Orges</v>
      </c>
      <c r="C310" s="390">
        <v>133999.251092636</v>
      </c>
      <c r="D310" s="332">
        <f>+Synthèse!F310</f>
        <v>158058.02691959252</v>
      </c>
      <c r="E310" s="246">
        <f t="shared" si="12"/>
        <v>24058.775826956524</v>
      </c>
      <c r="F310" s="246">
        <v>24950.721794531593</v>
      </c>
      <c r="G310" s="332">
        <f>+Synthèse!G310+Synthèse!H310+Synthèse!I310+Synthèse!J310+Synthèse!K310</f>
        <v>72692.561357783023</v>
      </c>
      <c r="H310" s="246">
        <f t="shared" si="13"/>
        <v>47741.839563251429</v>
      </c>
      <c r="I310" s="246">
        <v>25009.907312150805</v>
      </c>
      <c r="J310" s="332">
        <f>+'M) Police'!O310</f>
        <v>29946.978353854392</v>
      </c>
      <c r="K310" s="246">
        <f t="shared" si="14"/>
        <v>4937.071041703588</v>
      </c>
    </row>
    <row r="311" spans="1:11" x14ac:dyDescent="0.25">
      <c r="A311" s="234">
        <f>'B) D RI'!A312</f>
        <v>5925</v>
      </c>
      <c r="B311" s="235" t="str">
        <f>'B) D RI'!B312</f>
        <v>Orzens</v>
      </c>
      <c r="C311" s="390">
        <v>74963.334064869341</v>
      </c>
      <c r="D311" s="332">
        <f>+Synthèse!F311</f>
        <v>83564.727578737322</v>
      </c>
      <c r="E311" s="246">
        <f t="shared" si="12"/>
        <v>8601.3935138679808</v>
      </c>
      <c r="F311" s="246">
        <v>-20881.396590027231</v>
      </c>
      <c r="G311" s="332">
        <f>+Synthèse!G311+Synthèse!H311+Synthèse!I311+Synthèse!J311+Synthèse!K311</f>
        <v>-38915.717218821621</v>
      </c>
      <c r="H311" s="246">
        <f t="shared" si="13"/>
        <v>-18034.32062879439</v>
      </c>
      <c r="I311" s="246">
        <v>16304.797161871702</v>
      </c>
      <c r="J311" s="332">
        <f>+'M) Police'!O311</f>
        <v>15269.555692810387</v>
      </c>
      <c r="K311" s="246">
        <f t="shared" si="14"/>
        <v>-1035.241469061315</v>
      </c>
    </row>
    <row r="312" spans="1:11" x14ac:dyDescent="0.25">
      <c r="A312" s="234">
        <f>'B) D RI'!A313</f>
        <v>5926</v>
      </c>
      <c r="B312" s="235" t="str">
        <f>'B) D RI'!B313</f>
        <v>Pomy</v>
      </c>
      <c r="C312" s="390">
        <v>374013.13479355746</v>
      </c>
      <c r="D312" s="332">
        <f>+Synthèse!F312</f>
        <v>405814.40844017087</v>
      </c>
      <c r="E312" s="246">
        <f t="shared" si="12"/>
        <v>31801.273646613408</v>
      </c>
      <c r="F312" s="246">
        <v>113281.85479345487</v>
      </c>
      <c r="G312" s="332">
        <f>+Synthèse!G312+Synthèse!H312+Synthèse!I312+Synthèse!J312+Synthèse!K312</f>
        <v>111002.08109097621</v>
      </c>
      <c r="H312" s="246">
        <f t="shared" si="13"/>
        <v>-2279.773702478662</v>
      </c>
      <c r="I312" s="246">
        <v>29854.948719706801</v>
      </c>
      <c r="J312" s="332">
        <f>+'M) Police'!O312</f>
        <v>29159.757000062466</v>
      </c>
      <c r="K312" s="246">
        <f t="shared" si="14"/>
        <v>-695.19171964433554</v>
      </c>
    </row>
    <row r="313" spans="1:11" x14ac:dyDescent="0.25">
      <c r="A313" s="234">
        <f>'B) D RI'!A314</f>
        <v>5928</v>
      </c>
      <c r="B313" s="235" t="str">
        <f>'B) D RI'!B314</f>
        <v>Rovray</v>
      </c>
      <c r="C313" s="390">
        <v>69753.378082791707</v>
      </c>
      <c r="D313" s="332">
        <f>+Synthèse!F313</f>
        <v>74634.038805688135</v>
      </c>
      <c r="E313" s="246">
        <f t="shared" si="12"/>
        <v>4880.6607228964276</v>
      </c>
      <c r="F313" s="246">
        <v>-23503.868511251276</v>
      </c>
      <c r="G313" s="332">
        <f>+Synthèse!G313+Synthèse!H313+Synthèse!I313+Synthèse!J313+Synthèse!K313</f>
        <v>-11054.631124168467</v>
      </c>
      <c r="H313" s="246">
        <f t="shared" si="13"/>
        <v>12449.237387082809</v>
      </c>
      <c r="I313" s="246">
        <v>13313.715871815255</v>
      </c>
      <c r="J313" s="332">
        <f>+'M) Police'!O313</f>
        <v>14067.52554476311</v>
      </c>
      <c r="K313" s="246">
        <f t="shared" si="14"/>
        <v>753.80967294785478</v>
      </c>
    </row>
    <row r="314" spans="1:11" x14ac:dyDescent="0.25">
      <c r="A314" s="234">
        <f>'B) D RI'!A315</f>
        <v>5929</v>
      </c>
      <c r="B314" s="235" t="str">
        <f>'B) D RI'!B315</f>
        <v>Suchy</v>
      </c>
      <c r="C314" s="390">
        <v>250430.58706818565</v>
      </c>
      <c r="D314" s="332">
        <f>+Synthèse!F314</f>
        <v>271509.15859155904</v>
      </c>
      <c r="E314" s="246">
        <f t="shared" si="12"/>
        <v>21078.571523373394</v>
      </c>
      <c r="F314" s="246">
        <v>101373.48497936522</v>
      </c>
      <c r="G314" s="332">
        <f>+Synthèse!G314+Synthèse!H314+Synthèse!I314+Synthèse!J314+Synthèse!K314</f>
        <v>34477.372196645367</v>
      </c>
      <c r="H314" s="246">
        <f t="shared" si="13"/>
        <v>-66896.112782719865</v>
      </c>
      <c r="I314" s="246">
        <v>21828.819521814265</v>
      </c>
      <c r="J314" s="332">
        <f>+'M) Police'!O314</f>
        <v>21233.432076788416</v>
      </c>
      <c r="K314" s="246">
        <f t="shared" si="14"/>
        <v>-595.38744502584814</v>
      </c>
    </row>
    <row r="315" spans="1:11" x14ac:dyDescent="0.25">
      <c r="A315" s="234">
        <f>'B) D RI'!A316</f>
        <v>5930</v>
      </c>
      <c r="B315" s="235" t="str">
        <f>'B) D RI'!B316</f>
        <v>Suscévaz</v>
      </c>
      <c r="C315" s="390">
        <v>146110.99691195338</v>
      </c>
      <c r="D315" s="332">
        <f>+Synthèse!F315</f>
        <v>84627.737777063303</v>
      </c>
      <c r="E315" s="246">
        <f t="shared" si="12"/>
        <v>-61483.259134890075</v>
      </c>
      <c r="F315" s="246">
        <v>1671.7735353197641</v>
      </c>
      <c r="G315" s="332">
        <f>+Synthèse!G315+Synthèse!H315+Synthèse!I315+Synthèse!J315+Synthèse!K315</f>
        <v>413.31241463631989</v>
      </c>
      <c r="H315" s="246">
        <f t="shared" si="13"/>
        <v>-1258.4611206834443</v>
      </c>
      <c r="I315" s="246">
        <v>6713.5460852343122</v>
      </c>
      <c r="J315" s="332">
        <f>+'M) Police'!O315</f>
        <v>6256.5711137303115</v>
      </c>
      <c r="K315" s="246">
        <f t="shared" si="14"/>
        <v>-456.97497150400068</v>
      </c>
    </row>
    <row r="316" spans="1:11" x14ac:dyDescent="0.25">
      <c r="A316" s="234">
        <f>'B) D RI'!A317</f>
        <v>5931</v>
      </c>
      <c r="B316" s="235" t="str">
        <f>'B) D RI'!B317</f>
        <v>Treycovagnes</v>
      </c>
      <c r="C316" s="390">
        <v>180190.79077412389</v>
      </c>
      <c r="D316" s="332">
        <f>+Synthèse!F316</f>
        <v>254001.31529667889</v>
      </c>
      <c r="E316" s="246">
        <f t="shared" si="12"/>
        <v>73810.524522555002</v>
      </c>
      <c r="F316" s="246">
        <v>-69371.462962495862</v>
      </c>
      <c r="G316" s="332">
        <f>+Synthèse!G316+Synthèse!H316+Synthèse!I316+Synthèse!J316+Synthèse!K316</f>
        <v>181680.97560535531</v>
      </c>
      <c r="H316" s="246">
        <f t="shared" si="13"/>
        <v>251052.43856785118</v>
      </c>
      <c r="I316" s="246">
        <v>15489.381195606275</v>
      </c>
      <c r="J316" s="332">
        <f>+'M) Police'!O316</f>
        <v>20958.133644517715</v>
      </c>
      <c r="K316" s="246">
        <f t="shared" si="14"/>
        <v>5468.7524489114403</v>
      </c>
    </row>
    <row r="317" spans="1:11" x14ac:dyDescent="0.25">
      <c r="A317" s="234">
        <f>'B) D RI'!A318</f>
        <v>5932</v>
      </c>
      <c r="B317" s="235" t="str">
        <f>'B) D RI'!B318</f>
        <v>Ursins</v>
      </c>
      <c r="C317" s="390">
        <v>76348.809400204686</v>
      </c>
      <c r="D317" s="332">
        <f>+Synthèse!F317</f>
        <v>102000.52287775814</v>
      </c>
      <c r="E317" s="246">
        <f t="shared" si="12"/>
        <v>25651.713477553451</v>
      </c>
      <c r="F317" s="246">
        <v>-39787.75329779429</v>
      </c>
      <c r="G317" s="332">
        <f>+Synthèse!G317+Synthèse!H317+Synthèse!I317+Synthèse!J317+Synthèse!K317</f>
        <v>-114899.43240260525</v>
      </c>
      <c r="H317" s="246">
        <f t="shared" si="13"/>
        <v>-75111.679104810959</v>
      </c>
      <c r="I317" s="246">
        <v>16932.075150143257</v>
      </c>
      <c r="J317" s="332">
        <f>+'M) Police'!O317</f>
        <v>20110.528658825657</v>
      </c>
      <c r="K317" s="246">
        <f t="shared" si="14"/>
        <v>3178.4535086823998</v>
      </c>
    </row>
    <row r="318" spans="1:11" x14ac:dyDescent="0.25">
      <c r="A318" s="234">
        <f>'B) D RI'!A319</f>
        <v>5933</v>
      </c>
      <c r="B318" s="235" t="str">
        <f>'B) D RI'!B319</f>
        <v>Valeyres-sous-Montagny</v>
      </c>
      <c r="C318" s="390">
        <v>302423.38029459963</v>
      </c>
      <c r="D318" s="332">
        <f>+Synthèse!F318</f>
        <v>334089.46041869593</v>
      </c>
      <c r="E318" s="246">
        <f t="shared" si="12"/>
        <v>31666.080124096305</v>
      </c>
      <c r="F318" s="246">
        <v>1181.3860320652311</v>
      </c>
      <c r="G318" s="332">
        <f>+Synthèse!G318+Synthèse!H318+Synthèse!I318+Synthèse!J318+Synthèse!K318</f>
        <v>-199730.16044994572</v>
      </c>
      <c r="H318" s="246">
        <f t="shared" si="13"/>
        <v>-200911.54648201095</v>
      </c>
      <c r="I318" s="246">
        <v>63314.9269567109</v>
      </c>
      <c r="J318" s="332">
        <f>+'M) Police'!O318</f>
        <v>61394.124895475441</v>
      </c>
      <c r="K318" s="246">
        <f t="shared" si="14"/>
        <v>-1920.8020612354594</v>
      </c>
    </row>
    <row r="319" spans="1:11" x14ac:dyDescent="0.25">
      <c r="A319" s="234">
        <f>'B) D RI'!A320</f>
        <v>5934</v>
      </c>
      <c r="B319" s="235" t="str">
        <f>'B) D RI'!B320</f>
        <v>Valeyres-sous-Ursins</v>
      </c>
      <c r="C319" s="390">
        <v>90659.693993284469</v>
      </c>
      <c r="D319" s="332">
        <f>+Synthèse!F319</f>
        <v>118602.91121872519</v>
      </c>
      <c r="E319" s="246">
        <f t="shared" si="12"/>
        <v>27943.21722544072</v>
      </c>
      <c r="F319" s="246">
        <v>-51625.121377699019</v>
      </c>
      <c r="G319" s="332">
        <f>+Synthèse!G319+Synthèse!H319+Synthèse!I319+Synthèse!J319+Synthèse!K319</f>
        <v>-6980.9110041976037</v>
      </c>
      <c r="H319" s="246">
        <f t="shared" si="13"/>
        <v>44644.210373501417</v>
      </c>
      <c r="I319" s="246">
        <v>19224.387719801274</v>
      </c>
      <c r="J319" s="332">
        <f>+'M) Police'!O319</f>
        <v>21822.678267275049</v>
      </c>
      <c r="K319" s="246">
        <f t="shared" si="14"/>
        <v>2598.2905474737745</v>
      </c>
    </row>
    <row r="320" spans="1:11" x14ac:dyDescent="0.25">
      <c r="A320" s="234">
        <f>'B) D RI'!A321</f>
        <v>5935</v>
      </c>
      <c r="B320" s="235" t="str">
        <f>'B) D RI'!B321</f>
        <v>Villars-Epeney</v>
      </c>
      <c r="C320" s="390">
        <v>74172.548690808835</v>
      </c>
      <c r="D320" s="332">
        <f>+Synthèse!F320</f>
        <v>72424.528688540682</v>
      </c>
      <c r="E320" s="246">
        <f t="shared" si="12"/>
        <v>-1748.0200022681529</v>
      </c>
      <c r="F320" s="246">
        <v>57803</v>
      </c>
      <c r="G320" s="332">
        <f>+Synthèse!G320+Synthèse!H320+Synthèse!I320+Synthèse!J320+Synthèse!K320</f>
        <v>50714.749952586077</v>
      </c>
      <c r="H320" s="246">
        <f t="shared" si="13"/>
        <v>-7088.2500474139233</v>
      </c>
      <c r="I320" s="246">
        <v>12792.291559621628</v>
      </c>
      <c r="J320" s="332">
        <f>+'M) Police'!O320</f>
        <v>13366.597724998779</v>
      </c>
      <c r="K320" s="246">
        <f t="shared" si="14"/>
        <v>574.30616537715105</v>
      </c>
    </row>
    <row r="321" spans="1:11" x14ac:dyDescent="0.25">
      <c r="A321" s="234">
        <f>'B) D RI'!A322</f>
        <v>5937</v>
      </c>
      <c r="B321" s="235" t="str">
        <f>'B) D RI'!B322</f>
        <v>Vugelles-La Mothe</v>
      </c>
      <c r="C321" s="390">
        <v>42851.42206290234</v>
      </c>
      <c r="D321" s="332">
        <f>+Synthèse!F321</f>
        <v>40660.181834418734</v>
      </c>
      <c r="E321" s="246">
        <f t="shared" si="12"/>
        <v>-2191.2402284836062</v>
      </c>
      <c r="F321" s="246">
        <v>-89876.716132511516</v>
      </c>
      <c r="G321" s="332">
        <f>+Synthèse!G321+Synthèse!H321+Synthèse!I321+Synthèse!J321+Synthèse!K321</f>
        <v>-71251.386409954284</v>
      </c>
      <c r="H321" s="246">
        <f t="shared" si="13"/>
        <v>18625.329722557231</v>
      </c>
      <c r="I321" s="246">
        <v>6547.0006592683067</v>
      </c>
      <c r="J321" s="332">
        <f>+'M) Police'!O321</f>
        <v>7052.3519766940954</v>
      </c>
      <c r="K321" s="246">
        <f t="shared" si="14"/>
        <v>505.35131742578869</v>
      </c>
    </row>
    <row r="322" spans="1:11" x14ac:dyDescent="0.25">
      <c r="A322" s="234">
        <f>'B) D RI'!A323</f>
        <v>5938</v>
      </c>
      <c r="B322" s="235" t="str">
        <f>'B) D RI'!B323</f>
        <v>Yverdon-les-Bains</v>
      </c>
      <c r="C322" s="390">
        <v>14358807.679324441</v>
      </c>
      <c r="D322" s="332">
        <f>+Synthèse!F322</f>
        <v>14901085.042176116</v>
      </c>
      <c r="E322" s="246">
        <f t="shared" si="12"/>
        <v>542277.3628516756</v>
      </c>
      <c r="F322" s="246">
        <v>-25105061.101023786</v>
      </c>
      <c r="G322" s="332">
        <f>+Synthèse!G322+Synthèse!H322+Synthèse!I322+Synthèse!J322+Synthèse!K322</f>
        <v>-26772137.257262524</v>
      </c>
      <c r="H322" s="246">
        <f t="shared" si="13"/>
        <v>-1667076.1562387384</v>
      </c>
      <c r="I322" s="246">
        <v>1021720.5918841782</v>
      </c>
      <c r="J322" s="332">
        <f>+'M) Police'!O322</f>
        <v>1036135.3293408315</v>
      </c>
      <c r="K322" s="246">
        <f t="shared" si="14"/>
        <v>14414.737456653267</v>
      </c>
    </row>
    <row r="323" spans="1:11" x14ac:dyDescent="0.25">
      <c r="A323" s="238">
        <f>'B) D RI'!A324</f>
        <v>5939</v>
      </c>
      <c r="B323" s="235" t="str">
        <f>'B) D RI'!B324</f>
        <v>Yvonand</v>
      </c>
      <c r="C323" s="390">
        <v>1620897.4663936601</v>
      </c>
      <c r="D323" s="332">
        <f>+Synthèse!F323</f>
        <v>1741210.6191769037</v>
      </c>
      <c r="E323" s="246">
        <f t="shared" si="12"/>
        <v>120313.15278324368</v>
      </c>
      <c r="F323" s="246">
        <v>-620011.71236239257</v>
      </c>
      <c r="G323" s="332">
        <f>+Synthèse!G323+Synthèse!H323+Synthèse!I323+Synthèse!J323+Synthèse!K323</f>
        <v>-690424.74847971485</v>
      </c>
      <c r="H323" s="246">
        <f t="shared" si="13"/>
        <v>-70413.036117322277</v>
      </c>
      <c r="I323" s="246">
        <v>261375.05584893125</v>
      </c>
      <c r="J323" s="332">
        <f>+'M) Police'!O323</f>
        <v>276129.07292562089</v>
      </c>
      <c r="K323" s="246">
        <f t="shared" si="14"/>
        <v>14754.017076689634</v>
      </c>
    </row>
    <row r="324" spans="1:11" x14ac:dyDescent="0.25">
      <c r="B324" s="27">
        <f>COUNTA(B6:B323)</f>
        <v>318</v>
      </c>
      <c r="C324" s="502">
        <f>+[1]Synthèse!F324</f>
        <v>703936599.65999973</v>
      </c>
      <c r="D324" s="503">
        <f>+Synthèse!F324</f>
        <v>740601543.0000006</v>
      </c>
      <c r="E324" s="224">
        <f t="shared" ref="E324:H324" si="15">SUM(E6:E323)</f>
        <v>36664943.339999825</v>
      </c>
      <c r="F324" s="504">
        <f>+[1]Synthèse!G324+[1]Synthèse!H324+[1]Synthèse!I324+[1]Synthèse!J324+[1]Synthèse!K324</f>
        <v>450000.91200027458</v>
      </c>
      <c r="G324" s="503">
        <f>+Synthèse!G324+Synthèse!H324+Synthèse!I324+Synthèse!J324+Synthèse!K324</f>
        <v>450000.03649720491</v>
      </c>
      <c r="H324" s="224">
        <f t="shared" si="15"/>
        <v>-1.8755035421345383</v>
      </c>
      <c r="I324" s="504">
        <f>+[1]Synthèse!M324</f>
        <v>64955762.999999993</v>
      </c>
      <c r="J324" s="503">
        <f>+'M) Police'!O324</f>
        <v>64955762.999999955</v>
      </c>
      <c r="K324" s="224">
        <f>J324-I324</f>
        <v>0</v>
      </c>
    </row>
    <row r="325" spans="1:11" x14ac:dyDescent="0.25">
      <c r="I325" s="505">
        <f>+[1]Synthèse!M325</f>
        <v>0</v>
      </c>
      <c r="J325" s="6"/>
    </row>
    <row r="326" spans="1:11" x14ac:dyDescent="0.25">
      <c r="I326" s="505">
        <f>+[1]Synthèse!M326</f>
        <v>0</v>
      </c>
      <c r="J326" s="6"/>
    </row>
    <row r="327" spans="1:11" x14ac:dyDescent="0.25">
      <c r="I327" s="505">
        <f>+[1]Synthèse!M327</f>
        <v>0</v>
      </c>
    </row>
    <row r="328" spans="1:11" x14ac:dyDescent="0.25">
      <c r="I328" s="48"/>
    </row>
  </sheetData>
  <mergeCells count="6">
    <mergeCell ref="A1:E1"/>
    <mergeCell ref="I4:K4"/>
    <mergeCell ref="C4:E4"/>
    <mergeCell ref="F4:H4"/>
    <mergeCell ref="A4:A5"/>
    <mergeCell ref="B4:B5"/>
  </mergeCells>
  <pageMargins left="0.70866141732283472" right="0.70866141732283472" top="0.74803149606299213" bottom="0.74803149606299213" header="0.31496062992125984" footer="0.31496062992125984"/>
  <pageSetup paperSize="9" fitToHeight="11" orientation="landscape" r:id="rId1"/>
  <headerFooter>
    <oddFooter>&amp;LSCL - division finances communales&amp;R&amp;P/&amp;N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1:F68"/>
  <sheetViews>
    <sheetView workbookViewId="0"/>
  </sheetViews>
  <sheetFormatPr baseColWidth="10" defaultColWidth="10.875" defaultRowHeight="15" x14ac:dyDescent="0.25"/>
  <cols>
    <col min="1" max="1" width="3.375" style="247" customWidth="1"/>
    <col min="2" max="2" width="17.125" style="247" customWidth="1"/>
    <col min="3" max="4" width="12.75" style="247" customWidth="1"/>
    <col min="5" max="6" width="12.75" style="300" customWidth="1"/>
    <col min="7" max="16384" width="10.875" style="247"/>
  </cols>
  <sheetData>
    <row r="1" spans="2:6" ht="31.5" x14ac:dyDescent="0.5">
      <c r="B1" s="289" t="s">
        <v>550</v>
      </c>
    </row>
    <row r="3" spans="2:6" s="301" customFormat="1" ht="26.25" x14ac:dyDescent="0.4">
      <c r="B3" s="304"/>
      <c r="C3" s="519" t="s">
        <v>301</v>
      </c>
      <c r="D3" s="519"/>
      <c r="E3" s="519"/>
      <c r="F3" s="302"/>
    </row>
    <row r="6" spans="2:6" ht="18.75" x14ac:dyDescent="0.3">
      <c r="B6" s="518" t="str">
        <f>CONCATENATE("Péréquation, ",Paramètres!B5)</f>
        <v>Péréquation, décompte 2016</v>
      </c>
      <c r="C6" s="518"/>
      <c r="D6" s="518"/>
      <c r="E6" s="518"/>
      <c r="F6" s="518"/>
    </row>
    <row r="7" spans="2:6" s="393" customFormat="1" ht="18.75" x14ac:dyDescent="0.3">
      <c r="B7" s="518" t="str">
        <f>C3</f>
        <v>Bex</v>
      </c>
      <c r="C7" s="518"/>
      <c r="D7" s="518"/>
      <c r="E7" s="518"/>
      <c r="F7" s="518"/>
    </row>
    <row r="8" spans="2:6" s="393" customFormat="1" ht="12.75" x14ac:dyDescent="0.2">
      <c r="B8" s="400" t="str">
        <f>CONCATENATE("Population : ",VLOOKUP($B$7,'A) Base RI'!$B$7:$AN$324,39,FALSE))</f>
        <v>Population : 7424</v>
      </c>
      <c r="C8" s="391"/>
      <c r="D8" s="391"/>
      <c r="E8" s="392"/>
      <c r="F8" s="399" t="str">
        <f>CONCATENATE("N° OFS : ",VLOOKUP($B$7,Paramètres!$A$65:$B$382,2,FALSE))</f>
        <v>N° OFS : 5402</v>
      </c>
    </row>
    <row r="9" spans="2:6" s="393" customFormat="1" ht="12.75" x14ac:dyDescent="0.2">
      <c r="B9" s="400" t="str">
        <f>CONCATENATE("Taux : ",VLOOKUP($B$7,'A) Base RI'!$B$7:$AN$324,38,FALSE))</f>
        <v>Taux : 71</v>
      </c>
      <c r="C9" s="391"/>
      <c r="D9" s="511"/>
      <c r="E9" s="511"/>
      <c r="F9" s="506" t="str">
        <f>CONCATENATE("Point impôt communal : ",ROUND(VLOOKUP(B7,'D) Ecrêtage'!B5:M322,2,FALSE),0))</f>
        <v>Point impôt communal : 168619</v>
      </c>
    </row>
    <row r="10" spans="2:6" s="393" customFormat="1" ht="12.75" x14ac:dyDescent="0.2">
      <c r="B10" s="391"/>
      <c r="C10" s="391"/>
      <c r="D10" s="511"/>
      <c r="E10" s="511"/>
      <c r="F10" s="506" t="str">
        <f>CONCATENATE("Point impôt écrêté : ",ROUND(VLOOKUP(B7,'H) Péréquation directe'!B16:C333,2,FALSE),0))</f>
        <v>Point impôt écrêté : 168619</v>
      </c>
    </row>
    <row r="11" spans="2:6" ht="18" x14ac:dyDescent="0.35">
      <c r="B11" s="346" t="s">
        <v>621</v>
      </c>
      <c r="C11" s="143"/>
      <c r="D11" s="143"/>
      <c r="E11" s="303"/>
      <c r="F11" s="303"/>
    </row>
    <row r="12" spans="2:6" s="393" customFormat="1" ht="12.75" x14ac:dyDescent="0.2">
      <c r="B12" s="391"/>
      <c r="C12" s="391"/>
      <c r="D12" s="391"/>
      <c r="E12" s="392"/>
      <c r="F12" s="392"/>
    </row>
    <row r="13" spans="2:6" s="393" customFormat="1" ht="12.75" x14ac:dyDescent="0.2">
      <c r="B13" s="398" t="s">
        <v>494</v>
      </c>
      <c r="C13" s="391"/>
      <c r="D13" s="391"/>
      <c r="E13" s="392"/>
      <c r="F13" s="392"/>
    </row>
    <row r="14" spans="2:6" s="393" customFormat="1" ht="12.75" x14ac:dyDescent="0.2">
      <c r="B14" s="391" t="s">
        <v>538</v>
      </c>
      <c r="C14" s="391"/>
      <c r="D14" s="391"/>
      <c r="E14" s="394">
        <f>VLOOKUP($C$3,'C) Prél. conj.'!$B$3:$E$400,2,FALSE)*0.5</f>
        <v>551974.75</v>
      </c>
      <c r="F14" s="392"/>
    </row>
    <row r="15" spans="2:6" s="393" customFormat="1" ht="12.75" x14ac:dyDescent="0.2">
      <c r="B15" s="391" t="s">
        <v>227</v>
      </c>
      <c r="C15" s="391"/>
      <c r="D15" s="391"/>
      <c r="E15" s="394">
        <f>VLOOKUP($C$3,'C) Prél. conj.'!$B$3:$E$400,3,FALSE)*0.3</f>
        <v>51780.03</v>
      </c>
      <c r="F15" s="392">
        <f>E14+E15</f>
        <v>603754.78</v>
      </c>
    </row>
    <row r="16" spans="2:6" s="393" customFormat="1" ht="12.75" x14ac:dyDescent="0.2">
      <c r="B16" s="391"/>
      <c r="C16" s="391"/>
      <c r="D16" s="391"/>
      <c r="E16" s="392"/>
      <c r="F16" s="392"/>
    </row>
    <row r="17" spans="2:6" s="393" customFormat="1" ht="12.75" x14ac:dyDescent="0.2">
      <c r="B17" s="398" t="s">
        <v>536</v>
      </c>
      <c r="C17" s="391"/>
      <c r="D17" s="391"/>
      <c r="E17" s="392"/>
      <c r="F17" s="392"/>
    </row>
    <row r="18" spans="2:6" s="393" customFormat="1" ht="12.75" x14ac:dyDescent="0.2">
      <c r="B18" s="391" t="s">
        <v>540</v>
      </c>
      <c r="C18" s="391"/>
      <c r="D18" s="395">
        <f>VLOOKUP($C$3,'D) Ecrêtage'!$B$3:$L$400,10,FALSE)</f>
        <v>0</v>
      </c>
      <c r="E18" s="392"/>
      <c r="F18" s="392">
        <f>VLOOKUP($C$3,'D) Ecrêtage'!$B$3:$L$400,11,FALSE)</f>
        <v>0</v>
      </c>
    </row>
    <row r="19" spans="2:6" s="393" customFormat="1" ht="12.75" x14ac:dyDescent="0.2">
      <c r="B19" s="391"/>
      <c r="C19" s="391"/>
      <c r="D19" s="391"/>
      <c r="E19" s="392"/>
      <c r="F19" s="392"/>
    </row>
    <row r="20" spans="2:6" s="393" customFormat="1" ht="12.75" x14ac:dyDescent="0.2">
      <c r="B20" s="398" t="s">
        <v>539</v>
      </c>
      <c r="C20" s="391"/>
      <c r="D20" s="391"/>
      <c r="E20" s="392"/>
      <c r="F20" s="392"/>
    </row>
    <row r="21" spans="2:6" s="393" customFormat="1" ht="12.75" x14ac:dyDescent="0.2">
      <c r="B21" s="391" t="str">
        <f>CONCATENATE("Nombre de points écrêtés à répartir ",ROUND('E) Fact soc'!D7,2))</f>
        <v>Nombre de points écrêtés à répartir 14.66</v>
      </c>
      <c r="C21" s="391"/>
      <c r="D21" s="391"/>
      <c r="E21" s="392"/>
      <c r="F21" s="392"/>
    </row>
    <row r="22" spans="2:6" s="393" customFormat="1" ht="12.75" x14ac:dyDescent="0.2">
      <c r="B22" s="391" t="s">
        <v>549</v>
      </c>
      <c r="C22" s="391"/>
      <c r="D22" s="391"/>
      <c r="E22" s="392"/>
      <c r="F22" s="392">
        <f>VLOOKUP($C$3,'E) Fact soc'!$B$9:$G$400,5,FALSE)</f>
        <v>2472697.6227602824</v>
      </c>
    </row>
    <row r="23" spans="2:6" s="393" customFormat="1" ht="12.75" x14ac:dyDescent="0.2">
      <c r="B23" s="391"/>
      <c r="C23" s="391"/>
      <c r="D23" s="391"/>
      <c r="E23" s="392"/>
      <c r="F23" s="396"/>
    </row>
    <row r="24" spans="2:6" s="393" customFormat="1" ht="12.75" x14ac:dyDescent="0.2">
      <c r="B24" s="398" t="s">
        <v>541</v>
      </c>
      <c r="C24" s="391"/>
      <c r="D24" s="391"/>
      <c r="E24" s="392"/>
      <c r="F24" s="397">
        <f>F15+F18+F22</f>
        <v>3076452.4027602822</v>
      </c>
    </row>
    <row r="25" spans="2:6" s="393" customFormat="1" ht="12.75" x14ac:dyDescent="0.2">
      <c r="B25" s="391"/>
      <c r="C25" s="391"/>
      <c r="D25" s="391"/>
      <c r="E25" s="392"/>
      <c r="F25" s="392"/>
    </row>
    <row r="26" spans="2:6" ht="18" x14ac:dyDescent="0.35">
      <c r="B26" s="346" t="s">
        <v>622</v>
      </c>
      <c r="C26" s="143"/>
      <c r="D26" s="143"/>
      <c r="E26" s="303"/>
      <c r="F26" s="303"/>
    </row>
    <row r="27" spans="2:6" s="393" customFormat="1" ht="12.75" x14ac:dyDescent="0.2">
      <c r="B27" s="391"/>
      <c r="C27" s="391"/>
      <c r="D27" s="391"/>
      <c r="E27" s="392"/>
      <c r="F27" s="392"/>
    </row>
    <row r="28" spans="2:6" s="393" customFormat="1" ht="12.75" x14ac:dyDescent="0.2">
      <c r="B28" s="398" t="s">
        <v>347</v>
      </c>
      <c r="C28" s="391"/>
      <c r="D28" s="391"/>
      <c r="E28" s="392"/>
      <c r="F28" s="392">
        <f>-VLOOKUP($C$3,'F) Population'!$B$8:$K$400,10,FALSE)</f>
        <v>-3208563.38028169</v>
      </c>
    </row>
    <row r="29" spans="2:6" s="393" customFormat="1" ht="12.75" x14ac:dyDescent="0.2">
      <c r="B29" s="391"/>
      <c r="C29" s="391"/>
      <c r="D29" s="391"/>
      <c r="E29" s="392"/>
      <c r="F29" s="392"/>
    </row>
    <row r="30" spans="2:6" s="393" customFormat="1" ht="12.75" x14ac:dyDescent="0.2">
      <c r="B30" s="398" t="s">
        <v>542</v>
      </c>
      <c r="C30" s="391"/>
      <c r="D30" s="391"/>
      <c r="E30" s="392"/>
      <c r="F30" s="392">
        <f>-VLOOKUP($C$3,'G) Solidarité'!$B$5:$I$400,8,FALSE)</f>
        <v>-3198134.971564176</v>
      </c>
    </row>
    <row r="31" spans="2:6" s="393" customFormat="1" ht="12.75" x14ac:dyDescent="0.2">
      <c r="B31" s="391"/>
      <c r="C31" s="391"/>
      <c r="D31" s="391"/>
      <c r="E31" s="392"/>
      <c r="F31" s="392"/>
    </row>
    <row r="32" spans="2:6" s="393" customFormat="1" ht="12.75" x14ac:dyDescent="0.2">
      <c r="B32" s="398" t="s">
        <v>172</v>
      </c>
      <c r="C32" s="391"/>
      <c r="D32" s="391"/>
      <c r="E32" s="392"/>
      <c r="F32" s="392"/>
    </row>
    <row r="33" spans="2:6" s="393" customFormat="1" ht="12.75" x14ac:dyDescent="0.2">
      <c r="B33" s="391" t="s">
        <v>543</v>
      </c>
      <c r="C33" s="391"/>
      <c r="D33" s="391"/>
      <c r="E33" s="394">
        <f>VLOOKUP($C$3,'I) Dépenses thématiques'!$B$5:$O$400,9,FALSE)</f>
        <v>-1636248.3443220011</v>
      </c>
      <c r="F33" s="392"/>
    </row>
    <row r="34" spans="2:6" s="393" customFormat="1" ht="12.75" x14ac:dyDescent="0.2">
      <c r="B34" s="391" t="s">
        <v>249</v>
      </c>
      <c r="C34" s="391"/>
      <c r="D34" s="391"/>
      <c r="E34" s="394">
        <f>VLOOKUP($C$3,'I) Dépenses thématiques'!$B$5:$O$400,13,FALSE)</f>
        <v>-107949.64339374713</v>
      </c>
      <c r="F34" s="392">
        <f>E33+E34</f>
        <v>-1744197.9877157481</v>
      </c>
    </row>
    <row r="35" spans="2:6" s="393" customFormat="1" ht="12.75" x14ac:dyDescent="0.2">
      <c r="B35" s="391"/>
      <c r="C35" s="391"/>
      <c r="D35" s="391"/>
      <c r="E35" s="392"/>
      <c r="F35" s="392"/>
    </row>
    <row r="36" spans="2:6" s="393" customFormat="1" ht="12.75" x14ac:dyDescent="0.2">
      <c r="B36" s="398" t="s">
        <v>544</v>
      </c>
      <c r="C36" s="391"/>
      <c r="D36" s="391"/>
      <c r="E36" s="392"/>
      <c r="F36" s="392"/>
    </row>
    <row r="37" spans="2:6" s="393" customFormat="1" ht="12.75" x14ac:dyDescent="0.2">
      <c r="B37" s="391" t="s">
        <v>545</v>
      </c>
      <c r="C37" s="391"/>
      <c r="D37" s="391"/>
      <c r="E37" s="394">
        <f>VLOOKUP($C$3,'J) Plafonnement effort'!$B$5:$I$400,8,FALSE)</f>
        <v>0</v>
      </c>
      <c r="F37" s="392"/>
    </row>
    <row r="38" spans="2:6" s="393" customFormat="1" ht="12.75" x14ac:dyDescent="0.2">
      <c r="B38" s="391" t="s">
        <v>546</v>
      </c>
      <c r="C38" s="391"/>
      <c r="D38" s="391"/>
      <c r="E38" s="394">
        <f>VLOOKUP($C$3,'K) Plafonnement aide'!$B$5:$J$400,9,FALSE)</f>
        <v>0</v>
      </c>
      <c r="F38" s="392"/>
    </row>
    <row r="39" spans="2:6" s="393" customFormat="1" ht="12.75" x14ac:dyDescent="0.2">
      <c r="B39" s="391" t="s">
        <v>547</v>
      </c>
      <c r="C39" s="391"/>
      <c r="D39" s="391"/>
      <c r="E39" s="394">
        <f>VLOOKUP($C$3,'L) Plafonnement taux'!$B$6:$Q$400,16,FALSE)</f>
        <v>0</v>
      </c>
      <c r="F39" s="392">
        <f>SUM(E37:E39)</f>
        <v>0</v>
      </c>
    </row>
    <row r="40" spans="2:6" s="393" customFormat="1" ht="12.75" x14ac:dyDescent="0.2">
      <c r="B40" s="391"/>
      <c r="C40" s="391"/>
      <c r="D40" s="391"/>
      <c r="E40" s="392"/>
      <c r="F40" s="392"/>
    </row>
    <row r="41" spans="2:6" s="393" customFormat="1" ht="12.75" x14ac:dyDescent="0.2">
      <c r="B41" s="398" t="s">
        <v>118</v>
      </c>
      <c r="C41" s="391"/>
      <c r="D41" s="391"/>
      <c r="E41" s="392"/>
      <c r="F41" s="392">
        <f>VLOOKUP($C$3,'H) Péréquation directe'!$B$16:$I$400,4,FALSE)</f>
        <v>3129431.7971051065</v>
      </c>
    </row>
    <row r="42" spans="2:6" s="393" customFormat="1" ht="12.75" x14ac:dyDescent="0.2">
      <c r="B42" s="391"/>
      <c r="C42" s="391"/>
      <c r="D42" s="391"/>
      <c r="E42" s="392"/>
      <c r="F42" s="396"/>
    </row>
    <row r="43" spans="2:6" s="393" customFormat="1" ht="12.75" x14ac:dyDescent="0.2">
      <c r="B43" s="398" t="s">
        <v>548</v>
      </c>
      <c r="C43" s="391"/>
      <c r="D43" s="391"/>
      <c r="E43" s="392"/>
      <c r="F43" s="397">
        <f>F28+F30+F34+F39+F41</f>
        <v>-5021464.5424565077</v>
      </c>
    </row>
    <row r="44" spans="2:6" s="393" customFormat="1" ht="12.75" x14ac:dyDescent="0.2">
      <c r="B44" s="391"/>
      <c r="C44" s="391"/>
      <c r="D44" s="391"/>
      <c r="E44" s="392"/>
      <c r="F44" s="392"/>
    </row>
    <row r="45" spans="2:6" ht="18" x14ac:dyDescent="0.35">
      <c r="B45" s="346" t="s">
        <v>623</v>
      </c>
      <c r="C45" s="143"/>
      <c r="D45" s="143"/>
      <c r="E45" s="303"/>
      <c r="F45" s="303"/>
    </row>
    <row r="46" spans="2:6" s="393" customFormat="1" ht="12.75" x14ac:dyDescent="0.2">
      <c r="B46" s="391"/>
      <c r="C46" s="391"/>
      <c r="D46" s="391"/>
      <c r="E46" s="392"/>
      <c r="F46" s="392"/>
    </row>
    <row r="47" spans="2:6" s="393" customFormat="1" ht="12.75" x14ac:dyDescent="0.2">
      <c r="B47" s="391" t="s">
        <v>563</v>
      </c>
      <c r="C47" s="391"/>
      <c r="D47" s="391"/>
      <c r="E47" s="394">
        <f>VLOOKUP($C$3,'M) Police'!$B$6:$N$405,10,FALSE)</f>
        <v>0</v>
      </c>
      <c r="F47" s="392"/>
    </row>
    <row r="48" spans="2:6" s="393" customFormat="1" ht="12.75" x14ac:dyDescent="0.2">
      <c r="B48" s="391" t="s">
        <v>564</v>
      </c>
      <c r="C48" s="391"/>
      <c r="D48" s="391"/>
      <c r="E48" s="394">
        <f>VLOOKUP($C$3,'M) Police'!$B$6:$N$405,13,FALSE)</f>
        <v>215894.7396110773</v>
      </c>
      <c r="F48" s="392">
        <f>E47+E48</f>
        <v>215894.7396110773</v>
      </c>
    </row>
    <row r="49" spans="2:6" s="393" customFormat="1" ht="12.75" x14ac:dyDescent="0.2">
      <c r="B49" s="391"/>
      <c r="C49" s="391"/>
      <c r="D49" s="391"/>
      <c r="E49" s="392"/>
      <c r="F49" s="396"/>
    </row>
    <row r="50" spans="2:6" s="393" customFormat="1" ht="12.75" x14ac:dyDescent="0.2">
      <c r="B50" s="398" t="s">
        <v>570</v>
      </c>
      <c r="C50" s="391"/>
      <c r="D50" s="391"/>
      <c r="E50" s="392"/>
      <c r="F50" s="397">
        <f>F48</f>
        <v>215894.7396110773</v>
      </c>
    </row>
    <row r="51" spans="2:6" s="393" customFormat="1" ht="12.75" x14ac:dyDescent="0.2">
      <c r="B51" s="391"/>
      <c r="C51" s="391"/>
      <c r="D51" s="391"/>
      <c r="E51" s="392"/>
      <c r="F51" s="392"/>
    </row>
    <row r="52" spans="2:6" ht="18" x14ac:dyDescent="0.35">
      <c r="B52" s="346" t="s">
        <v>652</v>
      </c>
      <c r="C52" s="143"/>
      <c r="D52" s="143"/>
      <c r="E52" s="303"/>
      <c r="F52" s="303"/>
    </row>
    <row r="53" spans="2:6" s="393" customFormat="1" ht="12.75" x14ac:dyDescent="0.2">
      <c r="B53" s="391"/>
      <c r="C53" s="391"/>
      <c r="D53" s="391"/>
      <c r="E53" s="392"/>
      <c r="F53" s="392"/>
    </row>
    <row r="54" spans="2:6" s="393" customFormat="1" ht="12.75" x14ac:dyDescent="0.2">
      <c r="B54" s="398" t="s">
        <v>565</v>
      </c>
      <c r="C54" s="391"/>
      <c r="D54" s="391"/>
      <c r="E54" s="392"/>
      <c r="F54" s="397">
        <f>+F50+F43+F24</f>
        <v>-1729117.4000851484</v>
      </c>
    </row>
    <row r="55" spans="2:6" s="393" customFormat="1" ht="12.75" x14ac:dyDescent="0.2">
      <c r="B55" s="391"/>
      <c r="C55" s="391"/>
      <c r="D55" s="391"/>
      <c r="E55" s="392"/>
      <c r="F55" s="392"/>
    </row>
    <row r="56" spans="2:6" ht="18" x14ac:dyDescent="0.35">
      <c r="B56" s="346" t="s">
        <v>637</v>
      </c>
      <c r="C56" s="143"/>
      <c r="D56" s="143"/>
      <c r="E56" s="303"/>
      <c r="F56" s="303"/>
    </row>
    <row r="57" spans="2:6" s="393" customFormat="1" ht="12.75" x14ac:dyDescent="0.2">
      <c r="B57" s="391"/>
      <c r="C57" s="391"/>
      <c r="D57" s="391"/>
      <c r="E57" s="392"/>
      <c r="F57" s="392"/>
    </row>
    <row r="58" spans="2:6" s="393" customFormat="1" ht="25.5" x14ac:dyDescent="0.2">
      <c r="B58" s="391"/>
      <c r="C58" s="444" t="s">
        <v>638</v>
      </c>
      <c r="D58" s="439" t="s">
        <v>117</v>
      </c>
      <c r="E58" s="439" t="s">
        <v>371</v>
      </c>
      <c r="F58" s="440" t="s">
        <v>557</v>
      </c>
    </row>
    <row r="59" spans="2:6" s="393" customFormat="1" ht="12.75" x14ac:dyDescent="0.2">
      <c r="B59" s="441" t="s">
        <v>640</v>
      </c>
      <c r="C59" s="442">
        <f>SUM(D59:F59)</f>
        <v>-1570079.0063709314</v>
      </c>
      <c r="D59" s="435">
        <f>VLOOKUP($C$3,'Acomptes vs Décompte'!$B$6:$D$323,2,FALSE)</f>
        <v>3025899.8811206319</v>
      </c>
      <c r="E59" s="435">
        <f>VLOOKUP($C$3,'Acomptes vs Décompte'!$B$6:$J$323,5,FALSE)</f>
        <v>-4816985.5873405635</v>
      </c>
      <c r="F59" s="436">
        <f>VLOOKUP($C$3,'Acomptes vs Décompte'!$B$6:$J$323,8,FALSE)</f>
        <v>221006.69984900032</v>
      </c>
    </row>
    <row r="60" spans="2:6" s="393" customFormat="1" ht="12.75" x14ac:dyDescent="0.2">
      <c r="B60" s="441" t="s">
        <v>635</v>
      </c>
      <c r="C60" s="443">
        <f>SUM(D60:F60)</f>
        <v>-1729117.4000851482</v>
      </c>
      <c r="D60" s="437">
        <f>VLOOKUP($C$3,'Acomptes vs Décompte'!$B$6:$D$323,3,FALSE)</f>
        <v>3076452.4027602822</v>
      </c>
      <c r="E60" s="437">
        <f>VLOOKUP($C$3,'Acomptes vs Décompte'!$B$6:$J$323,6,FALSE)</f>
        <v>-5021464.5424565077</v>
      </c>
      <c r="F60" s="438">
        <f>VLOOKUP($C$3,'Acomptes vs Décompte'!$B$6:$J$323,9,FALSE)</f>
        <v>215894.7396110773</v>
      </c>
    </row>
    <row r="61" spans="2:6" s="393" customFormat="1" ht="12.75" x14ac:dyDescent="0.2">
      <c r="B61" s="441" t="s">
        <v>636</v>
      </c>
      <c r="C61" s="442">
        <f>SUM(D61:F61)</f>
        <v>-159038.39371421695</v>
      </c>
      <c r="D61" s="442">
        <f>D60-D59</f>
        <v>50552.521639650222</v>
      </c>
      <c r="E61" s="435">
        <f>E60-E59</f>
        <v>-204478.95511594415</v>
      </c>
      <c r="F61" s="436">
        <f>F60-F59</f>
        <v>-5111.96023792302</v>
      </c>
    </row>
    <row r="62" spans="2:6" x14ac:dyDescent="0.25">
      <c r="B62" s="14"/>
      <c r="C62" s="434" t="s">
        <v>639</v>
      </c>
      <c r="D62" s="14"/>
      <c r="E62" s="6"/>
      <c r="F62" s="6"/>
    </row>
    <row r="63" spans="2:6" ht="14.45" customHeight="1" x14ac:dyDescent="0.25">
      <c r="B63" s="520" t="s">
        <v>641</v>
      </c>
      <c r="C63" s="520"/>
      <c r="D63" s="520"/>
      <c r="E63" s="520"/>
      <c r="F63" s="520"/>
    </row>
    <row r="64" spans="2:6" x14ac:dyDescent="0.25">
      <c r="B64" s="520"/>
      <c r="C64" s="520"/>
      <c r="D64" s="520"/>
      <c r="E64" s="520"/>
      <c r="F64" s="520"/>
    </row>
    <row r="65" spans="2:6" x14ac:dyDescent="0.25">
      <c r="B65" s="520"/>
      <c r="C65" s="520"/>
      <c r="D65" s="520"/>
      <c r="E65" s="520"/>
      <c r="F65" s="520"/>
    </row>
    <row r="66" spans="2:6" x14ac:dyDescent="0.25">
      <c r="B66" s="520"/>
      <c r="C66" s="520"/>
      <c r="D66" s="520"/>
      <c r="E66" s="520"/>
      <c r="F66" s="520"/>
    </row>
    <row r="67" spans="2:6" x14ac:dyDescent="0.25">
      <c r="B67" s="520"/>
      <c r="C67" s="520"/>
      <c r="D67" s="520"/>
      <c r="E67" s="520"/>
      <c r="F67" s="520"/>
    </row>
    <row r="68" spans="2:6" x14ac:dyDescent="0.25">
      <c r="B68" s="520"/>
      <c r="C68" s="520"/>
      <c r="D68" s="520"/>
      <c r="E68" s="520"/>
      <c r="F68" s="520"/>
    </row>
  </sheetData>
  <protectedRanges>
    <protectedRange sqref="C3:E3" name="Plage1"/>
  </protectedRanges>
  <mergeCells count="4">
    <mergeCell ref="B6:F6"/>
    <mergeCell ref="B7:F7"/>
    <mergeCell ref="C3:E3"/>
    <mergeCell ref="B63:F68"/>
  </mergeCells>
  <printOptions horizontalCentered="1" verticalCentered="1"/>
  <pageMargins left="0.70866141732283472" right="0.70866141732283472" top="0.35433070866141736" bottom="0.35433070866141736" header="0.31496062992125984" footer="0.31496062992125984"/>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Paramètres!$A$65:$A$382</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1:E74"/>
  <sheetViews>
    <sheetView workbookViewId="0"/>
  </sheetViews>
  <sheetFormatPr baseColWidth="10" defaultColWidth="10.875" defaultRowHeight="15" x14ac:dyDescent="0.25"/>
  <cols>
    <col min="1" max="1" width="3.375" style="339" customWidth="1"/>
    <col min="2" max="2" width="7.75" style="339" customWidth="1"/>
    <col min="3" max="3" width="40.75" style="339" bestFit="1" customWidth="1"/>
    <col min="4" max="4" width="12.5" style="339" customWidth="1"/>
    <col min="5" max="5" width="27.125" style="339" customWidth="1"/>
    <col min="6" max="16384" width="10.875" style="339"/>
  </cols>
  <sheetData>
    <row r="1" spans="2:5" ht="31.5" x14ac:dyDescent="0.5">
      <c r="B1" s="359" t="s">
        <v>550</v>
      </c>
      <c r="E1" s="488"/>
    </row>
    <row r="3" spans="2:5" s="341" customFormat="1" ht="26.25" x14ac:dyDescent="0.4">
      <c r="B3" s="340"/>
      <c r="C3" s="521" t="s">
        <v>301</v>
      </c>
      <c r="D3" s="521"/>
      <c r="E3" s="339"/>
    </row>
    <row r="6" spans="2:5" ht="23.25" x14ac:dyDescent="0.35">
      <c r="B6" s="522" t="s">
        <v>645</v>
      </c>
      <c r="C6" s="522"/>
      <c r="D6" s="522"/>
      <c r="E6" s="522"/>
    </row>
    <row r="7" spans="2:5" ht="23.25" x14ac:dyDescent="0.35">
      <c r="B7" s="522" t="str">
        <f>C3</f>
        <v>Bex</v>
      </c>
      <c r="C7" s="522"/>
      <c r="D7" s="522"/>
      <c r="E7" s="522"/>
    </row>
    <row r="8" spans="2:5" s="345" customFormat="1" ht="12.75" x14ac:dyDescent="0.2">
      <c r="B8" s="342"/>
      <c r="C8" s="343"/>
      <c r="D8" s="344"/>
      <c r="E8" s="399" t="str">
        <f>CONCATENATE("N° OFS : ",VLOOKUP($B$7,Paramètres!$A$65:$B$382,2,FALSE))</f>
        <v>N° OFS : 5402</v>
      </c>
    </row>
    <row r="9" spans="2:5" ht="18" x14ac:dyDescent="0.35">
      <c r="B9" s="346" t="s">
        <v>573</v>
      </c>
      <c r="C9" s="143"/>
      <c r="D9" s="347" t="s">
        <v>517</v>
      </c>
      <c r="E9" s="347" t="s">
        <v>574</v>
      </c>
    </row>
    <row r="10" spans="2:5" s="345" customFormat="1" ht="3.75" customHeight="1" x14ac:dyDescent="0.2">
      <c r="B10" s="344"/>
      <c r="C10" s="344"/>
      <c r="D10" s="344"/>
      <c r="E10" s="344"/>
    </row>
    <row r="11" spans="2:5" s="366" customFormat="1" ht="12.75" x14ac:dyDescent="0.2">
      <c r="B11" s="362">
        <v>4001</v>
      </c>
      <c r="C11" s="363" t="s">
        <v>575</v>
      </c>
      <c r="D11" s="364">
        <f>VLOOKUP($B$7,'A) Base RI'!$B$7:$AR$324,2,FALSE)</f>
        <v>8104227.7199999997</v>
      </c>
      <c r="E11" s="365"/>
    </row>
    <row r="12" spans="2:5" s="366" customFormat="1" ht="12.75" x14ac:dyDescent="0.2">
      <c r="B12" s="362">
        <v>4002</v>
      </c>
      <c r="C12" s="363" t="s">
        <v>576</v>
      </c>
      <c r="D12" s="364">
        <f>VLOOKUP($B$7,'A) Base RI'!$B$7:$AR$324,3,FALSE)</f>
        <v>1082959.74</v>
      </c>
      <c r="E12" s="381"/>
    </row>
    <row r="13" spans="2:5" s="366" customFormat="1" ht="12.75" x14ac:dyDescent="0.2">
      <c r="B13" s="362"/>
      <c r="C13" s="363" t="s">
        <v>294</v>
      </c>
      <c r="D13" s="364">
        <f>VLOOKUP($B$7,'A) Base RI'!$B$7:$AR$324,4,FALSE)</f>
        <v>0</v>
      </c>
      <c r="E13" s="365"/>
    </row>
    <row r="14" spans="2:5" s="366" customFormat="1" ht="12.75" x14ac:dyDescent="0.2">
      <c r="B14" s="362">
        <v>4005</v>
      </c>
      <c r="C14" s="363" t="s">
        <v>577</v>
      </c>
      <c r="D14" s="364">
        <f>VLOOKUP($B$7,'A) Base RI'!$B$7:$AR$324,5,FALSE)</f>
        <v>0</v>
      </c>
      <c r="E14" s="365"/>
    </row>
    <row r="15" spans="2:5" s="366" customFormat="1" ht="12.75" x14ac:dyDescent="0.2">
      <c r="B15" s="362">
        <v>4011</v>
      </c>
      <c r="C15" s="363" t="s">
        <v>578</v>
      </c>
      <c r="D15" s="364">
        <f>VLOOKUP($B$7,'A) Base RI'!$B$7:$AR$324,6,FALSE)</f>
        <v>1206207.6000000001</v>
      </c>
      <c r="E15" s="365"/>
    </row>
    <row r="16" spans="2:5" s="366" customFormat="1" ht="12.75" x14ac:dyDescent="0.2">
      <c r="B16" s="362">
        <v>4012</v>
      </c>
      <c r="C16" s="363" t="s">
        <v>579</v>
      </c>
      <c r="D16" s="364">
        <f>VLOOKUP($B$7,'A) Base RI'!$B$7:$AR$324,7,FALSE)</f>
        <v>78794.2</v>
      </c>
      <c r="E16" s="365"/>
    </row>
    <row r="17" spans="2:5" s="366" customFormat="1" ht="12.75" x14ac:dyDescent="0.2">
      <c r="B17" s="362">
        <v>4004</v>
      </c>
      <c r="C17" s="363" t="s">
        <v>580</v>
      </c>
      <c r="D17" s="364">
        <f>VLOOKUP($B$7,'A) Base RI'!$B$7:$AR$324,8,FALSE)</f>
        <v>17800.599999999999</v>
      </c>
      <c r="E17" s="365"/>
    </row>
    <row r="18" spans="2:5" s="366" customFormat="1" ht="12.75" x14ac:dyDescent="0.2">
      <c r="B18" s="362">
        <v>4003</v>
      </c>
      <c r="C18" s="363" t="s">
        <v>427</v>
      </c>
      <c r="D18" s="364">
        <f>VLOOKUP($B$7,'A) Base RI'!$B$7:$AR$324,9,FALSE)</f>
        <v>514724.49</v>
      </c>
      <c r="E18" s="365"/>
    </row>
    <row r="19" spans="2:5" s="366" customFormat="1" ht="12.75" x14ac:dyDescent="0.2">
      <c r="B19" s="362">
        <v>4013</v>
      </c>
      <c r="C19" s="363" t="s">
        <v>581</v>
      </c>
      <c r="D19" s="364">
        <f>VLOOKUP($B$7,'A) Base RI'!$B$7:$AR$324,10,FALSE)</f>
        <v>70857</v>
      </c>
      <c r="E19" s="365"/>
    </row>
    <row r="20" spans="2:5" s="366" customFormat="1" ht="12.75" x14ac:dyDescent="0.2">
      <c r="B20" s="362">
        <v>4020</v>
      </c>
      <c r="C20" s="363" t="s">
        <v>609</v>
      </c>
      <c r="D20" s="367">
        <f>VLOOKUP($B$7,'A) Base RI'!$B$7:$AR$324,11,FALSE)</f>
        <v>1428011.4</v>
      </c>
      <c r="E20" s="365"/>
    </row>
    <row r="21" spans="2:5" s="366" customFormat="1" ht="12.75" x14ac:dyDescent="0.2">
      <c r="B21" s="362"/>
      <c r="C21" s="368" t="s">
        <v>582</v>
      </c>
      <c r="D21" s="369">
        <f>SUM(D11:D20)</f>
        <v>12503582.749999998</v>
      </c>
      <c r="E21" s="369"/>
    </row>
    <row r="22" spans="2:5" s="366" customFormat="1" ht="7.15" customHeight="1" x14ac:dyDescent="0.2">
      <c r="B22" s="362"/>
      <c r="C22" s="363"/>
      <c r="D22" s="370"/>
      <c r="E22" s="370"/>
    </row>
    <row r="23" spans="2:5" s="366" customFormat="1" ht="12.75" x14ac:dyDescent="0.2">
      <c r="B23" s="362" t="s">
        <v>583</v>
      </c>
      <c r="C23" s="363" t="s">
        <v>584</v>
      </c>
      <c r="D23" s="364">
        <f>VLOOKUP($B$7,'A) Base RI'!$B$7:$AR$324,13,FALSE)</f>
        <v>172600.1</v>
      </c>
      <c r="E23" s="365"/>
    </row>
    <row r="24" spans="2:5" s="366" customFormat="1" ht="12.75" x14ac:dyDescent="0.2">
      <c r="B24" s="362">
        <v>4050</v>
      </c>
      <c r="C24" s="363" t="s">
        <v>585</v>
      </c>
      <c r="D24" s="364">
        <f>VLOOKUP($B$7,'A) Base RI'!$B$7:$AR$324,14,FALSE)</f>
        <v>289455.40000000002</v>
      </c>
      <c r="E24" s="365"/>
    </row>
    <row r="25" spans="2:5" s="366" customFormat="1" ht="12.75" x14ac:dyDescent="0.2">
      <c r="B25" s="362">
        <v>4040</v>
      </c>
      <c r="C25" s="363" t="s">
        <v>229</v>
      </c>
      <c r="D25" s="364">
        <f>VLOOKUP($B$7,'A) Base RI'!$B$7:$AR$324,15,FALSE)</f>
        <v>510571.55</v>
      </c>
      <c r="E25" s="365"/>
    </row>
    <row r="26" spans="2:5" s="366" customFormat="1" ht="12.75" x14ac:dyDescent="0.2">
      <c r="B26" s="362">
        <v>4090</v>
      </c>
      <c r="C26" s="363" t="s">
        <v>462</v>
      </c>
      <c r="D26" s="364">
        <f>VLOOKUP($B$7,'A) Base RI'!$B$7:$AR$324,16,FALSE)</f>
        <v>126012.32</v>
      </c>
      <c r="E26" s="365"/>
    </row>
    <row r="27" spans="2:5" s="366" customFormat="1" ht="12.75" x14ac:dyDescent="0.2">
      <c r="B27" s="362">
        <v>4411</v>
      </c>
      <c r="C27" s="363" t="s">
        <v>586</v>
      </c>
      <c r="D27" s="364">
        <f>VLOOKUP($B$7,'A) Base RI'!$B$7:$AR$324,17,FALSE)</f>
        <v>303922.55</v>
      </c>
      <c r="E27" s="365"/>
    </row>
    <row r="28" spans="2:5" s="366" customFormat="1" ht="12.75" x14ac:dyDescent="0.2">
      <c r="B28" s="362">
        <v>4100</v>
      </c>
      <c r="C28" s="363" t="s">
        <v>463</v>
      </c>
      <c r="D28" s="364">
        <f>VLOOKUP($B$7,'A) Base RI'!$B$7:$AR$324,18,FALSE)</f>
        <v>3250</v>
      </c>
      <c r="E28" s="365"/>
    </row>
    <row r="29" spans="2:5" s="366" customFormat="1" ht="12.75" x14ac:dyDescent="0.2">
      <c r="B29" s="362">
        <v>4103</v>
      </c>
      <c r="C29" s="363" t="s">
        <v>464</v>
      </c>
      <c r="D29" s="364">
        <f>VLOOKUP($B$7,'A) Base RI'!$B$7:$AR$324,19,FALSE)</f>
        <v>37003.449999999997</v>
      </c>
      <c r="E29" s="365"/>
    </row>
    <row r="30" spans="2:5" s="366" customFormat="1" ht="12.75" x14ac:dyDescent="0.2">
      <c r="B30" s="362">
        <v>4061</v>
      </c>
      <c r="C30" s="363" t="s">
        <v>587</v>
      </c>
      <c r="D30" s="364">
        <f>VLOOKUP($B$7,'A) Base RI'!$B$7:$AR$324,20,FALSE)</f>
        <v>40225</v>
      </c>
      <c r="E30" s="365"/>
    </row>
    <row r="31" spans="2:5" s="366" customFormat="1" ht="12.75" x14ac:dyDescent="0.2">
      <c r="B31" s="362">
        <v>4062</v>
      </c>
      <c r="C31" s="363" t="s">
        <v>588</v>
      </c>
      <c r="D31" s="364">
        <f>VLOOKUP($B$7,'A) Base RI'!$B$7:$AR$324,21,FALSE)</f>
        <v>99757.6</v>
      </c>
      <c r="E31" s="365"/>
    </row>
    <row r="32" spans="2:5" s="366" customFormat="1" ht="12.75" x14ac:dyDescent="0.2">
      <c r="B32" s="362">
        <v>406</v>
      </c>
      <c r="C32" s="363" t="s">
        <v>589</v>
      </c>
      <c r="D32" s="367">
        <f>VLOOKUP($B$7,'A) Base RI'!$B$7:$AR$324,22,FALSE)</f>
        <v>1476</v>
      </c>
      <c r="E32" s="365"/>
    </row>
    <row r="33" spans="2:5" s="366" customFormat="1" ht="12.75" x14ac:dyDescent="0.2">
      <c r="B33" s="362"/>
      <c r="C33" s="368" t="s">
        <v>226</v>
      </c>
      <c r="D33" s="369">
        <f>SUM(D23:D32)</f>
        <v>1584273.9700000002</v>
      </c>
      <c r="E33" s="369"/>
    </row>
    <row r="34" spans="2:5" s="366" customFormat="1" ht="12.75" x14ac:dyDescent="0.2">
      <c r="B34" s="362"/>
      <c r="C34" s="368" t="s">
        <v>590</v>
      </c>
      <c r="D34" s="369">
        <f>D21+D33</f>
        <v>14087856.719999999</v>
      </c>
      <c r="E34" s="369"/>
    </row>
    <row r="35" spans="2:5" s="366" customFormat="1" ht="6" customHeight="1" x14ac:dyDescent="0.2">
      <c r="B35" s="362"/>
      <c r="C35" s="363"/>
      <c r="D35" s="364"/>
      <c r="E35" s="364"/>
    </row>
    <row r="36" spans="2:5" s="374" customFormat="1" ht="18" x14ac:dyDescent="0.2">
      <c r="B36" s="371" t="s">
        <v>591</v>
      </c>
      <c r="C36" s="372"/>
      <c r="D36" s="373" t="s">
        <v>517</v>
      </c>
      <c r="E36" s="373" t="s">
        <v>574</v>
      </c>
    </row>
    <row r="37" spans="2:5" s="366" customFormat="1" ht="6" customHeight="1" x14ac:dyDescent="0.2">
      <c r="B37" s="375"/>
      <c r="C37" s="368"/>
      <c r="D37" s="364"/>
      <c r="E37" s="364"/>
    </row>
    <row r="38" spans="2:5" s="366" customFormat="1" ht="12.75" x14ac:dyDescent="0.2">
      <c r="B38" s="362">
        <v>4341</v>
      </c>
      <c r="C38" s="363" t="s">
        <v>592</v>
      </c>
      <c r="D38" s="364">
        <f>VLOOKUP($B$7,'A) Base RI'!$B$7:$AR$324,24,FALSE)</f>
        <v>17120.5</v>
      </c>
      <c r="E38" s="365"/>
    </row>
    <row r="39" spans="2:5" s="366" customFormat="1" ht="12.75" x14ac:dyDescent="0.2">
      <c r="B39" s="362">
        <v>4341</v>
      </c>
      <c r="C39" s="363" t="s">
        <v>593</v>
      </c>
      <c r="D39" s="364">
        <f>VLOOKUP($B$7,'A) Base RI'!$B$7:$AR$324,25,FALSE)</f>
        <v>70495.100000000006</v>
      </c>
      <c r="E39" s="365"/>
    </row>
    <row r="40" spans="2:5" s="366" customFormat="1" ht="12.75" x14ac:dyDescent="0.2">
      <c r="B40" s="362">
        <v>4342</v>
      </c>
      <c r="C40" s="363" t="s">
        <v>594</v>
      </c>
      <c r="D40" s="364">
        <f>VLOOKUP($B$7,'A) Base RI'!$B$7:$AR$324,26,FALSE)</f>
        <v>1920824</v>
      </c>
      <c r="E40" s="365"/>
    </row>
    <row r="41" spans="2:5" s="366" customFormat="1" ht="12.75" x14ac:dyDescent="0.2">
      <c r="B41" s="362">
        <v>4342</v>
      </c>
      <c r="C41" s="363" t="s">
        <v>468</v>
      </c>
      <c r="D41" s="364">
        <f>VLOOKUP($B$7,'A) Base RI'!$B$7:$AR$324,27,FALSE)</f>
        <v>0</v>
      </c>
      <c r="E41" s="365"/>
    </row>
    <row r="42" spans="2:5" s="366" customFormat="1" ht="12.75" x14ac:dyDescent="0.2">
      <c r="B42" s="362">
        <v>4342</v>
      </c>
      <c r="C42" s="363" t="s">
        <v>595</v>
      </c>
      <c r="D42" s="364">
        <f>VLOOKUP($B$7,'A) Base RI'!$B$7:$AR$324,28,FALSE)</f>
        <v>855735.46</v>
      </c>
      <c r="E42" s="365"/>
    </row>
    <row r="43" spans="2:5" s="366" customFormat="1" ht="12.75" x14ac:dyDescent="0.2">
      <c r="B43" s="362">
        <v>4341</v>
      </c>
      <c r="C43" s="363" t="s">
        <v>596</v>
      </c>
      <c r="D43" s="364">
        <f>VLOOKUP($B$7,'A) Base RI'!$B$7:$AR$324,29,FALSE)</f>
        <v>83236.95</v>
      </c>
      <c r="E43" s="365"/>
    </row>
    <row r="44" spans="2:5" s="366" customFormat="1" ht="12.75" x14ac:dyDescent="0.2">
      <c r="B44" s="362">
        <v>4341</v>
      </c>
      <c r="C44" s="363" t="s">
        <v>597</v>
      </c>
      <c r="D44" s="364">
        <f>VLOOKUP($B$7,'A) Base RI'!$B$7:$AR$324,30,FALSE)</f>
        <v>0</v>
      </c>
      <c r="E44" s="365"/>
    </row>
    <row r="45" spans="2:5" s="366" customFormat="1" ht="12.75" x14ac:dyDescent="0.2">
      <c r="B45" s="362">
        <v>4301</v>
      </c>
      <c r="C45" s="363" t="s">
        <v>598</v>
      </c>
      <c r="D45" s="364">
        <f>VLOOKUP($B$7,'A) Base RI'!$B$7:$AR$324,31,FALSE)</f>
        <v>0</v>
      </c>
      <c r="E45" s="365"/>
    </row>
    <row r="46" spans="2:5" s="366" customFormat="1" ht="12.75" x14ac:dyDescent="0.2">
      <c r="B46" s="362">
        <v>4066</v>
      </c>
      <c r="C46" s="363" t="s">
        <v>89</v>
      </c>
      <c r="D46" s="364">
        <f>VLOOKUP($B$7,'A) Base RI'!$B$7:$AR$324,32,FALSE)</f>
        <v>89262.7</v>
      </c>
      <c r="E46" s="365"/>
    </row>
    <row r="47" spans="2:5" s="366" customFormat="1" ht="12.75" x14ac:dyDescent="0.2">
      <c r="B47" s="362">
        <v>434</v>
      </c>
      <c r="C47" s="363" t="s">
        <v>469</v>
      </c>
      <c r="D47" s="364">
        <f>VLOOKUP($B$7,'A) Base RI'!$B$7:$AR$324,33,FALSE)</f>
        <v>234715.7</v>
      </c>
      <c r="E47" s="365"/>
    </row>
    <row r="48" spans="2:5" s="366" customFormat="1" ht="12.75" x14ac:dyDescent="0.2">
      <c r="B48" s="362">
        <v>434</v>
      </c>
      <c r="C48" s="363" t="s">
        <v>599</v>
      </c>
      <c r="D48" s="364">
        <f>VLOOKUP($B$7,'A) Base RI'!$B$7:$AR$324,34,FALSE)</f>
        <v>0</v>
      </c>
      <c r="E48" s="365"/>
    </row>
    <row r="49" spans="2:5" s="366" customFormat="1" ht="12.75" x14ac:dyDescent="0.2">
      <c r="B49" s="362">
        <v>434</v>
      </c>
      <c r="C49" s="363" t="s">
        <v>471</v>
      </c>
      <c r="D49" s="364">
        <f>VLOOKUP($B$7,'A) Base RI'!$B$7:$AR$324,35,FALSE)</f>
        <v>0</v>
      </c>
      <c r="E49" s="365"/>
    </row>
    <row r="50" spans="2:5" s="366" customFormat="1" ht="12.75" x14ac:dyDescent="0.2">
      <c r="B50" s="362">
        <v>434</v>
      </c>
      <c r="C50" s="363" t="s">
        <v>472</v>
      </c>
      <c r="D50" s="367">
        <f>VLOOKUP($B$7,'A) Base RI'!$B$7:$AR$324,36,FALSE)</f>
        <v>0</v>
      </c>
      <c r="E50" s="365"/>
    </row>
    <row r="51" spans="2:5" s="366" customFormat="1" ht="12.75" x14ac:dyDescent="0.2">
      <c r="B51" s="362"/>
      <c r="C51" s="368" t="s">
        <v>600</v>
      </c>
      <c r="D51" s="369">
        <f>SUM(D38:D50)</f>
        <v>3271390.4100000006</v>
      </c>
      <c r="E51" s="369"/>
    </row>
    <row r="52" spans="2:5" s="366" customFormat="1" ht="7.15" customHeight="1" x14ac:dyDescent="0.2">
      <c r="B52" s="362"/>
      <c r="C52" s="368"/>
      <c r="D52" s="364"/>
      <c r="E52" s="364"/>
    </row>
    <row r="53" spans="2:5" s="366" customFormat="1" ht="12.75" x14ac:dyDescent="0.2">
      <c r="B53" s="362" t="s">
        <v>601</v>
      </c>
      <c r="C53" s="363" t="s">
        <v>602</v>
      </c>
      <c r="D53" s="364">
        <f>VLOOKUP($B$7,'A) Base RI'!$B$7:$AR$324,40,FALSE)</f>
        <v>-371426.74</v>
      </c>
      <c r="E53" s="365"/>
    </row>
    <row r="54" spans="2:5" s="366" customFormat="1" ht="12.75" x14ac:dyDescent="0.2">
      <c r="B54" s="362"/>
      <c r="C54" s="363" t="s">
        <v>603</v>
      </c>
      <c r="D54" s="364">
        <f>VLOOKUP($B$7,'A) Base RI'!$B$7:$AR$324,41,FALSE)</f>
        <v>0</v>
      </c>
      <c r="E54" s="365"/>
    </row>
    <row r="55" spans="2:5" s="366" customFormat="1" ht="12.75" x14ac:dyDescent="0.2">
      <c r="B55" s="362"/>
      <c r="C55" s="363" t="s">
        <v>283</v>
      </c>
      <c r="D55" s="364">
        <f>VLOOKUP($B$7,'A) Base RI'!$B$7:$AR$324,42,FALSE)</f>
        <v>-641.79</v>
      </c>
      <c r="E55" s="365"/>
    </row>
    <row r="56" spans="2:5" s="366" customFormat="1" ht="6" customHeight="1" x14ac:dyDescent="0.2">
      <c r="B56" s="362"/>
      <c r="C56" s="363"/>
      <c r="D56" s="364"/>
      <c r="E56" s="364"/>
    </row>
    <row r="57" spans="2:5" s="374" customFormat="1" ht="18" x14ac:dyDescent="0.2">
      <c r="B57" s="371" t="s">
        <v>608</v>
      </c>
      <c r="C57" s="372"/>
      <c r="D57" s="376"/>
      <c r="E57" s="376"/>
    </row>
    <row r="58" spans="2:5" s="366" customFormat="1" ht="6" customHeight="1" x14ac:dyDescent="0.2">
      <c r="B58" s="377"/>
      <c r="C58" s="378"/>
      <c r="D58" s="364"/>
      <c r="E58" s="364"/>
    </row>
    <row r="59" spans="2:5" s="366" customFormat="1" ht="13.9" customHeight="1" x14ac:dyDescent="0.2">
      <c r="B59" s="379"/>
      <c r="C59" s="379" t="s">
        <v>646</v>
      </c>
      <c r="D59" s="364">
        <f>VLOOKUP($B$7,'A) Base RI'!$B$7:$AR$324,38,FALSE)</f>
        <v>71</v>
      </c>
      <c r="E59" s="365"/>
    </row>
    <row r="60" spans="2:5" s="366" customFormat="1" ht="13.9" customHeight="1" x14ac:dyDescent="0.2">
      <c r="B60" s="379"/>
      <c r="C60" s="379" t="s">
        <v>647</v>
      </c>
      <c r="D60" s="364">
        <f>VLOOKUP($B$7,'A) Base RI'!$B$7:$AR$324,43,FALSE)</f>
        <v>1.25</v>
      </c>
      <c r="E60" s="365"/>
    </row>
    <row r="61" spans="2:5" s="366" customFormat="1" ht="13.9" customHeight="1" x14ac:dyDescent="0.2">
      <c r="B61" s="379"/>
      <c r="C61" s="379" t="s">
        <v>648</v>
      </c>
      <c r="D61" s="380">
        <f>VLOOKUP($B$7,'A) Base RI'!$B$7:$AR$324,39,FALSE)</f>
        <v>7424</v>
      </c>
      <c r="E61" s="365"/>
    </row>
    <row r="62" spans="2:5" s="360" customFormat="1" ht="6" customHeight="1" x14ac:dyDescent="0.2">
      <c r="B62" s="361"/>
      <c r="C62" s="361"/>
      <c r="D62" s="361"/>
      <c r="E62" s="361"/>
    </row>
    <row r="63" spans="2:5" ht="18" x14ac:dyDescent="0.35">
      <c r="B63" s="346"/>
      <c r="C63" s="349"/>
      <c r="D63" s="350"/>
      <c r="E63" s="350"/>
    </row>
    <row r="64" spans="2:5" s="360" customFormat="1" ht="6" customHeight="1" x14ac:dyDescent="0.2">
      <c r="B64" s="361"/>
      <c r="C64" s="361"/>
      <c r="D64" s="361"/>
      <c r="E64" s="361"/>
    </row>
    <row r="65" spans="2:5" ht="45.6" customHeight="1" x14ac:dyDescent="0.25">
      <c r="B65" s="523" t="s">
        <v>649</v>
      </c>
      <c r="C65" s="523"/>
      <c r="D65" s="523"/>
      <c r="E65" s="523"/>
    </row>
    <row r="66" spans="2:5" x14ac:dyDescent="0.25">
      <c r="B66" s="524" t="str">
        <f>CONCATENATE(B7,", le")</f>
        <v>Bex, le</v>
      </c>
      <c r="C66" s="524"/>
      <c r="D66" s="348"/>
      <c r="E66" s="348"/>
    </row>
    <row r="67" spans="2:5" x14ac:dyDescent="0.25">
      <c r="B67" s="353">
        <f ca="1">TODAY()</f>
        <v>41468</v>
      </c>
      <c r="C67" s="352"/>
      <c r="D67" s="348"/>
      <c r="E67" s="348"/>
    </row>
    <row r="68" spans="2:5" x14ac:dyDescent="0.25">
      <c r="B68" s="353"/>
      <c r="C68" s="352"/>
      <c r="D68" s="348"/>
      <c r="E68" s="348"/>
    </row>
    <row r="69" spans="2:5" x14ac:dyDescent="0.25">
      <c r="B69" s="352" t="s">
        <v>604</v>
      </c>
      <c r="C69" s="352"/>
      <c r="D69" s="348"/>
      <c r="E69" s="354" t="s">
        <v>605</v>
      </c>
    </row>
    <row r="70" spans="2:5" x14ac:dyDescent="0.25">
      <c r="B70" s="351"/>
      <c r="C70" s="352"/>
      <c r="D70" s="348"/>
      <c r="E70" s="348"/>
    </row>
    <row r="71" spans="2:5" x14ac:dyDescent="0.25">
      <c r="B71" s="355"/>
      <c r="C71" s="356"/>
      <c r="D71" s="357"/>
      <c r="E71" s="357"/>
    </row>
    <row r="72" spans="2:5" x14ac:dyDescent="0.25">
      <c r="B72" s="358" t="s">
        <v>606</v>
      </c>
      <c r="C72" s="352"/>
      <c r="D72" s="348"/>
      <c r="E72" s="348"/>
    </row>
    <row r="73" spans="2:5" x14ac:dyDescent="0.25">
      <c r="B73" s="355"/>
      <c r="C73" s="356"/>
      <c r="D73" s="357"/>
      <c r="E73" s="357"/>
    </row>
    <row r="74" spans="2:5" x14ac:dyDescent="0.25">
      <c r="B74" s="358" t="s">
        <v>607</v>
      </c>
      <c r="C74" s="352"/>
      <c r="D74" s="348"/>
      <c r="E74" s="348"/>
    </row>
  </sheetData>
  <protectedRanges>
    <protectedRange sqref="E38:E50 E53:E55 E59:E61 E23:E32 E11 E13:E20" name="Plage2"/>
    <protectedRange sqref="C3" name="Plage1"/>
  </protectedRanges>
  <mergeCells count="5">
    <mergeCell ref="C3:D3"/>
    <mergeCell ref="B6:E6"/>
    <mergeCell ref="B7:E7"/>
    <mergeCell ref="B65:E65"/>
    <mergeCell ref="B66:C66"/>
  </mergeCells>
  <printOptions horizontalCentered="1" verticalCentered="1"/>
  <pageMargins left="0.70866141732283472" right="0.70866141732283472" top="0.35433070866141736" bottom="0.35433070866141736" header="0.31496062992125984" footer="0.31496062992125984"/>
  <pageSetup paperSize="9" scale="8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Paramètres!$A$65:$A$382</xm:f>
          </x14:formula1>
          <xm:sqref>C3:D3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R327"/>
  <sheetViews>
    <sheetView zoomScaleNormal="100" workbookViewId="0"/>
  </sheetViews>
  <sheetFormatPr baseColWidth="10" defaultColWidth="8.625" defaultRowHeight="15" x14ac:dyDescent="0.25"/>
  <cols>
    <col min="1" max="1" width="7.75" style="451" customWidth="1"/>
    <col min="2" max="2" width="20.5" style="454" bestFit="1" customWidth="1"/>
    <col min="3" max="3" width="14.25" style="450" customWidth="1"/>
    <col min="4" max="4" width="13" style="450" customWidth="1"/>
    <col min="5" max="5" width="9.125" style="450" customWidth="1"/>
    <col min="6" max="6" width="8.25" style="450" customWidth="1"/>
    <col min="7" max="7" width="13" style="450" customWidth="1"/>
    <col min="8" max="8" width="12.125" style="450" customWidth="1"/>
    <col min="9" max="9" width="13.875" style="450" customWidth="1"/>
    <col min="10" max="13" width="12.125" style="450" customWidth="1"/>
    <col min="14" max="14" width="11.625" style="450" customWidth="1"/>
    <col min="15" max="15" width="14.125" style="450" customWidth="1"/>
    <col min="16" max="16" width="10.75" style="450" customWidth="1"/>
    <col min="17" max="17" width="13.875" style="450" customWidth="1"/>
    <col min="18" max="18" width="11.375" style="450" customWidth="1"/>
    <col min="19" max="19" width="9.75" style="450" customWidth="1"/>
    <col min="20" max="20" width="12" style="450" customWidth="1"/>
    <col min="21" max="21" width="9.5" style="450" customWidth="1"/>
    <col min="22" max="22" width="10.375" style="450" customWidth="1"/>
    <col min="23" max="23" width="9" style="450" customWidth="1"/>
    <col min="24" max="24" width="12.125" style="450" customWidth="1"/>
    <col min="25" max="25" width="10.375" style="450" customWidth="1"/>
    <col min="26" max="26" width="9.75" style="450" customWidth="1"/>
    <col min="27" max="27" width="12" style="450" customWidth="1"/>
    <col min="28" max="28" width="20.875" style="450" customWidth="1"/>
    <col min="29" max="29" width="11.375" style="450" customWidth="1"/>
    <col min="30" max="30" width="10.375" style="450" customWidth="1"/>
    <col min="31" max="32" width="9" style="450" customWidth="1"/>
    <col min="33" max="33" width="12" style="450" customWidth="1"/>
    <col min="34" max="34" width="10.375" style="450" customWidth="1"/>
    <col min="35" max="35" width="12" style="450" customWidth="1"/>
    <col min="36" max="37" width="10.875" style="450" customWidth="1"/>
    <col min="38" max="38" width="10.5" style="450" customWidth="1"/>
    <col min="39" max="39" width="9.125" style="453" bestFit="1" customWidth="1"/>
    <col min="40" max="40" width="9.75" style="454" bestFit="1" customWidth="1"/>
    <col min="41" max="41" width="12.125" style="450" bestFit="1" customWidth="1"/>
    <col min="42" max="42" width="8.125" style="450" bestFit="1" customWidth="1"/>
    <col min="43" max="43" width="12.125" style="450" bestFit="1" customWidth="1"/>
    <col min="44" max="44" width="5.75" style="454" bestFit="1" customWidth="1"/>
    <col min="45" max="16384" width="8.625" style="454"/>
  </cols>
  <sheetData>
    <row r="1" spans="1:44" x14ac:dyDescent="0.25">
      <c r="A1" s="455" t="s">
        <v>511</v>
      </c>
      <c r="B1" s="451"/>
      <c r="C1" s="446"/>
      <c r="D1" s="446"/>
      <c r="E1" s="446"/>
      <c r="F1" s="446"/>
      <c r="G1" s="446"/>
      <c r="H1" s="446"/>
      <c r="I1" s="446"/>
      <c r="J1" s="446"/>
      <c r="V1" s="452"/>
    </row>
    <row r="2" spans="1:44" x14ac:dyDescent="0.25">
      <c r="A2" s="455" t="str">
        <f>Paramètres!B5</f>
        <v>décompte 2016</v>
      </c>
      <c r="C2" s="447"/>
      <c r="D2" s="447"/>
      <c r="E2" s="446"/>
      <c r="F2" s="446"/>
      <c r="G2" s="446"/>
      <c r="H2" s="446"/>
      <c r="I2" s="446"/>
      <c r="J2" s="446"/>
      <c r="V2" s="452"/>
    </row>
    <row r="3" spans="1:44" x14ac:dyDescent="0.25">
      <c r="A3" s="455"/>
      <c r="B3" s="451"/>
      <c r="C3" s="446"/>
      <c r="D3" s="446"/>
      <c r="E3" s="446"/>
      <c r="F3" s="446"/>
      <c r="G3" s="446"/>
      <c r="H3" s="446"/>
      <c r="I3" s="446"/>
      <c r="J3" s="446"/>
      <c r="L3" s="452"/>
    </row>
    <row r="4" spans="1:44" s="456" customFormat="1" ht="38.1" customHeight="1" x14ac:dyDescent="0.2">
      <c r="A4" s="534" t="s">
        <v>50</v>
      </c>
      <c r="B4" s="537" t="s">
        <v>626</v>
      </c>
      <c r="C4" s="528" t="s">
        <v>457</v>
      </c>
      <c r="D4" s="528" t="s">
        <v>458</v>
      </c>
      <c r="E4" s="528" t="s">
        <v>294</v>
      </c>
      <c r="F4" s="528" t="s">
        <v>295</v>
      </c>
      <c r="G4" s="528" t="s">
        <v>459</v>
      </c>
      <c r="H4" s="528" t="s">
        <v>460</v>
      </c>
      <c r="I4" s="528" t="s">
        <v>461</v>
      </c>
      <c r="J4" s="528" t="s">
        <v>427</v>
      </c>
      <c r="K4" s="528" t="s">
        <v>428</v>
      </c>
      <c r="L4" s="528" t="s">
        <v>429</v>
      </c>
      <c r="M4" s="528" t="s">
        <v>226</v>
      </c>
      <c r="N4" s="528" t="s">
        <v>227</v>
      </c>
      <c r="O4" s="528" t="s">
        <v>228</v>
      </c>
      <c r="P4" s="528" t="s">
        <v>229</v>
      </c>
      <c r="Q4" s="528" t="s">
        <v>462</v>
      </c>
      <c r="R4" s="528" t="s">
        <v>230</v>
      </c>
      <c r="S4" s="528" t="s">
        <v>463</v>
      </c>
      <c r="T4" s="528" t="s">
        <v>464</v>
      </c>
      <c r="U4" s="528" t="s">
        <v>121</v>
      </c>
      <c r="V4" s="528" t="s">
        <v>122</v>
      </c>
      <c r="W4" s="532" t="s">
        <v>123</v>
      </c>
      <c r="X4" s="528" t="s">
        <v>171</v>
      </c>
      <c r="Y4" s="530" t="s">
        <v>465</v>
      </c>
      <c r="Z4" s="528" t="s">
        <v>466</v>
      </c>
      <c r="AA4" s="528" t="s">
        <v>467</v>
      </c>
      <c r="AB4" s="528" t="s">
        <v>468</v>
      </c>
      <c r="AC4" s="528" t="s">
        <v>85</v>
      </c>
      <c r="AD4" s="528" t="s">
        <v>86</v>
      </c>
      <c r="AE4" s="528" t="s">
        <v>87</v>
      </c>
      <c r="AF4" s="528" t="s">
        <v>88</v>
      </c>
      <c r="AG4" s="528" t="s">
        <v>89</v>
      </c>
      <c r="AH4" s="528" t="s">
        <v>469</v>
      </c>
      <c r="AI4" s="528" t="s">
        <v>470</v>
      </c>
      <c r="AJ4" s="528" t="s">
        <v>471</v>
      </c>
      <c r="AK4" s="528" t="s">
        <v>472</v>
      </c>
      <c r="AL4" s="532" t="s">
        <v>90</v>
      </c>
      <c r="AM4" s="541" t="s">
        <v>91</v>
      </c>
      <c r="AN4" s="543" t="s">
        <v>510</v>
      </c>
      <c r="AO4" s="528" t="s">
        <v>281</v>
      </c>
      <c r="AP4" s="528" t="s">
        <v>282</v>
      </c>
      <c r="AQ4" s="528" t="s">
        <v>283</v>
      </c>
      <c r="AR4" s="525" t="s">
        <v>569</v>
      </c>
    </row>
    <row r="5" spans="1:44" s="456" customFormat="1" ht="38.1" customHeight="1" x14ac:dyDescent="0.2">
      <c r="A5" s="535"/>
      <c r="B5" s="538"/>
      <c r="C5" s="529"/>
      <c r="D5" s="529"/>
      <c r="E5" s="529"/>
      <c r="F5" s="529"/>
      <c r="G5" s="529"/>
      <c r="H5" s="529"/>
      <c r="I5" s="529"/>
      <c r="J5" s="529"/>
      <c r="K5" s="529"/>
      <c r="L5" s="529"/>
      <c r="M5" s="529"/>
      <c r="N5" s="529"/>
      <c r="O5" s="529"/>
      <c r="P5" s="529"/>
      <c r="Q5" s="540"/>
      <c r="R5" s="529"/>
      <c r="S5" s="540"/>
      <c r="T5" s="529"/>
      <c r="U5" s="529"/>
      <c r="V5" s="529"/>
      <c r="W5" s="533"/>
      <c r="X5" s="529"/>
      <c r="Y5" s="531"/>
      <c r="Z5" s="529"/>
      <c r="AA5" s="529"/>
      <c r="AB5" s="529"/>
      <c r="AC5" s="529"/>
      <c r="AD5" s="529"/>
      <c r="AE5" s="529"/>
      <c r="AF5" s="529"/>
      <c r="AG5" s="529"/>
      <c r="AH5" s="540"/>
      <c r="AI5" s="540"/>
      <c r="AJ5" s="540"/>
      <c r="AK5" s="540"/>
      <c r="AL5" s="533"/>
      <c r="AM5" s="542"/>
      <c r="AN5" s="544"/>
      <c r="AO5" s="540"/>
      <c r="AP5" s="540"/>
      <c r="AQ5" s="540"/>
      <c r="AR5" s="526"/>
    </row>
    <row r="6" spans="1:44" s="459" customFormat="1" x14ac:dyDescent="0.25">
      <c r="A6" s="536"/>
      <c r="B6" s="539"/>
      <c r="C6" s="448" t="s">
        <v>473</v>
      </c>
      <c r="D6" s="448" t="s">
        <v>474</v>
      </c>
      <c r="E6" s="448" t="s">
        <v>92</v>
      </c>
      <c r="F6" s="448" t="s">
        <v>93</v>
      </c>
      <c r="G6" s="448" t="s">
        <v>475</v>
      </c>
      <c r="H6" s="448" t="s">
        <v>476</v>
      </c>
      <c r="I6" s="448" t="s">
        <v>95</v>
      </c>
      <c r="J6" s="448" t="s">
        <v>96</v>
      </c>
      <c r="K6" s="448" t="s">
        <v>97</v>
      </c>
      <c r="L6" s="448" t="s">
        <v>98</v>
      </c>
      <c r="M6" s="457" t="s">
        <v>99</v>
      </c>
      <c r="N6" s="448" t="s">
        <v>100</v>
      </c>
      <c r="O6" s="448" t="s">
        <v>101</v>
      </c>
      <c r="P6" s="448" t="s">
        <v>102</v>
      </c>
      <c r="Q6" s="529"/>
      <c r="R6" s="448" t="s">
        <v>103</v>
      </c>
      <c r="S6" s="529"/>
      <c r="T6" s="448" t="s">
        <v>104</v>
      </c>
      <c r="U6" s="448" t="s">
        <v>105</v>
      </c>
      <c r="V6" s="448" t="s">
        <v>106</v>
      </c>
      <c r="W6" s="448" t="s">
        <v>107</v>
      </c>
      <c r="X6" s="457" t="s">
        <v>108</v>
      </c>
      <c r="Y6" s="448" t="s">
        <v>109</v>
      </c>
      <c r="Z6" s="448" t="s">
        <v>110</v>
      </c>
      <c r="AA6" s="448" t="s">
        <v>111</v>
      </c>
      <c r="AB6" s="448" t="s">
        <v>112</v>
      </c>
      <c r="AC6" s="448" t="s">
        <v>113</v>
      </c>
      <c r="AD6" s="448" t="s">
        <v>114</v>
      </c>
      <c r="AE6" s="448" t="s">
        <v>115</v>
      </c>
      <c r="AF6" s="448" t="s">
        <v>297</v>
      </c>
      <c r="AG6" s="448" t="s">
        <v>298</v>
      </c>
      <c r="AH6" s="529"/>
      <c r="AI6" s="529"/>
      <c r="AJ6" s="529"/>
      <c r="AK6" s="529"/>
      <c r="AL6" s="448" t="s">
        <v>299</v>
      </c>
      <c r="AM6" s="458">
        <f>Paramètres!B8</f>
        <v>2016</v>
      </c>
      <c r="AN6" s="490">
        <v>41273</v>
      </c>
      <c r="AO6" s="529"/>
      <c r="AP6" s="529"/>
      <c r="AQ6" s="529"/>
      <c r="AR6" s="527"/>
    </row>
    <row r="7" spans="1:44" x14ac:dyDescent="0.25">
      <c r="A7" s="460">
        <v>5401</v>
      </c>
      <c r="B7" s="461" t="s">
        <v>300</v>
      </c>
      <c r="C7" s="462">
        <v>11485928.130000001</v>
      </c>
      <c r="D7" s="464">
        <v>1514093.43</v>
      </c>
      <c r="E7" s="462"/>
      <c r="F7" s="464">
        <v>94.6</v>
      </c>
      <c r="G7" s="462">
        <v>3327599.7</v>
      </c>
      <c r="H7" s="464">
        <v>192805.6</v>
      </c>
      <c r="I7" s="462">
        <v>7768.35</v>
      </c>
      <c r="J7" s="464">
        <v>756597.42</v>
      </c>
      <c r="K7" s="462">
        <v>139360.5</v>
      </c>
      <c r="L7" s="464">
        <v>1825359.25</v>
      </c>
      <c r="M7" s="478">
        <f>SUM(C7:L7)</f>
        <v>19249606.98</v>
      </c>
      <c r="N7" s="462">
        <v>1036709.25</v>
      </c>
      <c r="O7" s="464">
        <v>1305319.2</v>
      </c>
      <c r="P7" s="462">
        <v>692179.65</v>
      </c>
      <c r="Q7" s="464">
        <v>71257.850000000006</v>
      </c>
      <c r="R7" s="463">
        <v>260467.65</v>
      </c>
      <c r="S7" s="464"/>
      <c r="T7" s="462">
        <v>86165.05</v>
      </c>
      <c r="U7" s="464">
        <v>68350</v>
      </c>
      <c r="V7" s="462"/>
      <c r="W7" s="464"/>
      <c r="X7" s="474">
        <f>SUM(M7:W7)</f>
        <v>22770055.629999999</v>
      </c>
      <c r="Y7" s="482">
        <v>335273.2</v>
      </c>
      <c r="Z7" s="463"/>
      <c r="AA7" s="463">
        <v>832001.35</v>
      </c>
      <c r="AB7" s="463"/>
      <c r="AC7" s="463">
        <v>1311894.75</v>
      </c>
      <c r="AD7" s="463">
        <v>390935.4</v>
      </c>
      <c r="AE7" s="463"/>
      <c r="AF7" s="463">
        <v>358.75</v>
      </c>
      <c r="AG7" s="463">
        <v>36910.550000000003</v>
      </c>
      <c r="AH7" s="463">
        <v>360033.65</v>
      </c>
      <c r="AI7" s="463"/>
      <c r="AJ7" s="463"/>
      <c r="AK7" s="463">
        <v>208017.2</v>
      </c>
      <c r="AL7" s="465">
        <f>SUM(Y7:AK7)</f>
        <v>3475424.8499999996</v>
      </c>
      <c r="AM7" s="489">
        <v>67.5</v>
      </c>
      <c r="AN7" s="463">
        <v>9740</v>
      </c>
      <c r="AO7" s="450">
        <v>-506782.14</v>
      </c>
      <c r="AP7" s="463"/>
      <c r="AQ7" s="450">
        <v>-1074.8599999999999</v>
      </c>
      <c r="AR7" s="466">
        <v>1.2</v>
      </c>
    </row>
    <row r="8" spans="1:44" x14ac:dyDescent="0.25">
      <c r="A8" s="460">
        <v>5402</v>
      </c>
      <c r="B8" s="461" t="s">
        <v>301</v>
      </c>
      <c r="C8" s="462">
        <v>8104227.7199999997</v>
      </c>
      <c r="D8" s="464">
        <v>1082959.74</v>
      </c>
      <c r="E8" s="462"/>
      <c r="F8" s="464"/>
      <c r="G8" s="462">
        <v>1206207.6000000001</v>
      </c>
      <c r="H8" s="464">
        <v>78794.2</v>
      </c>
      <c r="I8" s="462">
        <v>17800.599999999999</v>
      </c>
      <c r="J8" s="464">
        <v>514724.49</v>
      </c>
      <c r="K8" s="462">
        <v>70857</v>
      </c>
      <c r="L8" s="464">
        <v>1428011.4</v>
      </c>
      <c r="M8" s="479">
        <f t="shared" ref="M8:M71" si="0">SUM(C8:L8)</f>
        <v>12503582.749999998</v>
      </c>
      <c r="N8" s="462">
        <v>172600.1</v>
      </c>
      <c r="O8" s="464">
        <v>289455.40000000002</v>
      </c>
      <c r="P8" s="462">
        <v>510571.55</v>
      </c>
      <c r="Q8" s="464">
        <v>126012.32</v>
      </c>
      <c r="R8" s="462">
        <v>303922.55</v>
      </c>
      <c r="S8" s="464">
        <v>3250</v>
      </c>
      <c r="T8" s="462">
        <v>37003.449999999997</v>
      </c>
      <c r="U8" s="464">
        <v>40225</v>
      </c>
      <c r="V8" s="462">
        <v>99757.6</v>
      </c>
      <c r="W8" s="464">
        <v>1476</v>
      </c>
      <c r="X8" s="475">
        <f>SUM(M8:W8)</f>
        <v>14087856.719999999</v>
      </c>
      <c r="Y8" s="483">
        <v>17120.5</v>
      </c>
      <c r="Z8" s="462">
        <v>70495.100000000006</v>
      </c>
      <c r="AA8" s="462">
        <v>1920824</v>
      </c>
      <c r="AB8" s="462"/>
      <c r="AC8" s="462">
        <v>855735.46</v>
      </c>
      <c r="AD8" s="462">
        <v>83236.95</v>
      </c>
      <c r="AE8" s="462"/>
      <c r="AF8" s="462"/>
      <c r="AG8" s="462">
        <v>89262.7</v>
      </c>
      <c r="AH8" s="462">
        <v>234715.7</v>
      </c>
      <c r="AI8" s="462"/>
      <c r="AJ8" s="462"/>
      <c r="AK8" s="462"/>
      <c r="AL8" s="465">
        <f>SUM(Y8:AK8)</f>
        <v>3271390.4100000006</v>
      </c>
      <c r="AM8" s="489">
        <v>71</v>
      </c>
      <c r="AN8" s="462">
        <v>7424</v>
      </c>
      <c r="AO8" s="450">
        <v>-371426.74</v>
      </c>
      <c r="AP8" s="462"/>
      <c r="AQ8" s="450">
        <v>-641.79</v>
      </c>
      <c r="AR8" s="466">
        <v>1.25</v>
      </c>
    </row>
    <row r="9" spans="1:44" x14ac:dyDescent="0.25">
      <c r="A9" s="460">
        <v>5403</v>
      </c>
      <c r="B9" s="461" t="s">
        <v>145</v>
      </c>
      <c r="C9" s="462">
        <v>503631.91</v>
      </c>
      <c r="D9" s="464">
        <v>63629.32</v>
      </c>
      <c r="E9" s="462"/>
      <c r="F9" s="464"/>
      <c r="G9" s="462">
        <v>11729.55</v>
      </c>
      <c r="H9" s="464">
        <v>72</v>
      </c>
      <c r="I9" s="462"/>
      <c r="J9" s="464">
        <v>21995.56</v>
      </c>
      <c r="K9" s="462">
        <v>1245.5</v>
      </c>
      <c r="L9" s="464">
        <v>48881.15</v>
      </c>
      <c r="M9" s="479">
        <f t="shared" si="0"/>
        <v>651184.99000000011</v>
      </c>
      <c r="N9" s="462">
        <v>6233.65</v>
      </c>
      <c r="O9" s="464"/>
      <c r="P9" s="462">
        <v>30019</v>
      </c>
      <c r="Q9" s="464">
        <v>-10004.9</v>
      </c>
      <c r="R9" s="462">
        <v>19563.849999999999</v>
      </c>
      <c r="S9" s="464"/>
      <c r="T9" s="462"/>
      <c r="U9" s="464">
        <v>5400</v>
      </c>
      <c r="V9" s="462"/>
      <c r="W9" s="464"/>
      <c r="X9" s="475">
        <f t="shared" ref="X9:X72" si="1">SUM(M9:W9)</f>
        <v>702396.59000000008</v>
      </c>
      <c r="Y9" s="483">
        <v>80</v>
      </c>
      <c r="Z9" s="462"/>
      <c r="AA9" s="462">
        <v>57040.85</v>
      </c>
      <c r="AB9" s="462"/>
      <c r="AC9" s="462">
        <v>33667.300000000003</v>
      </c>
      <c r="AD9" s="462">
        <v>80</v>
      </c>
      <c r="AE9" s="462"/>
      <c r="AF9" s="462"/>
      <c r="AG9" s="462">
        <v>31200</v>
      </c>
      <c r="AH9" s="462"/>
      <c r="AI9" s="462"/>
      <c r="AJ9" s="462"/>
      <c r="AK9" s="462"/>
      <c r="AL9" s="465">
        <f t="shared" ref="AL9:AL71" si="2">SUM(Y9:AK9)</f>
        <v>122068.15</v>
      </c>
      <c r="AM9" s="489">
        <v>76</v>
      </c>
      <c r="AN9" s="462">
        <v>395</v>
      </c>
      <c r="AO9" s="450">
        <v>-7566.72</v>
      </c>
      <c r="AP9" s="462"/>
      <c r="AQ9" s="450">
        <v>-12.22</v>
      </c>
      <c r="AR9" s="466">
        <v>1</v>
      </c>
    </row>
    <row r="10" spans="1:44" x14ac:dyDescent="0.25">
      <c r="A10" s="460">
        <v>5404</v>
      </c>
      <c r="B10" s="461" t="s">
        <v>146</v>
      </c>
      <c r="C10" s="462">
        <v>2625582.56</v>
      </c>
      <c r="D10" s="464">
        <v>99558.31</v>
      </c>
      <c r="E10" s="462"/>
      <c r="F10" s="464"/>
      <c r="G10" s="462">
        <v>5933.75</v>
      </c>
      <c r="H10" s="464">
        <v>-2145.15</v>
      </c>
      <c r="I10" s="462"/>
      <c r="J10" s="464">
        <v>3320.81</v>
      </c>
      <c r="K10" s="462">
        <v>567.5</v>
      </c>
      <c r="L10" s="487">
        <v>107759.4</v>
      </c>
      <c r="M10" s="479">
        <f t="shared" si="0"/>
        <v>2840577.18</v>
      </c>
      <c r="N10" s="462">
        <v>17833.2</v>
      </c>
      <c r="O10" s="464">
        <v>44258.9</v>
      </c>
      <c r="P10" s="462">
        <v>18891.650000000001</v>
      </c>
      <c r="Q10" s="464">
        <v>5414.44</v>
      </c>
      <c r="R10" s="462">
        <v>15792.1</v>
      </c>
      <c r="S10" s="464">
        <v>266.8</v>
      </c>
      <c r="T10" s="462"/>
      <c r="U10" s="464">
        <v>5450</v>
      </c>
      <c r="V10" s="462"/>
      <c r="W10" s="464"/>
      <c r="X10" s="475">
        <f t="shared" si="1"/>
        <v>2948484.27</v>
      </c>
      <c r="Y10" s="483">
        <v>29943</v>
      </c>
      <c r="Z10" s="462">
        <v>12114.8</v>
      </c>
      <c r="AA10" s="462">
        <v>113637.9</v>
      </c>
      <c r="AB10" s="462"/>
      <c r="AC10" s="462">
        <v>33409.65</v>
      </c>
      <c r="AD10" s="462">
        <v>19962</v>
      </c>
      <c r="AE10" s="462">
        <v>8480.35</v>
      </c>
      <c r="AF10" s="462"/>
      <c r="AG10" s="462">
        <v>4111.95</v>
      </c>
      <c r="AH10" s="462"/>
      <c r="AI10" s="462"/>
      <c r="AJ10" s="462"/>
      <c r="AK10" s="462"/>
      <c r="AL10" s="465">
        <f t="shared" si="2"/>
        <v>221659.65000000002</v>
      </c>
      <c r="AM10" s="489">
        <v>70</v>
      </c>
      <c r="AN10" s="462">
        <v>440</v>
      </c>
      <c r="AO10" s="450">
        <v>-15582.99</v>
      </c>
      <c r="AP10" s="462"/>
      <c r="AQ10" s="450">
        <v>-1.1299999999999999</v>
      </c>
      <c r="AR10" s="466">
        <v>1.5</v>
      </c>
    </row>
    <row r="11" spans="1:44" x14ac:dyDescent="0.25">
      <c r="A11" s="460">
        <v>5405</v>
      </c>
      <c r="B11" s="461" t="s">
        <v>147</v>
      </c>
      <c r="C11" s="462">
        <v>3095052.46</v>
      </c>
      <c r="D11" s="464">
        <v>939392.65</v>
      </c>
      <c r="E11" s="462"/>
      <c r="F11" s="464"/>
      <c r="G11" s="462">
        <v>47891.75</v>
      </c>
      <c r="H11" s="464">
        <v>7244.25</v>
      </c>
      <c r="I11" s="462">
        <v>189670.69</v>
      </c>
      <c r="J11" s="464">
        <v>111950.61</v>
      </c>
      <c r="K11" s="462">
        <v>10027.5</v>
      </c>
      <c r="L11" s="464">
        <v>751397</v>
      </c>
      <c r="M11" s="479">
        <f t="shared" si="0"/>
        <v>5152626.91</v>
      </c>
      <c r="N11" s="462"/>
      <c r="O11" s="464">
        <v>130090.5</v>
      </c>
      <c r="P11" s="462">
        <v>300408.45</v>
      </c>
      <c r="Q11" s="464">
        <v>3336.64</v>
      </c>
      <c r="R11" s="462">
        <v>176792.45</v>
      </c>
      <c r="S11" s="464">
        <v>325</v>
      </c>
      <c r="T11" s="462">
        <v>5850</v>
      </c>
      <c r="U11" s="464">
        <v>8400</v>
      </c>
      <c r="V11" s="462">
        <v>610</v>
      </c>
      <c r="W11" s="464"/>
      <c r="X11" s="475">
        <f t="shared" si="1"/>
        <v>5778439.9500000002</v>
      </c>
      <c r="Y11" s="483">
        <v>13308.85</v>
      </c>
      <c r="Z11" s="462"/>
      <c r="AA11" s="462">
        <v>174131.42</v>
      </c>
      <c r="AB11" s="462"/>
      <c r="AC11" s="462">
        <v>398281.15</v>
      </c>
      <c r="AD11" s="462">
        <v>34486</v>
      </c>
      <c r="AE11" s="462"/>
      <c r="AF11" s="462"/>
      <c r="AG11" s="462"/>
      <c r="AH11" s="462"/>
      <c r="AI11" s="462"/>
      <c r="AJ11" s="462"/>
      <c r="AK11" s="462"/>
      <c r="AL11" s="465">
        <f t="shared" si="2"/>
        <v>620207.42000000004</v>
      </c>
      <c r="AM11" s="489">
        <v>75</v>
      </c>
      <c r="AN11" s="462">
        <v>1342</v>
      </c>
      <c r="AO11" s="450">
        <v>-40065.300000000003</v>
      </c>
      <c r="AP11" s="462"/>
      <c r="AQ11" s="450">
        <v>-561.19000000000005</v>
      </c>
      <c r="AR11" s="466">
        <v>1.5</v>
      </c>
    </row>
    <row r="12" spans="1:44" x14ac:dyDescent="0.25">
      <c r="A12" s="460">
        <v>5406</v>
      </c>
      <c r="B12" s="461" t="s">
        <v>148</v>
      </c>
      <c r="C12" s="462">
        <v>1022788.39</v>
      </c>
      <c r="D12" s="464">
        <v>111069.53</v>
      </c>
      <c r="E12" s="462"/>
      <c r="F12" s="464"/>
      <c r="G12" s="462">
        <v>147652.4</v>
      </c>
      <c r="H12" s="464">
        <v>4018.3</v>
      </c>
      <c r="I12" s="462"/>
      <c r="J12" s="464">
        <v>37235.29</v>
      </c>
      <c r="K12" s="462">
        <v>7564.5</v>
      </c>
      <c r="L12" s="464">
        <v>173541.55</v>
      </c>
      <c r="M12" s="479">
        <f t="shared" si="0"/>
        <v>1503869.96</v>
      </c>
      <c r="N12" s="462"/>
      <c r="O12" s="464">
        <v>2135.6</v>
      </c>
      <c r="P12" s="462">
        <v>5547</v>
      </c>
      <c r="Q12" s="464">
        <v>3245.99</v>
      </c>
      <c r="R12" s="462">
        <v>19037.25</v>
      </c>
      <c r="S12" s="464"/>
      <c r="T12" s="462"/>
      <c r="U12" s="464">
        <v>6600</v>
      </c>
      <c r="V12" s="462">
        <v>203849</v>
      </c>
      <c r="W12" s="464"/>
      <c r="X12" s="475">
        <f t="shared" si="1"/>
        <v>1744284.8</v>
      </c>
      <c r="Y12" s="483">
        <v>79746.899999999994</v>
      </c>
      <c r="Z12" s="462">
        <v>2808</v>
      </c>
      <c r="AA12" s="462">
        <v>274041.45</v>
      </c>
      <c r="AB12" s="462"/>
      <c r="AC12" s="462">
        <v>143248.6</v>
      </c>
      <c r="AD12" s="462">
        <v>26379.85</v>
      </c>
      <c r="AE12" s="462">
        <v>1889.1</v>
      </c>
      <c r="AF12" s="462"/>
      <c r="AG12" s="462">
        <v>42407</v>
      </c>
      <c r="AH12" s="462">
        <v>64083.1</v>
      </c>
      <c r="AI12" s="462"/>
      <c r="AJ12" s="462"/>
      <c r="AK12" s="462"/>
      <c r="AL12" s="465">
        <f t="shared" si="2"/>
        <v>634603.99999999988</v>
      </c>
      <c r="AM12" s="489">
        <v>71</v>
      </c>
      <c r="AN12" s="462">
        <v>922</v>
      </c>
      <c r="AO12" s="450">
        <v>-29396.93</v>
      </c>
      <c r="AP12" s="462"/>
      <c r="AQ12" s="450">
        <v>0</v>
      </c>
      <c r="AR12" s="466">
        <v>1.3</v>
      </c>
    </row>
    <row r="13" spans="1:44" x14ac:dyDescent="0.25">
      <c r="A13" s="460">
        <v>5407</v>
      </c>
      <c r="B13" s="461" t="s">
        <v>149</v>
      </c>
      <c r="C13" s="462">
        <v>4102055.57</v>
      </c>
      <c r="D13" s="464">
        <v>900775.18</v>
      </c>
      <c r="E13" s="462"/>
      <c r="F13" s="464"/>
      <c r="G13" s="462">
        <v>115517.5</v>
      </c>
      <c r="H13" s="464">
        <v>8100.45</v>
      </c>
      <c r="I13" s="462">
        <v>126338.06</v>
      </c>
      <c r="J13" s="464">
        <v>475791.81</v>
      </c>
      <c r="K13" s="462">
        <v>57270.5</v>
      </c>
      <c r="L13" s="464">
        <v>1173574.6499999999</v>
      </c>
      <c r="M13" s="479">
        <f t="shared" si="0"/>
        <v>6959423.7199999988</v>
      </c>
      <c r="N13" s="462">
        <v>28241.95</v>
      </c>
      <c r="O13" s="464">
        <v>1970.5</v>
      </c>
      <c r="P13" s="462">
        <v>246675.65</v>
      </c>
      <c r="Q13" s="464">
        <v>34816.31</v>
      </c>
      <c r="R13" s="462">
        <v>266735.34999999998</v>
      </c>
      <c r="S13" s="464">
        <v>11531.95</v>
      </c>
      <c r="T13" s="462"/>
      <c r="U13" s="464">
        <v>16300</v>
      </c>
      <c r="V13" s="462">
        <v>8060.4</v>
      </c>
      <c r="W13" s="464">
        <v>140</v>
      </c>
      <c r="X13" s="475">
        <f t="shared" si="1"/>
        <v>7573895.8299999991</v>
      </c>
      <c r="Y13" s="483">
        <v>168129.7</v>
      </c>
      <c r="Z13" s="462"/>
      <c r="AA13" s="462">
        <v>572463.55000000005</v>
      </c>
      <c r="AB13" s="462"/>
      <c r="AC13" s="462">
        <v>489349.88</v>
      </c>
      <c r="AD13" s="462">
        <v>165511.35</v>
      </c>
      <c r="AE13" s="462"/>
      <c r="AF13" s="462"/>
      <c r="AG13" s="462"/>
      <c r="AH13" s="462">
        <v>138035.25</v>
      </c>
      <c r="AI13" s="462"/>
      <c r="AJ13" s="462"/>
      <c r="AK13" s="462"/>
      <c r="AL13" s="465">
        <f t="shared" si="2"/>
        <v>1533489.73</v>
      </c>
      <c r="AM13" s="489">
        <v>78</v>
      </c>
      <c r="AN13" s="462">
        <v>4088</v>
      </c>
      <c r="AO13" s="450">
        <v>-156900.63</v>
      </c>
      <c r="AP13" s="462"/>
      <c r="AQ13" s="450">
        <v>-2491.8200000000002</v>
      </c>
      <c r="AR13" s="466">
        <v>1.5</v>
      </c>
    </row>
    <row r="14" spans="1:44" x14ac:dyDescent="0.25">
      <c r="A14" s="460">
        <v>5408</v>
      </c>
      <c r="B14" s="461" t="s">
        <v>150</v>
      </c>
      <c r="C14" s="462">
        <v>1919833.52</v>
      </c>
      <c r="D14" s="464">
        <v>130775.74</v>
      </c>
      <c r="E14" s="462"/>
      <c r="F14" s="464"/>
      <c r="G14" s="462">
        <v>309192.3</v>
      </c>
      <c r="H14" s="464">
        <v>2702.2</v>
      </c>
      <c r="I14" s="462"/>
      <c r="J14" s="464">
        <v>70518.820000000007</v>
      </c>
      <c r="K14" s="462">
        <v>14171</v>
      </c>
      <c r="L14" s="464">
        <v>297823.45</v>
      </c>
      <c r="M14" s="479">
        <f t="shared" si="0"/>
        <v>2745017.0300000003</v>
      </c>
      <c r="N14" s="462">
        <v>71489.75</v>
      </c>
      <c r="O14" s="464">
        <v>33.9</v>
      </c>
      <c r="P14" s="462">
        <v>176109.45</v>
      </c>
      <c r="Q14" s="464">
        <v>23805.34</v>
      </c>
      <c r="R14" s="462">
        <v>66602.350000000006</v>
      </c>
      <c r="S14" s="464"/>
      <c r="T14" s="462">
        <v>16495.5</v>
      </c>
      <c r="U14" s="464">
        <v>6550</v>
      </c>
      <c r="V14" s="462"/>
      <c r="W14" s="464"/>
      <c r="X14" s="475">
        <f t="shared" si="1"/>
        <v>3106103.3200000003</v>
      </c>
      <c r="Y14" s="483">
        <v>154687</v>
      </c>
      <c r="Z14" s="462"/>
      <c r="AA14" s="462">
        <v>84538.2</v>
      </c>
      <c r="AB14" s="462"/>
      <c r="AC14" s="462">
        <v>109209.05</v>
      </c>
      <c r="AD14" s="462">
        <v>147990.70000000001</v>
      </c>
      <c r="AE14" s="462"/>
      <c r="AF14" s="462"/>
      <c r="AG14" s="462">
        <v>57413</v>
      </c>
      <c r="AH14" s="462"/>
      <c r="AI14" s="462"/>
      <c r="AJ14" s="462"/>
      <c r="AK14" s="462"/>
      <c r="AL14" s="465">
        <f t="shared" si="2"/>
        <v>553837.94999999995</v>
      </c>
      <c r="AM14" s="489">
        <v>78.5</v>
      </c>
      <c r="AN14" s="462">
        <v>1056</v>
      </c>
      <c r="AO14" s="450">
        <v>-45856.32</v>
      </c>
      <c r="AP14" s="462"/>
      <c r="AQ14" s="450">
        <v>-256.08</v>
      </c>
      <c r="AR14" s="466">
        <v>1.5</v>
      </c>
    </row>
    <row r="15" spans="1:44" x14ac:dyDescent="0.25">
      <c r="A15" s="460">
        <v>5409</v>
      </c>
      <c r="B15" s="461" t="s">
        <v>151</v>
      </c>
      <c r="C15" s="462">
        <v>12908813.18</v>
      </c>
      <c r="D15" s="464">
        <v>4511542.32</v>
      </c>
      <c r="E15" s="462"/>
      <c r="F15" s="464"/>
      <c r="G15" s="462">
        <v>1238354.3</v>
      </c>
      <c r="H15" s="464">
        <v>106999.1</v>
      </c>
      <c r="I15" s="462">
        <v>2595680.86</v>
      </c>
      <c r="J15" s="464">
        <v>859110.54</v>
      </c>
      <c r="K15" s="462">
        <v>124585.5</v>
      </c>
      <c r="L15" s="464">
        <v>3619375.25</v>
      </c>
      <c r="M15" s="479">
        <f t="shared" si="0"/>
        <v>25964461.050000001</v>
      </c>
      <c r="N15" s="462">
        <v>34479.550000000003</v>
      </c>
      <c r="O15" s="464">
        <v>1562250.5</v>
      </c>
      <c r="P15" s="462">
        <v>1388024.65</v>
      </c>
      <c r="Q15" s="464">
        <v>97140.47</v>
      </c>
      <c r="R15" s="462">
        <v>931892.05</v>
      </c>
      <c r="S15" s="464">
        <v>31332</v>
      </c>
      <c r="T15" s="462"/>
      <c r="U15" s="464">
        <v>67800</v>
      </c>
      <c r="V15" s="462"/>
      <c r="W15" s="464"/>
      <c r="X15" s="475">
        <f t="shared" si="1"/>
        <v>30077380.27</v>
      </c>
      <c r="Y15" s="483">
        <v>546300.85</v>
      </c>
      <c r="Z15" s="462">
        <v>-145286.29999999999</v>
      </c>
      <c r="AA15" s="462">
        <v>2409574.1</v>
      </c>
      <c r="AB15" s="462"/>
      <c r="AC15" s="462">
        <v>1443147.07</v>
      </c>
      <c r="AD15" s="462">
        <v>691894.4</v>
      </c>
      <c r="AE15" s="462">
        <v>50982</v>
      </c>
      <c r="AF15" s="462"/>
      <c r="AG15" s="462">
        <v>2895583.74</v>
      </c>
      <c r="AH15" s="462"/>
      <c r="AI15" s="462"/>
      <c r="AJ15" s="462"/>
      <c r="AK15" s="462"/>
      <c r="AL15" s="465">
        <f t="shared" si="2"/>
        <v>7892195.8600000003</v>
      </c>
      <c r="AM15" s="489">
        <v>68</v>
      </c>
      <c r="AN15" s="462">
        <v>7473</v>
      </c>
      <c r="AO15" s="450">
        <v>-326022.56</v>
      </c>
      <c r="AP15" s="462"/>
      <c r="AQ15" s="450">
        <v>-9976.24</v>
      </c>
      <c r="AR15" s="466">
        <v>1.3</v>
      </c>
    </row>
    <row r="16" spans="1:44" x14ac:dyDescent="0.25">
      <c r="A16" s="460">
        <v>5410</v>
      </c>
      <c r="B16" s="461" t="s">
        <v>163</v>
      </c>
      <c r="C16" s="462">
        <v>1759459.76</v>
      </c>
      <c r="D16" s="464">
        <v>588946.04</v>
      </c>
      <c r="E16" s="462"/>
      <c r="F16" s="464"/>
      <c r="G16" s="462">
        <v>129691.15</v>
      </c>
      <c r="H16" s="464">
        <v>5654.1</v>
      </c>
      <c r="I16" s="462"/>
      <c r="J16" s="464">
        <v>81208.710000000006</v>
      </c>
      <c r="K16" s="462">
        <v>9253</v>
      </c>
      <c r="L16" s="464">
        <v>528469.6</v>
      </c>
      <c r="M16" s="479">
        <f t="shared" si="0"/>
        <v>3102682.36</v>
      </c>
      <c r="N16" s="462"/>
      <c r="O16" s="464">
        <v>17062.7</v>
      </c>
      <c r="P16" s="462">
        <v>90373.4</v>
      </c>
      <c r="Q16" s="464">
        <v>13945.7</v>
      </c>
      <c r="R16" s="462">
        <v>128800</v>
      </c>
      <c r="S16" s="464">
        <v>8938.2000000000007</v>
      </c>
      <c r="T16" s="462"/>
      <c r="U16" s="464">
        <v>21060</v>
      </c>
      <c r="V16" s="462">
        <v>3405.81</v>
      </c>
      <c r="W16" s="464"/>
      <c r="X16" s="475">
        <f t="shared" si="1"/>
        <v>3386268.1700000004</v>
      </c>
      <c r="Y16" s="483">
        <v>24629.599999999999</v>
      </c>
      <c r="Z16" s="462"/>
      <c r="AA16" s="462">
        <v>453741.45</v>
      </c>
      <c r="AB16" s="462"/>
      <c r="AC16" s="462">
        <v>274539.28000000003</v>
      </c>
      <c r="AD16" s="462">
        <v>10618.6</v>
      </c>
      <c r="AE16" s="462"/>
      <c r="AF16" s="462"/>
      <c r="AG16" s="462">
        <v>313503.65000000002</v>
      </c>
      <c r="AH16" s="462">
        <v>62938.95</v>
      </c>
      <c r="AI16" s="462"/>
      <c r="AJ16" s="462">
        <v>35965.1</v>
      </c>
      <c r="AK16" s="462"/>
      <c r="AL16" s="465">
        <f t="shared" si="2"/>
        <v>1175936.6300000001</v>
      </c>
      <c r="AM16" s="489">
        <v>78.5</v>
      </c>
      <c r="AN16" s="462">
        <v>1105</v>
      </c>
      <c r="AO16" s="450">
        <v>-78867.820000000007</v>
      </c>
      <c r="AP16" s="462"/>
      <c r="AQ16" s="450">
        <v>-105.2</v>
      </c>
      <c r="AR16" s="466">
        <v>1.5</v>
      </c>
    </row>
    <row r="17" spans="1:44" x14ac:dyDescent="0.25">
      <c r="A17" s="460">
        <v>5411</v>
      </c>
      <c r="B17" s="461" t="s">
        <v>164</v>
      </c>
      <c r="C17" s="462">
        <v>3305554.04</v>
      </c>
      <c r="D17" s="464">
        <v>1179017.42</v>
      </c>
      <c r="E17" s="462"/>
      <c r="F17" s="464"/>
      <c r="G17" s="462">
        <v>131776.9</v>
      </c>
      <c r="H17" s="464">
        <v>3173.1</v>
      </c>
      <c r="I17" s="462">
        <v>64149.7</v>
      </c>
      <c r="J17" s="464">
        <v>179211.59</v>
      </c>
      <c r="K17" s="462">
        <v>23783.5</v>
      </c>
      <c r="L17" s="464">
        <v>1146744.8999999999</v>
      </c>
      <c r="M17" s="479">
        <f t="shared" si="0"/>
        <v>6033411.1500000004</v>
      </c>
      <c r="N17" s="462">
        <v>10854.5</v>
      </c>
      <c r="O17" s="464">
        <v>23631.599999999999</v>
      </c>
      <c r="P17" s="462">
        <v>336512.55</v>
      </c>
      <c r="Q17" s="464">
        <v>14429.55</v>
      </c>
      <c r="R17" s="462">
        <v>104044.1</v>
      </c>
      <c r="S17" s="464"/>
      <c r="T17" s="462">
        <v>12532.95</v>
      </c>
      <c r="U17" s="464">
        <v>9750</v>
      </c>
      <c r="V17" s="462"/>
      <c r="W17" s="464"/>
      <c r="X17" s="475">
        <f t="shared" si="1"/>
        <v>6545166.3999999994</v>
      </c>
      <c r="Y17" s="483">
        <v>20262.400000000001</v>
      </c>
      <c r="Z17" s="462"/>
      <c r="AA17" s="462">
        <v>366412.57</v>
      </c>
      <c r="AB17" s="462"/>
      <c r="AC17" s="462">
        <v>528479.17000000004</v>
      </c>
      <c r="AD17" s="462">
        <v>40008.800000000003</v>
      </c>
      <c r="AE17" s="462"/>
      <c r="AF17" s="462"/>
      <c r="AG17" s="462">
        <v>937342.26</v>
      </c>
      <c r="AH17" s="462"/>
      <c r="AI17" s="462"/>
      <c r="AJ17" s="462"/>
      <c r="AK17" s="462">
        <v>28194.400000000001</v>
      </c>
      <c r="AL17" s="465">
        <f t="shared" si="2"/>
        <v>1920699.6</v>
      </c>
      <c r="AM17" s="489">
        <v>76</v>
      </c>
      <c r="AN17" s="462">
        <v>1479</v>
      </c>
      <c r="AO17" s="450">
        <v>-36450.97</v>
      </c>
      <c r="AP17" s="462"/>
      <c r="AQ17" s="450">
        <v>-1499.14</v>
      </c>
      <c r="AR17" s="466">
        <v>1.5</v>
      </c>
    </row>
    <row r="18" spans="1:44" x14ac:dyDescent="0.25">
      <c r="A18" s="460">
        <v>5412</v>
      </c>
      <c r="B18" s="461" t="s">
        <v>165</v>
      </c>
      <c r="C18" s="462">
        <v>1074234.1499999999</v>
      </c>
      <c r="D18" s="464">
        <v>123920.04</v>
      </c>
      <c r="E18" s="462"/>
      <c r="F18" s="464"/>
      <c r="G18" s="462">
        <v>313356</v>
      </c>
      <c r="H18" s="464">
        <v>-929.75</v>
      </c>
      <c r="I18" s="462">
        <v>23170.799999999999</v>
      </c>
      <c r="J18" s="464">
        <v>36783.83</v>
      </c>
      <c r="K18" s="462">
        <v>23145.5</v>
      </c>
      <c r="L18" s="464">
        <v>196817.1</v>
      </c>
      <c r="M18" s="479">
        <f t="shared" si="0"/>
        <v>1790497.6700000002</v>
      </c>
      <c r="N18" s="462">
        <v>86684.75</v>
      </c>
      <c r="O18" s="464"/>
      <c r="P18" s="462">
        <v>73676</v>
      </c>
      <c r="Q18" s="464">
        <v>-1517.97</v>
      </c>
      <c r="R18" s="462">
        <v>82352.55</v>
      </c>
      <c r="S18" s="464"/>
      <c r="T18" s="462">
        <v>150</v>
      </c>
      <c r="U18" s="464">
        <v>3650</v>
      </c>
      <c r="V18" s="462"/>
      <c r="W18" s="464"/>
      <c r="X18" s="475">
        <f t="shared" si="1"/>
        <v>2035493.0000000002</v>
      </c>
      <c r="Y18" s="483">
        <v>4133.9799999999996</v>
      </c>
      <c r="Z18" s="462"/>
      <c r="AA18" s="462">
        <v>162829.26</v>
      </c>
      <c r="AB18" s="462"/>
      <c r="AC18" s="462">
        <v>101106.9</v>
      </c>
      <c r="AD18" s="462">
        <v>3645.02</v>
      </c>
      <c r="AE18" s="462"/>
      <c r="AF18" s="462"/>
      <c r="AG18" s="462">
        <v>1374</v>
      </c>
      <c r="AH18" s="462">
        <v>53277.45</v>
      </c>
      <c r="AI18" s="462"/>
      <c r="AJ18" s="462"/>
      <c r="AK18" s="462"/>
      <c r="AL18" s="465">
        <f t="shared" si="2"/>
        <v>326366.61000000004</v>
      </c>
      <c r="AM18" s="489">
        <v>67.5</v>
      </c>
      <c r="AN18" s="462">
        <v>843</v>
      </c>
      <c r="AO18" s="450">
        <v>-18791.439999999999</v>
      </c>
      <c r="AP18" s="462"/>
      <c r="AQ18" s="450">
        <v>-52.86</v>
      </c>
      <c r="AR18" s="466">
        <v>1</v>
      </c>
    </row>
    <row r="19" spans="1:44" x14ac:dyDescent="0.25">
      <c r="A19" s="460">
        <v>5413</v>
      </c>
      <c r="B19" s="461" t="s">
        <v>166</v>
      </c>
      <c r="C19" s="462">
        <v>1755458.07</v>
      </c>
      <c r="D19" s="464">
        <v>189833.03</v>
      </c>
      <c r="E19" s="462"/>
      <c r="F19" s="464"/>
      <c r="G19" s="462">
        <v>479716.25</v>
      </c>
      <c r="H19" s="464">
        <v>3995.45</v>
      </c>
      <c r="I19" s="462">
        <v>3794.75</v>
      </c>
      <c r="J19" s="464">
        <v>81110.37</v>
      </c>
      <c r="K19" s="462">
        <v>-15394.5</v>
      </c>
      <c r="L19" s="464">
        <v>212751.25</v>
      </c>
      <c r="M19" s="479">
        <f t="shared" si="0"/>
        <v>2711264.6700000004</v>
      </c>
      <c r="N19" s="462">
        <v>194227.4</v>
      </c>
      <c r="O19" s="464"/>
      <c r="P19" s="462">
        <v>188309.6</v>
      </c>
      <c r="Q19" s="464">
        <v>34315.96</v>
      </c>
      <c r="R19" s="462">
        <v>50387.1</v>
      </c>
      <c r="S19" s="464"/>
      <c r="T19" s="462"/>
      <c r="U19" s="464">
        <v>10362.5</v>
      </c>
      <c r="V19" s="462"/>
      <c r="W19" s="464"/>
      <c r="X19" s="475">
        <f t="shared" si="1"/>
        <v>3188867.2300000004</v>
      </c>
      <c r="Y19" s="483">
        <v>-35348.85</v>
      </c>
      <c r="Z19" s="462">
        <v>7773.8</v>
      </c>
      <c r="AA19" s="462">
        <v>152844.4</v>
      </c>
      <c r="AB19" s="462"/>
      <c r="AC19" s="462">
        <v>201524.07</v>
      </c>
      <c r="AD19" s="462"/>
      <c r="AE19" s="462"/>
      <c r="AF19" s="462"/>
      <c r="AG19" s="462"/>
      <c r="AH19" s="462">
        <v>63378.3</v>
      </c>
      <c r="AI19" s="462"/>
      <c r="AJ19" s="462">
        <v>18050.95</v>
      </c>
      <c r="AK19" s="462"/>
      <c r="AL19" s="465">
        <f t="shared" si="2"/>
        <v>408222.67</v>
      </c>
      <c r="AM19" s="489">
        <v>68</v>
      </c>
      <c r="AN19" s="462">
        <v>1597</v>
      </c>
      <c r="AO19" s="450">
        <v>-98624.99</v>
      </c>
      <c r="AP19" s="462"/>
      <c r="AQ19" s="450">
        <v>-108.11</v>
      </c>
      <c r="AR19" s="466">
        <v>1</v>
      </c>
    </row>
    <row r="20" spans="1:44" x14ac:dyDescent="0.25">
      <c r="A20" s="460">
        <v>5414</v>
      </c>
      <c r="B20" s="461" t="s">
        <v>167</v>
      </c>
      <c r="C20" s="462">
        <v>7120378.4699999997</v>
      </c>
      <c r="D20" s="464">
        <v>1109243.24</v>
      </c>
      <c r="E20" s="462"/>
      <c r="F20" s="464"/>
      <c r="G20" s="462">
        <v>1283608.8</v>
      </c>
      <c r="H20" s="464">
        <v>92774.399999999994</v>
      </c>
      <c r="I20" s="462">
        <v>12346.9</v>
      </c>
      <c r="J20" s="464">
        <v>459007.83</v>
      </c>
      <c r="K20" s="462">
        <v>145740</v>
      </c>
      <c r="L20" s="464">
        <v>1009022.65</v>
      </c>
      <c r="M20" s="479">
        <f t="shared" si="0"/>
        <v>11232122.290000001</v>
      </c>
      <c r="N20" s="462">
        <v>878222.3</v>
      </c>
      <c r="O20" s="464">
        <v>76875.399999999994</v>
      </c>
      <c r="P20" s="462">
        <v>572736</v>
      </c>
      <c r="Q20" s="464">
        <v>32626.799999999999</v>
      </c>
      <c r="R20" s="462">
        <v>267302.90000000002</v>
      </c>
      <c r="S20" s="464">
        <v>14640.2</v>
      </c>
      <c r="T20" s="462"/>
      <c r="U20" s="464">
        <v>27427.5</v>
      </c>
      <c r="V20" s="462"/>
      <c r="W20" s="464">
        <v>3287.7</v>
      </c>
      <c r="X20" s="475">
        <f t="shared" si="1"/>
        <v>13105241.090000002</v>
      </c>
      <c r="Y20" s="483">
        <v>158063.35</v>
      </c>
      <c r="Z20" s="462"/>
      <c r="AA20" s="462">
        <v>1092396.7</v>
      </c>
      <c r="AB20" s="462"/>
      <c r="AC20" s="462">
        <v>858669.4</v>
      </c>
      <c r="AD20" s="462">
        <v>200801.45</v>
      </c>
      <c r="AE20" s="462"/>
      <c r="AF20" s="462"/>
      <c r="AG20" s="462">
        <v>88244</v>
      </c>
      <c r="AH20" s="462">
        <v>163200</v>
      </c>
      <c r="AI20" s="462">
        <v>115400</v>
      </c>
      <c r="AJ20" s="462"/>
      <c r="AK20" s="462"/>
      <c r="AL20" s="465">
        <f t="shared" si="2"/>
        <v>2676774.9000000004</v>
      </c>
      <c r="AM20" s="489">
        <v>69</v>
      </c>
      <c r="AN20" s="462">
        <v>5457</v>
      </c>
      <c r="AO20" s="450">
        <v>-232841.62</v>
      </c>
      <c r="AP20" s="462"/>
      <c r="AQ20" s="450">
        <v>-1327.95</v>
      </c>
      <c r="AR20" s="466">
        <v>1</v>
      </c>
    </row>
    <row r="21" spans="1:44" x14ac:dyDescent="0.25">
      <c r="A21" s="460">
        <v>5415</v>
      </c>
      <c r="B21" s="461" t="s">
        <v>78</v>
      </c>
      <c r="C21" s="462">
        <v>1738599.04</v>
      </c>
      <c r="D21" s="464">
        <v>296854.46999999997</v>
      </c>
      <c r="E21" s="462"/>
      <c r="F21" s="464"/>
      <c r="G21" s="462">
        <v>137200.95000000001</v>
      </c>
      <c r="H21" s="464">
        <v>862.3</v>
      </c>
      <c r="I21" s="462"/>
      <c r="J21" s="464">
        <v>52824.83</v>
      </c>
      <c r="K21" s="462">
        <v>9650</v>
      </c>
      <c r="L21" s="464">
        <v>314007.55</v>
      </c>
      <c r="M21" s="479">
        <f t="shared" si="0"/>
        <v>2549999.1399999997</v>
      </c>
      <c r="N21" s="462">
        <v>37558.5</v>
      </c>
      <c r="O21" s="464">
        <v>43074.6</v>
      </c>
      <c r="P21" s="462">
        <v>105100.6</v>
      </c>
      <c r="Q21" s="464">
        <v>25897.13</v>
      </c>
      <c r="R21" s="462">
        <v>73410.05</v>
      </c>
      <c r="S21" s="464"/>
      <c r="T21" s="462"/>
      <c r="U21" s="464">
        <v>8200</v>
      </c>
      <c r="V21" s="462"/>
      <c r="W21" s="464"/>
      <c r="X21" s="475">
        <f t="shared" si="1"/>
        <v>2843240.0199999996</v>
      </c>
      <c r="Y21" s="483">
        <v>64050.9</v>
      </c>
      <c r="Z21" s="462"/>
      <c r="AA21" s="462">
        <v>137114.01</v>
      </c>
      <c r="AB21" s="462"/>
      <c r="AC21" s="462">
        <v>41171.550000000003</v>
      </c>
      <c r="AD21" s="462">
        <v>86048.8</v>
      </c>
      <c r="AE21" s="462"/>
      <c r="AF21" s="462"/>
      <c r="AG21" s="462">
        <v>30073</v>
      </c>
      <c r="AH21" s="462">
        <v>19000</v>
      </c>
      <c r="AI21" s="462"/>
      <c r="AJ21" s="462"/>
      <c r="AK21" s="462">
        <v>19000</v>
      </c>
      <c r="AL21" s="465">
        <f t="shared" si="2"/>
        <v>396458.26</v>
      </c>
      <c r="AM21" s="489">
        <v>68.5</v>
      </c>
      <c r="AN21" s="462">
        <v>1061</v>
      </c>
      <c r="AO21" s="450">
        <v>-23559.81</v>
      </c>
      <c r="AP21" s="462"/>
      <c r="AQ21" s="450">
        <v>-385.28</v>
      </c>
      <c r="AR21" s="466">
        <v>1.5</v>
      </c>
    </row>
    <row r="22" spans="1:44" x14ac:dyDescent="0.25">
      <c r="A22" s="460">
        <v>5421</v>
      </c>
      <c r="B22" s="461" t="s">
        <v>79</v>
      </c>
      <c r="C22" s="462">
        <v>3282235.64</v>
      </c>
      <c r="D22" s="464">
        <v>461646.32</v>
      </c>
      <c r="E22" s="462"/>
      <c r="F22" s="464"/>
      <c r="G22" s="462">
        <v>116961.65</v>
      </c>
      <c r="H22" s="464">
        <v>97887.1</v>
      </c>
      <c r="I22" s="462">
        <v>103474.4</v>
      </c>
      <c r="J22" s="464">
        <v>177561.4</v>
      </c>
      <c r="K22" s="462">
        <v>10157.5</v>
      </c>
      <c r="L22" s="464">
        <v>270977.65000000002</v>
      </c>
      <c r="M22" s="479">
        <f t="shared" si="0"/>
        <v>4520901.66</v>
      </c>
      <c r="N22" s="462">
        <v>18941.900000000001</v>
      </c>
      <c r="O22" s="464">
        <v>-16642.5</v>
      </c>
      <c r="P22" s="462">
        <v>49923.5</v>
      </c>
      <c r="Q22" s="464"/>
      <c r="R22" s="462">
        <v>16966.5</v>
      </c>
      <c r="S22" s="464">
        <v>62.5</v>
      </c>
      <c r="T22" s="462">
        <v>1000.05</v>
      </c>
      <c r="U22" s="464">
        <v>9000</v>
      </c>
      <c r="V22" s="462"/>
      <c r="W22" s="464"/>
      <c r="X22" s="475">
        <f t="shared" si="1"/>
        <v>4600153.6100000003</v>
      </c>
      <c r="Y22" s="483">
        <v>18248</v>
      </c>
      <c r="Z22" s="462"/>
      <c r="AA22" s="462">
        <v>383880.75</v>
      </c>
      <c r="AB22" s="462"/>
      <c r="AC22" s="462">
        <v>200998.97</v>
      </c>
      <c r="AD22" s="462">
        <v>43050</v>
      </c>
      <c r="AE22" s="462"/>
      <c r="AF22" s="462"/>
      <c r="AG22" s="462"/>
      <c r="AH22" s="462"/>
      <c r="AI22" s="462"/>
      <c r="AJ22" s="462"/>
      <c r="AK22" s="462"/>
      <c r="AL22" s="465">
        <f t="shared" si="2"/>
        <v>646177.72</v>
      </c>
      <c r="AM22" s="489">
        <v>76</v>
      </c>
      <c r="AN22" s="462">
        <v>1412</v>
      </c>
      <c r="AO22" s="450">
        <v>-35641.96</v>
      </c>
      <c r="AP22" s="462"/>
      <c r="AQ22" s="450">
        <v>-836.88</v>
      </c>
      <c r="AR22" s="466">
        <v>1</v>
      </c>
    </row>
    <row r="23" spans="1:44" x14ac:dyDescent="0.25">
      <c r="A23" s="460">
        <v>5422</v>
      </c>
      <c r="B23" s="461" t="s">
        <v>80</v>
      </c>
      <c r="C23" s="462">
        <v>9071781.1600000001</v>
      </c>
      <c r="D23" s="464">
        <v>1725078.12</v>
      </c>
      <c r="E23" s="462"/>
      <c r="F23" s="464"/>
      <c r="G23" s="462">
        <v>2811401.2</v>
      </c>
      <c r="H23" s="464">
        <v>120537.25</v>
      </c>
      <c r="I23" s="462">
        <v>244858.9</v>
      </c>
      <c r="J23" s="464">
        <v>13806.26</v>
      </c>
      <c r="K23" s="462">
        <v>125799</v>
      </c>
      <c r="L23" s="464">
        <v>903935.44</v>
      </c>
      <c r="M23" s="479">
        <f t="shared" si="0"/>
        <v>15017197.33</v>
      </c>
      <c r="N23" s="462">
        <v>679640.9</v>
      </c>
      <c r="O23" s="464">
        <v>18186.599999999999</v>
      </c>
      <c r="P23" s="462">
        <v>334267.65000000002</v>
      </c>
      <c r="Q23" s="464">
        <v>7315.44</v>
      </c>
      <c r="R23" s="462">
        <v>221888.95</v>
      </c>
      <c r="S23" s="464"/>
      <c r="T23" s="462">
        <v>13023.6</v>
      </c>
      <c r="U23" s="464">
        <v>20800</v>
      </c>
      <c r="V23" s="462"/>
      <c r="W23" s="464"/>
      <c r="X23" s="475">
        <f t="shared" si="1"/>
        <v>16312320.469999999</v>
      </c>
      <c r="Y23" s="483">
        <v>21934.18</v>
      </c>
      <c r="Z23" s="462"/>
      <c r="AA23" s="462">
        <v>294881.53999999998</v>
      </c>
      <c r="AB23" s="462"/>
      <c r="AC23" s="462">
        <v>279121.89</v>
      </c>
      <c r="AD23" s="462">
        <v>23555.14</v>
      </c>
      <c r="AE23" s="462"/>
      <c r="AF23" s="462"/>
      <c r="AG23" s="462"/>
      <c r="AH23" s="462">
        <v>209612.4</v>
      </c>
      <c r="AI23" s="462"/>
      <c r="AJ23" s="462"/>
      <c r="AK23" s="462"/>
      <c r="AL23" s="465">
        <f t="shared" si="2"/>
        <v>829105.15</v>
      </c>
      <c r="AM23" s="489">
        <v>68</v>
      </c>
      <c r="AN23" s="462">
        <v>3272</v>
      </c>
      <c r="AO23" s="450">
        <v>-131583.53</v>
      </c>
      <c r="AP23" s="462"/>
      <c r="AQ23" s="450">
        <v>-1733.23</v>
      </c>
      <c r="AR23" s="466">
        <v>1</v>
      </c>
    </row>
    <row r="24" spans="1:44" x14ac:dyDescent="0.25">
      <c r="A24" s="460">
        <v>5423</v>
      </c>
      <c r="B24" s="461" t="s">
        <v>81</v>
      </c>
      <c r="C24" s="462">
        <v>835190.79</v>
      </c>
      <c r="D24" s="464">
        <v>114106.87</v>
      </c>
      <c r="E24" s="462"/>
      <c r="F24" s="464">
        <v>2640</v>
      </c>
      <c r="G24" s="462">
        <v>3951</v>
      </c>
      <c r="H24" s="464">
        <v>124.65</v>
      </c>
      <c r="I24" s="462"/>
      <c r="J24" s="464">
        <v>28152.09</v>
      </c>
      <c r="K24" s="462">
        <v>-5229</v>
      </c>
      <c r="L24" s="464">
        <v>35561.599999999999</v>
      </c>
      <c r="M24" s="479">
        <f t="shared" si="0"/>
        <v>1014498</v>
      </c>
      <c r="N24" s="462">
        <v>12734.2</v>
      </c>
      <c r="O24" s="464"/>
      <c r="P24" s="462">
        <v>9537.2999999999993</v>
      </c>
      <c r="Q24" s="464">
        <v>11881.04</v>
      </c>
      <c r="R24" s="462">
        <v>3339.8</v>
      </c>
      <c r="S24" s="464">
        <v>125</v>
      </c>
      <c r="T24" s="462">
        <v>834.4</v>
      </c>
      <c r="U24" s="464">
        <v>1275</v>
      </c>
      <c r="V24" s="462"/>
      <c r="W24" s="464"/>
      <c r="X24" s="475">
        <f t="shared" si="1"/>
        <v>1054224.74</v>
      </c>
      <c r="Y24" s="483"/>
      <c r="Z24" s="462"/>
      <c r="AA24" s="462">
        <v>157536.54999999999</v>
      </c>
      <c r="AB24" s="462"/>
      <c r="AC24" s="462">
        <v>27128.400000000001</v>
      </c>
      <c r="AD24" s="462"/>
      <c r="AE24" s="462"/>
      <c r="AF24" s="462"/>
      <c r="AG24" s="462"/>
      <c r="AH24" s="462">
        <v>11772.2</v>
      </c>
      <c r="AI24" s="462"/>
      <c r="AJ24" s="462"/>
      <c r="AK24" s="462"/>
      <c r="AL24" s="465">
        <f t="shared" si="2"/>
        <v>196437.15</v>
      </c>
      <c r="AM24" s="489">
        <v>69</v>
      </c>
      <c r="AN24" s="462">
        <v>508</v>
      </c>
      <c r="AO24" s="450">
        <v>-1300.93</v>
      </c>
      <c r="AP24" s="462"/>
      <c r="AQ24" s="450">
        <v>-933.89</v>
      </c>
      <c r="AR24" s="466">
        <v>0.5</v>
      </c>
    </row>
    <row r="25" spans="1:44" x14ac:dyDescent="0.25">
      <c r="A25" s="460">
        <v>5424</v>
      </c>
      <c r="B25" s="461" t="s">
        <v>82</v>
      </c>
      <c r="C25" s="462">
        <v>529350.04</v>
      </c>
      <c r="D25" s="464">
        <v>47660.95</v>
      </c>
      <c r="E25" s="462"/>
      <c r="F25" s="464"/>
      <c r="G25" s="462">
        <v>-64.050000000000196</v>
      </c>
      <c r="H25" s="464">
        <v>44.1</v>
      </c>
      <c r="I25" s="462">
        <v>33149</v>
      </c>
      <c r="J25" s="464">
        <v>45661.2</v>
      </c>
      <c r="K25" s="462">
        <v>94.5</v>
      </c>
      <c r="L25" s="464">
        <v>49420</v>
      </c>
      <c r="M25" s="479">
        <f t="shared" si="0"/>
        <v>705315.73999999987</v>
      </c>
      <c r="N25" s="462"/>
      <c r="O25" s="464">
        <v>6884</v>
      </c>
      <c r="P25" s="462">
        <v>27894.05</v>
      </c>
      <c r="Q25" s="464"/>
      <c r="R25" s="462">
        <v>12503.55</v>
      </c>
      <c r="S25" s="464"/>
      <c r="T25" s="462"/>
      <c r="U25" s="464">
        <v>1975</v>
      </c>
      <c r="V25" s="462"/>
      <c r="W25" s="464"/>
      <c r="X25" s="475">
        <f t="shared" si="1"/>
        <v>754572.34</v>
      </c>
      <c r="Y25" s="483">
        <v>7300</v>
      </c>
      <c r="Z25" s="462"/>
      <c r="AA25" s="462">
        <v>40004.050000000003</v>
      </c>
      <c r="AB25" s="462"/>
      <c r="AC25" s="462">
        <v>12529.2</v>
      </c>
      <c r="AD25" s="462">
        <v>6304.65</v>
      </c>
      <c r="AE25" s="462"/>
      <c r="AF25" s="462"/>
      <c r="AG25" s="462"/>
      <c r="AH25" s="462">
        <v>7253.45</v>
      </c>
      <c r="AI25" s="462"/>
      <c r="AJ25" s="462"/>
      <c r="AK25" s="462"/>
      <c r="AL25" s="465">
        <f t="shared" si="2"/>
        <v>73391.349999999991</v>
      </c>
      <c r="AM25" s="489">
        <v>77</v>
      </c>
      <c r="AN25" s="462">
        <v>301</v>
      </c>
      <c r="AO25" s="450">
        <v>-7741.81</v>
      </c>
      <c r="AP25" s="462"/>
      <c r="AQ25" s="450">
        <v>-89.23</v>
      </c>
      <c r="AR25" s="466">
        <v>1</v>
      </c>
    </row>
    <row r="26" spans="1:44" x14ac:dyDescent="0.25">
      <c r="A26" s="460">
        <v>5425</v>
      </c>
      <c r="B26" s="461" t="s">
        <v>83</v>
      </c>
      <c r="C26" s="462">
        <v>2045215.4</v>
      </c>
      <c r="D26" s="464">
        <v>222522.21</v>
      </c>
      <c r="E26" s="462"/>
      <c r="F26" s="464"/>
      <c r="G26" s="462">
        <v>144479.29999999999</v>
      </c>
      <c r="H26" s="464">
        <v>1747.85</v>
      </c>
      <c r="I26" s="462"/>
      <c r="J26" s="464">
        <v>94786.12</v>
      </c>
      <c r="K26" s="462">
        <v>13629.5</v>
      </c>
      <c r="L26" s="464">
        <v>94071.35</v>
      </c>
      <c r="M26" s="479">
        <f t="shared" si="0"/>
        <v>2616451.73</v>
      </c>
      <c r="N26" s="462">
        <v>47803.7</v>
      </c>
      <c r="O26" s="464">
        <v>142828.79999999999</v>
      </c>
      <c r="P26" s="462">
        <v>100091.85</v>
      </c>
      <c r="Q26" s="464">
        <v>7929.86</v>
      </c>
      <c r="R26" s="462">
        <v>103205.8</v>
      </c>
      <c r="S26" s="464">
        <v>675</v>
      </c>
      <c r="T26" s="462">
        <v>4154.3999999999996</v>
      </c>
      <c r="U26" s="464">
        <v>11450</v>
      </c>
      <c r="V26" s="462">
        <v>7569.85</v>
      </c>
      <c r="W26" s="464"/>
      <c r="X26" s="475">
        <f t="shared" si="1"/>
        <v>3042160.9899999998</v>
      </c>
      <c r="Y26" s="483">
        <v>12375</v>
      </c>
      <c r="Z26" s="462"/>
      <c r="AA26" s="462">
        <v>186189.48</v>
      </c>
      <c r="AB26" s="462"/>
      <c r="AC26" s="462">
        <v>174248.91</v>
      </c>
      <c r="AD26" s="462">
        <v>6850</v>
      </c>
      <c r="AE26" s="462"/>
      <c r="AF26" s="462"/>
      <c r="AG26" s="462"/>
      <c r="AH26" s="462">
        <v>58769.599999999999</v>
      </c>
      <c r="AI26" s="462"/>
      <c r="AJ26" s="462"/>
      <c r="AK26" s="462"/>
      <c r="AL26" s="465">
        <f t="shared" si="2"/>
        <v>438432.99</v>
      </c>
      <c r="AM26" s="489">
        <v>68</v>
      </c>
      <c r="AN26" s="462">
        <v>1546</v>
      </c>
      <c r="AO26" s="450">
        <v>-38273.43</v>
      </c>
      <c r="AP26" s="462"/>
      <c r="AQ26" s="450">
        <v>-92.69</v>
      </c>
      <c r="AR26" s="466">
        <v>0.5</v>
      </c>
    </row>
    <row r="27" spans="1:44" x14ac:dyDescent="0.25">
      <c r="A27" s="460">
        <v>5426</v>
      </c>
      <c r="B27" s="461" t="s">
        <v>77</v>
      </c>
      <c r="C27" s="462">
        <v>1235198.08</v>
      </c>
      <c r="D27" s="464">
        <v>533659.15</v>
      </c>
      <c r="E27" s="462"/>
      <c r="F27" s="464"/>
      <c r="G27" s="462">
        <v>63340</v>
      </c>
      <c r="H27" s="464">
        <v>1425.3</v>
      </c>
      <c r="I27" s="462">
        <v>564261.55000000005</v>
      </c>
      <c r="J27" s="464">
        <v>45521.1</v>
      </c>
      <c r="K27" s="462">
        <v>4457</v>
      </c>
      <c r="L27" s="464">
        <v>226148.15</v>
      </c>
      <c r="M27" s="479">
        <f t="shared" si="0"/>
        <v>2674010.33</v>
      </c>
      <c r="N27" s="462">
        <v>18980.099999999999</v>
      </c>
      <c r="O27" s="464">
        <v>5580057</v>
      </c>
      <c r="P27" s="462">
        <v>30668</v>
      </c>
      <c r="Q27" s="464">
        <v>28646.06</v>
      </c>
      <c r="R27" s="462">
        <v>52895.1</v>
      </c>
      <c r="S27" s="464"/>
      <c r="T27" s="462">
        <v>700</v>
      </c>
      <c r="U27" s="464">
        <v>3560</v>
      </c>
      <c r="V27" s="462"/>
      <c r="W27" s="464"/>
      <c r="X27" s="475">
        <f t="shared" si="1"/>
        <v>8389516.5899999999</v>
      </c>
      <c r="Y27" s="483">
        <v>41407.870000000003</v>
      </c>
      <c r="Z27" s="462"/>
      <c r="AA27" s="462">
        <v>102164</v>
      </c>
      <c r="AB27" s="462"/>
      <c r="AC27" s="462">
        <v>24547.85</v>
      </c>
      <c r="AD27" s="462">
        <v>17594.96</v>
      </c>
      <c r="AE27" s="462"/>
      <c r="AF27" s="462"/>
      <c r="AG27" s="462"/>
      <c r="AH27" s="462"/>
      <c r="AI27" s="462"/>
      <c r="AJ27" s="462"/>
      <c r="AK27" s="462"/>
      <c r="AL27" s="465">
        <f t="shared" si="2"/>
        <v>185714.68</v>
      </c>
      <c r="AM27" s="489">
        <v>62</v>
      </c>
      <c r="AN27" s="462">
        <v>467</v>
      </c>
      <c r="AO27" s="450">
        <v>-61316.11</v>
      </c>
      <c r="AP27" s="462"/>
      <c r="AQ27" s="450">
        <v>-2141.73</v>
      </c>
      <c r="AR27" s="466">
        <v>1</v>
      </c>
    </row>
    <row r="28" spans="1:44" x14ac:dyDescent="0.25">
      <c r="A28" s="460">
        <v>5427</v>
      </c>
      <c r="B28" s="461" t="s">
        <v>386</v>
      </c>
      <c r="C28" s="462">
        <v>3317445.58</v>
      </c>
      <c r="D28" s="464">
        <v>760551.9</v>
      </c>
      <c r="E28" s="462"/>
      <c r="F28" s="464"/>
      <c r="G28" s="462">
        <v>6897.45</v>
      </c>
      <c r="H28" s="464">
        <v>4238.3500000000004</v>
      </c>
      <c r="I28" s="462"/>
      <c r="J28" s="464">
        <v>-14751.18</v>
      </c>
      <c r="K28" s="462">
        <v>2738</v>
      </c>
      <c r="L28" s="464">
        <v>423159.65</v>
      </c>
      <c r="M28" s="479">
        <f t="shared" si="0"/>
        <v>4500279.75</v>
      </c>
      <c r="N28" s="462">
        <v>9672.0499999999993</v>
      </c>
      <c r="O28" s="464">
        <v>9416.9</v>
      </c>
      <c r="P28" s="462">
        <v>153965</v>
      </c>
      <c r="Q28" s="464"/>
      <c r="R28" s="462">
        <v>181710.8</v>
      </c>
      <c r="S28" s="464"/>
      <c r="T28" s="462"/>
      <c r="U28" s="464">
        <v>4410</v>
      </c>
      <c r="V28" s="462"/>
      <c r="W28" s="464"/>
      <c r="X28" s="475">
        <f t="shared" si="1"/>
        <v>4859454.5</v>
      </c>
      <c r="Y28" s="483">
        <v>27726.75</v>
      </c>
      <c r="Z28" s="462"/>
      <c r="AA28" s="462">
        <v>246241.95</v>
      </c>
      <c r="AB28" s="462"/>
      <c r="AC28" s="462">
        <v>102674</v>
      </c>
      <c r="AD28" s="462"/>
      <c r="AE28" s="462"/>
      <c r="AF28" s="462"/>
      <c r="AG28" s="462"/>
      <c r="AH28" s="462"/>
      <c r="AI28" s="462"/>
      <c r="AJ28" s="462"/>
      <c r="AK28" s="462"/>
      <c r="AL28" s="465">
        <f t="shared" si="2"/>
        <v>376642.7</v>
      </c>
      <c r="AM28" s="489">
        <v>64</v>
      </c>
      <c r="AN28" s="462">
        <v>887</v>
      </c>
      <c r="AO28" s="450">
        <v>-280.08</v>
      </c>
      <c r="AP28" s="462"/>
      <c r="AQ28" s="450">
        <v>0</v>
      </c>
      <c r="AR28" s="466">
        <v>1.3</v>
      </c>
    </row>
    <row r="29" spans="1:44" x14ac:dyDescent="0.25">
      <c r="A29" s="460">
        <v>5428</v>
      </c>
      <c r="B29" s="461" t="s">
        <v>387</v>
      </c>
      <c r="C29" s="462">
        <v>3077389.39</v>
      </c>
      <c r="D29" s="464">
        <v>451769.16</v>
      </c>
      <c r="E29" s="462"/>
      <c r="F29" s="464"/>
      <c r="G29" s="462">
        <v>145049.4</v>
      </c>
      <c r="H29" s="464">
        <v>1105.6500000000001</v>
      </c>
      <c r="I29" s="462">
        <v>42660.1</v>
      </c>
      <c r="J29" s="464">
        <v>139520.24</v>
      </c>
      <c r="K29" s="462">
        <v>12206.5</v>
      </c>
      <c r="L29" s="464">
        <v>375400.65</v>
      </c>
      <c r="M29" s="479">
        <f t="shared" si="0"/>
        <v>4245101.0900000008</v>
      </c>
      <c r="N29" s="462">
        <v>194411.7</v>
      </c>
      <c r="O29" s="464">
        <v>177477.2</v>
      </c>
      <c r="P29" s="462">
        <v>191030.9</v>
      </c>
      <c r="Q29" s="464">
        <v>7503.59</v>
      </c>
      <c r="R29" s="462">
        <v>144497.04999999999</v>
      </c>
      <c r="S29" s="464">
        <v>600</v>
      </c>
      <c r="T29" s="462">
        <v>1844.2</v>
      </c>
      <c r="U29" s="464">
        <v>9450</v>
      </c>
      <c r="V29" s="462"/>
      <c r="W29" s="464"/>
      <c r="X29" s="475">
        <f t="shared" si="1"/>
        <v>4971915.7300000014</v>
      </c>
      <c r="Y29" s="483">
        <v>196560</v>
      </c>
      <c r="Z29" s="462">
        <v>1243.25</v>
      </c>
      <c r="AA29" s="462">
        <v>256901.9</v>
      </c>
      <c r="AB29" s="462"/>
      <c r="AC29" s="462">
        <v>192278.31</v>
      </c>
      <c r="AD29" s="462">
        <v>196560</v>
      </c>
      <c r="AE29" s="462">
        <v>1243.25</v>
      </c>
      <c r="AF29" s="462"/>
      <c r="AG29" s="462"/>
      <c r="AH29" s="462">
        <v>45296.9</v>
      </c>
      <c r="AI29" s="462"/>
      <c r="AJ29" s="462"/>
      <c r="AK29" s="462"/>
      <c r="AL29" s="465">
        <f t="shared" si="2"/>
        <v>890083.61</v>
      </c>
      <c r="AM29" s="489">
        <v>71.5</v>
      </c>
      <c r="AN29" s="462">
        <v>1948</v>
      </c>
      <c r="AO29" s="450">
        <v>-42603.93</v>
      </c>
      <c r="AP29" s="462"/>
      <c r="AQ29" s="450">
        <v>-103.45</v>
      </c>
      <c r="AR29" s="466">
        <v>1.2</v>
      </c>
    </row>
    <row r="30" spans="1:44" x14ac:dyDescent="0.25">
      <c r="A30" s="460">
        <v>5429</v>
      </c>
      <c r="B30" s="461" t="s">
        <v>407</v>
      </c>
      <c r="C30" s="462">
        <v>786182.47</v>
      </c>
      <c r="D30" s="464">
        <v>101230.01</v>
      </c>
      <c r="E30" s="462"/>
      <c r="F30" s="464"/>
      <c r="G30" s="462">
        <v>12359.8</v>
      </c>
      <c r="H30" s="464">
        <v>-1672.15</v>
      </c>
      <c r="I30" s="462"/>
      <c r="J30" s="464">
        <v>12589.59</v>
      </c>
      <c r="K30" s="462">
        <v>1064</v>
      </c>
      <c r="L30" s="464">
        <v>88377.600000000006</v>
      </c>
      <c r="M30" s="479">
        <f t="shared" si="0"/>
        <v>1000131.32</v>
      </c>
      <c r="N30" s="462"/>
      <c r="O30" s="464"/>
      <c r="P30" s="462">
        <v>99177.55</v>
      </c>
      <c r="Q30" s="464">
        <v>11095.95</v>
      </c>
      <c r="R30" s="462">
        <v>67851.399999999994</v>
      </c>
      <c r="S30" s="464"/>
      <c r="T30" s="462"/>
      <c r="U30" s="464">
        <v>4140</v>
      </c>
      <c r="V30" s="462"/>
      <c r="W30" s="464"/>
      <c r="X30" s="475">
        <f t="shared" si="1"/>
        <v>1182396.2199999997</v>
      </c>
      <c r="Y30" s="483">
        <v>16525</v>
      </c>
      <c r="Z30" s="462"/>
      <c r="AA30" s="462">
        <v>37304</v>
      </c>
      <c r="AB30" s="462"/>
      <c r="AC30" s="462">
        <v>56514.9</v>
      </c>
      <c r="AD30" s="462">
        <v>16518.3</v>
      </c>
      <c r="AE30" s="462"/>
      <c r="AF30" s="462"/>
      <c r="AG30" s="462">
        <v>4428.7</v>
      </c>
      <c r="AH30" s="462"/>
      <c r="AI30" s="462"/>
      <c r="AJ30" s="462"/>
      <c r="AK30" s="462"/>
      <c r="AL30" s="465">
        <f t="shared" si="2"/>
        <v>131290.9</v>
      </c>
      <c r="AM30" s="489">
        <v>81</v>
      </c>
      <c r="AN30" s="462">
        <v>460</v>
      </c>
      <c r="AO30" s="450">
        <v>-25347.96</v>
      </c>
      <c r="AP30" s="462"/>
      <c r="AQ30" s="450">
        <v>0</v>
      </c>
      <c r="AR30" s="466">
        <v>1</v>
      </c>
    </row>
    <row r="31" spans="1:44" x14ac:dyDescent="0.25">
      <c r="A31" s="460">
        <v>5430</v>
      </c>
      <c r="B31" s="461" t="s">
        <v>408</v>
      </c>
      <c r="C31" s="462">
        <v>678474.53</v>
      </c>
      <c r="D31" s="464">
        <v>78571.86</v>
      </c>
      <c r="E31" s="462"/>
      <c r="F31" s="464"/>
      <c r="G31" s="462">
        <v>6048.3</v>
      </c>
      <c r="H31" s="464">
        <v>-20.25</v>
      </c>
      <c r="I31" s="462"/>
      <c r="J31" s="464">
        <v>-2505.7800000000002</v>
      </c>
      <c r="K31" s="462">
        <v>1356.5</v>
      </c>
      <c r="L31" s="464">
        <v>79001.45</v>
      </c>
      <c r="M31" s="479">
        <f t="shared" si="0"/>
        <v>840926.61</v>
      </c>
      <c r="N31" s="462">
        <v>9030.9500000000007</v>
      </c>
      <c r="O31" s="464"/>
      <c r="P31" s="462">
        <v>48368.15</v>
      </c>
      <c r="Q31" s="464">
        <v>3173.44</v>
      </c>
      <c r="R31" s="462">
        <v>41408.6</v>
      </c>
      <c r="S31" s="464"/>
      <c r="T31" s="462"/>
      <c r="U31" s="464">
        <v>2560</v>
      </c>
      <c r="V31" s="462"/>
      <c r="W31" s="464"/>
      <c r="X31" s="475">
        <f t="shared" si="1"/>
        <v>945467.74999999988</v>
      </c>
      <c r="Y31" s="483">
        <v>66900</v>
      </c>
      <c r="Z31" s="462"/>
      <c r="AA31" s="462">
        <v>62912.800000000003</v>
      </c>
      <c r="AB31" s="462"/>
      <c r="AC31" s="462">
        <v>40639</v>
      </c>
      <c r="AD31" s="462">
        <v>67260</v>
      </c>
      <c r="AE31" s="462"/>
      <c r="AF31" s="462"/>
      <c r="AG31" s="462">
        <v>2526.9499999999998</v>
      </c>
      <c r="AH31" s="462"/>
      <c r="AI31" s="462"/>
      <c r="AJ31" s="462"/>
      <c r="AK31" s="462"/>
      <c r="AL31" s="465">
        <f t="shared" si="2"/>
        <v>240238.75</v>
      </c>
      <c r="AM31" s="489">
        <v>79</v>
      </c>
      <c r="AN31" s="462">
        <v>430</v>
      </c>
      <c r="AO31" s="450">
        <v>-8618.16</v>
      </c>
      <c r="AP31" s="462"/>
      <c r="AQ31" s="450">
        <v>-201.84</v>
      </c>
      <c r="AR31" s="466">
        <v>1</v>
      </c>
    </row>
    <row r="32" spans="1:44" x14ac:dyDescent="0.25">
      <c r="A32" s="460">
        <v>5431</v>
      </c>
      <c r="B32" s="461" t="s">
        <v>409</v>
      </c>
      <c r="C32" s="462">
        <v>680037.41</v>
      </c>
      <c r="D32" s="464">
        <v>93811.839999999997</v>
      </c>
      <c r="E32" s="462"/>
      <c r="F32" s="464"/>
      <c r="G32" s="462">
        <v>435.3</v>
      </c>
      <c r="H32" s="464">
        <v>225.5</v>
      </c>
      <c r="I32" s="462"/>
      <c r="J32" s="464">
        <v>10042.17</v>
      </c>
      <c r="K32" s="462">
        <v>300.5</v>
      </c>
      <c r="L32" s="464">
        <v>48331.8</v>
      </c>
      <c r="M32" s="479">
        <f t="shared" si="0"/>
        <v>833184.52000000014</v>
      </c>
      <c r="N32" s="462"/>
      <c r="O32" s="464"/>
      <c r="P32" s="462">
        <v>11739.25</v>
      </c>
      <c r="Q32" s="464"/>
      <c r="R32" s="462">
        <v>38039.949999999997</v>
      </c>
      <c r="S32" s="464"/>
      <c r="T32" s="462"/>
      <c r="U32" s="464">
        <v>2150</v>
      </c>
      <c r="V32" s="462"/>
      <c r="W32" s="464"/>
      <c r="X32" s="475">
        <f t="shared" si="1"/>
        <v>885113.72000000009</v>
      </c>
      <c r="Y32" s="483">
        <v>1937.15</v>
      </c>
      <c r="Z32" s="462"/>
      <c r="AA32" s="462">
        <v>90125</v>
      </c>
      <c r="AB32" s="462"/>
      <c r="AC32" s="462">
        <v>16521.8</v>
      </c>
      <c r="AD32" s="462">
        <v>1937.15</v>
      </c>
      <c r="AE32" s="462"/>
      <c r="AF32" s="462"/>
      <c r="AG32" s="462"/>
      <c r="AH32" s="462"/>
      <c r="AI32" s="462"/>
      <c r="AJ32" s="462"/>
      <c r="AK32" s="462"/>
      <c r="AL32" s="465">
        <f t="shared" si="2"/>
        <v>110521.09999999999</v>
      </c>
      <c r="AM32" s="489">
        <v>74</v>
      </c>
      <c r="AN32" s="462">
        <v>295</v>
      </c>
      <c r="AO32" s="450">
        <v>-3822.8</v>
      </c>
      <c r="AP32" s="462"/>
      <c r="AQ32" s="450">
        <v>-115.42</v>
      </c>
      <c r="AR32" s="466">
        <v>1</v>
      </c>
    </row>
    <row r="33" spans="1:44" x14ac:dyDescent="0.25">
      <c r="A33" s="460">
        <v>5432</v>
      </c>
      <c r="B33" s="461" t="s">
        <v>410</v>
      </c>
      <c r="C33" s="462">
        <v>1103909.54</v>
      </c>
      <c r="D33" s="464">
        <v>86538.12</v>
      </c>
      <c r="E33" s="462"/>
      <c r="F33" s="464"/>
      <c r="G33" s="462">
        <v>57081.35</v>
      </c>
      <c r="H33" s="464">
        <v>625.45000000000005</v>
      </c>
      <c r="I33" s="462"/>
      <c r="J33" s="464">
        <v>65044.54</v>
      </c>
      <c r="K33" s="462">
        <v>5103.5</v>
      </c>
      <c r="L33" s="464">
        <v>91587.4</v>
      </c>
      <c r="M33" s="479">
        <f t="shared" si="0"/>
        <v>1409889.9000000001</v>
      </c>
      <c r="N33" s="462">
        <v>11765.7</v>
      </c>
      <c r="O33" s="464">
        <v>44885.2</v>
      </c>
      <c r="P33" s="462">
        <v>14080</v>
      </c>
      <c r="Q33" s="464">
        <v>790.59</v>
      </c>
      <c r="R33" s="462">
        <v>51697.65</v>
      </c>
      <c r="S33" s="464"/>
      <c r="T33" s="462">
        <v>180</v>
      </c>
      <c r="U33" s="464">
        <v>4060</v>
      </c>
      <c r="V33" s="462"/>
      <c r="W33" s="464"/>
      <c r="X33" s="475">
        <f t="shared" si="1"/>
        <v>1537349.04</v>
      </c>
      <c r="Y33" s="483"/>
      <c r="Z33" s="462">
        <v>4337.45</v>
      </c>
      <c r="AA33" s="462">
        <v>37502.1</v>
      </c>
      <c r="AB33" s="462"/>
      <c r="AC33" s="462">
        <v>49630</v>
      </c>
      <c r="AD33" s="462"/>
      <c r="AE33" s="462">
        <v>4337.45</v>
      </c>
      <c r="AF33" s="462"/>
      <c r="AG33" s="462"/>
      <c r="AH33" s="462">
        <v>11285.75</v>
      </c>
      <c r="AI33" s="462"/>
      <c r="AJ33" s="462"/>
      <c r="AK33" s="462"/>
      <c r="AL33" s="465">
        <f t="shared" si="2"/>
        <v>107092.74999999999</v>
      </c>
      <c r="AM33" s="489">
        <v>78</v>
      </c>
      <c r="AN33" s="462">
        <v>522</v>
      </c>
      <c r="AO33" s="450">
        <v>-28065.99</v>
      </c>
      <c r="AP33" s="462"/>
      <c r="AQ33" s="450">
        <v>-31.8</v>
      </c>
      <c r="AR33" s="466">
        <v>1</v>
      </c>
    </row>
    <row r="34" spans="1:44" x14ac:dyDescent="0.25">
      <c r="A34" s="460">
        <v>5434</v>
      </c>
      <c r="B34" s="461" t="s">
        <v>411</v>
      </c>
      <c r="C34" s="462">
        <v>2177245.42</v>
      </c>
      <c r="D34" s="464"/>
      <c r="E34" s="462"/>
      <c r="F34" s="464"/>
      <c r="G34" s="462">
        <v>45696.6</v>
      </c>
      <c r="H34" s="464"/>
      <c r="I34" s="462"/>
      <c r="J34" s="464">
        <v>40785.25</v>
      </c>
      <c r="K34" s="462"/>
      <c r="L34" s="464">
        <v>200586.4</v>
      </c>
      <c r="M34" s="479">
        <f t="shared" si="0"/>
        <v>2464313.67</v>
      </c>
      <c r="N34" s="462">
        <v>35108.800000000003</v>
      </c>
      <c r="O34" s="464">
        <v>51215.199999999997</v>
      </c>
      <c r="P34" s="462">
        <v>77779.899999999994</v>
      </c>
      <c r="Q34" s="464">
        <v>1600.11</v>
      </c>
      <c r="R34" s="462">
        <v>57894.55</v>
      </c>
      <c r="S34" s="464">
        <v>977.1</v>
      </c>
      <c r="T34" s="462"/>
      <c r="U34" s="464">
        <v>7640</v>
      </c>
      <c r="V34" s="462"/>
      <c r="W34" s="464"/>
      <c r="X34" s="475">
        <f t="shared" si="1"/>
        <v>2696529.3299999996</v>
      </c>
      <c r="Y34" s="483">
        <v>9286.2000000000007</v>
      </c>
      <c r="Z34" s="462"/>
      <c r="AA34" s="462">
        <v>96936.95</v>
      </c>
      <c r="AB34" s="462"/>
      <c r="AC34" s="462">
        <v>84543.95</v>
      </c>
      <c r="AD34" s="462">
        <v>35272.800000000003</v>
      </c>
      <c r="AE34" s="462"/>
      <c r="AF34" s="462"/>
      <c r="AG34" s="462">
        <v>10704.45</v>
      </c>
      <c r="AH34" s="462"/>
      <c r="AI34" s="462"/>
      <c r="AJ34" s="462"/>
      <c r="AK34" s="462"/>
      <c r="AL34" s="465">
        <f t="shared" si="2"/>
        <v>236744.34999999998</v>
      </c>
      <c r="AM34" s="489">
        <v>68.5</v>
      </c>
      <c r="AN34" s="462">
        <v>991</v>
      </c>
      <c r="AO34" s="450">
        <v>-7056.2</v>
      </c>
      <c r="AP34" s="485"/>
      <c r="AQ34" s="450">
        <v>0</v>
      </c>
      <c r="AR34" s="466">
        <v>1</v>
      </c>
    </row>
    <row r="35" spans="1:44" x14ac:dyDescent="0.25">
      <c r="A35" s="460">
        <v>5435</v>
      </c>
      <c r="B35" s="461" t="s">
        <v>388</v>
      </c>
      <c r="C35" s="462">
        <v>1226649.4099999999</v>
      </c>
      <c r="D35" s="464">
        <v>126032.19</v>
      </c>
      <c r="E35" s="462"/>
      <c r="F35" s="464"/>
      <c r="G35" s="462">
        <v>17218.099999999999</v>
      </c>
      <c r="H35" s="464">
        <v>163.4</v>
      </c>
      <c r="I35" s="462"/>
      <c r="J35" s="464">
        <v>90637.82</v>
      </c>
      <c r="K35" s="462"/>
      <c r="L35" s="464">
        <v>117397.2</v>
      </c>
      <c r="M35" s="479">
        <f t="shared" si="0"/>
        <v>1578098.1199999999</v>
      </c>
      <c r="N35" s="462">
        <v>1994.1</v>
      </c>
      <c r="O35" s="464"/>
      <c r="P35" s="462">
        <v>9516.15</v>
      </c>
      <c r="Q35" s="464">
        <v>4134.6499999999996</v>
      </c>
      <c r="R35" s="462">
        <v>9444.35</v>
      </c>
      <c r="S35" s="464"/>
      <c r="T35" s="462">
        <v>360</v>
      </c>
      <c r="U35" s="464">
        <v>5380</v>
      </c>
      <c r="V35" s="462"/>
      <c r="W35" s="464"/>
      <c r="X35" s="475">
        <f t="shared" si="1"/>
        <v>1608927.3699999999</v>
      </c>
      <c r="Y35" s="483">
        <v>2962.15</v>
      </c>
      <c r="Z35" s="462"/>
      <c r="AA35" s="462">
        <v>84148.68</v>
      </c>
      <c r="AB35" s="462"/>
      <c r="AC35" s="462">
        <v>60500</v>
      </c>
      <c r="AD35" s="462">
        <v>13249.15</v>
      </c>
      <c r="AE35" s="462"/>
      <c r="AF35" s="462"/>
      <c r="AG35" s="462"/>
      <c r="AH35" s="462">
        <v>12212.6</v>
      </c>
      <c r="AI35" s="462"/>
      <c r="AJ35" s="462"/>
      <c r="AK35" s="462"/>
      <c r="AL35" s="465">
        <f t="shared" si="2"/>
        <v>173072.58</v>
      </c>
      <c r="AM35" s="489">
        <v>69</v>
      </c>
      <c r="AN35" s="462">
        <v>689</v>
      </c>
      <c r="AO35" s="450">
        <v>-36760.92</v>
      </c>
      <c r="AP35" s="462"/>
      <c r="AQ35" s="450">
        <v>-0.91</v>
      </c>
      <c r="AR35" s="466">
        <v>1</v>
      </c>
    </row>
    <row r="36" spans="1:44" x14ac:dyDescent="0.25">
      <c r="A36" s="460">
        <v>5436</v>
      </c>
      <c r="B36" s="461" t="s">
        <v>389</v>
      </c>
      <c r="C36" s="462">
        <v>713949.96</v>
      </c>
      <c r="D36" s="464">
        <v>64130.38</v>
      </c>
      <c r="E36" s="462"/>
      <c r="F36" s="464"/>
      <c r="G36" s="462">
        <v>-414.95</v>
      </c>
      <c r="H36" s="464">
        <v>208.85</v>
      </c>
      <c r="I36" s="462"/>
      <c r="J36" s="464">
        <v>15444.16</v>
      </c>
      <c r="K36" s="462"/>
      <c r="L36" s="464">
        <v>48714.6</v>
      </c>
      <c r="M36" s="479">
        <f t="shared" si="0"/>
        <v>842033</v>
      </c>
      <c r="N36" s="462"/>
      <c r="O36" s="464"/>
      <c r="P36" s="462">
        <v>55317.5</v>
      </c>
      <c r="Q36" s="464"/>
      <c r="R36" s="462">
        <v>9207.35</v>
      </c>
      <c r="S36" s="464"/>
      <c r="T36" s="462"/>
      <c r="U36" s="464">
        <v>3112.5</v>
      </c>
      <c r="V36" s="462"/>
      <c r="W36" s="464"/>
      <c r="X36" s="475">
        <f t="shared" si="1"/>
        <v>909670.35</v>
      </c>
      <c r="Y36" s="483">
        <v>117696</v>
      </c>
      <c r="Z36" s="462"/>
      <c r="AA36" s="462">
        <v>53243.5</v>
      </c>
      <c r="AB36" s="462"/>
      <c r="AC36" s="462">
        <v>27922</v>
      </c>
      <c r="AD36" s="462">
        <v>117696</v>
      </c>
      <c r="AE36" s="462"/>
      <c r="AF36" s="462"/>
      <c r="AG36" s="462"/>
      <c r="AH36" s="462"/>
      <c r="AI36" s="462"/>
      <c r="AJ36" s="462"/>
      <c r="AK36" s="462"/>
      <c r="AL36" s="465">
        <f t="shared" si="2"/>
        <v>316557.5</v>
      </c>
      <c r="AM36" s="489">
        <v>81</v>
      </c>
      <c r="AN36" s="462">
        <v>350</v>
      </c>
      <c r="AO36" s="450">
        <v>-5768.66</v>
      </c>
      <c r="AP36" s="462"/>
      <c r="AQ36" s="450">
        <v>0</v>
      </c>
      <c r="AR36" s="466">
        <v>0.8</v>
      </c>
    </row>
    <row r="37" spans="1:44" x14ac:dyDescent="0.25">
      <c r="A37" s="460">
        <v>5437</v>
      </c>
      <c r="B37" s="461" t="s">
        <v>390</v>
      </c>
      <c r="C37" s="462">
        <v>682942.98</v>
      </c>
      <c r="D37" s="464">
        <v>58523.31</v>
      </c>
      <c r="E37" s="462"/>
      <c r="F37" s="464">
        <v>-20</v>
      </c>
      <c r="G37" s="462">
        <v>5471.25</v>
      </c>
      <c r="H37" s="464">
        <v>102</v>
      </c>
      <c r="I37" s="462"/>
      <c r="J37" s="464">
        <v>32824.35</v>
      </c>
      <c r="K37" s="462">
        <v>697</v>
      </c>
      <c r="L37" s="464">
        <v>59393.25</v>
      </c>
      <c r="M37" s="479">
        <f t="shared" si="0"/>
        <v>839934.14</v>
      </c>
      <c r="N37" s="462">
        <v>965.2</v>
      </c>
      <c r="O37" s="464">
        <v>59045.9</v>
      </c>
      <c r="P37" s="462">
        <v>42051.3</v>
      </c>
      <c r="Q37" s="464">
        <v>12233.07</v>
      </c>
      <c r="R37" s="462">
        <v>1655.3</v>
      </c>
      <c r="S37" s="464"/>
      <c r="T37" s="462"/>
      <c r="U37" s="464">
        <v>1500</v>
      </c>
      <c r="V37" s="462"/>
      <c r="W37" s="464"/>
      <c r="X37" s="475">
        <f t="shared" si="1"/>
        <v>957384.91</v>
      </c>
      <c r="Y37" s="483"/>
      <c r="Z37" s="462"/>
      <c r="AA37" s="462"/>
      <c r="AB37" s="462"/>
      <c r="AC37" s="462">
        <v>36780</v>
      </c>
      <c r="AD37" s="462"/>
      <c r="AE37" s="462"/>
      <c r="AF37" s="462"/>
      <c r="AG37" s="462"/>
      <c r="AH37" s="462"/>
      <c r="AI37" s="462"/>
      <c r="AJ37" s="462"/>
      <c r="AK37" s="462"/>
      <c r="AL37" s="465">
        <f t="shared" si="2"/>
        <v>36780</v>
      </c>
      <c r="AM37" s="489">
        <v>80</v>
      </c>
      <c r="AN37" s="462">
        <v>420</v>
      </c>
      <c r="AO37" s="450">
        <v>-41063.760000000002</v>
      </c>
      <c r="AP37" s="462"/>
      <c r="AQ37" s="450">
        <v>0</v>
      </c>
      <c r="AR37" s="466">
        <v>1</v>
      </c>
    </row>
    <row r="38" spans="1:44" x14ac:dyDescent="0.25">
      <c r="A38" s="460">
        <v>5451</v>
      </c>
      <c r="B38" s="461" t="s">
        <v>391</v>
      </c>
      <c r="C38" s="462">
        <v>4911294.08</v>
      </c>
      <c r="D38" s="464">
        <v>554433.24</v>
      </c>
      <c r="E38" s="462"/>
      <c r="F38" s="464"/>
      <c r="G38" s="462">
        <v>559516.65</v>
      </c>
      <c r="H38" s="464">
        <v>32420.3</v>
      </c>
      <c r="I38" s="462"/>
      <c r="J38" s="464">
        <v>625968.30000000005</v>
      </c>
      <c r="K38" s="462">
        <v>96453.5</v>
      </c>
      <c r="L38" s="464">
        <v>1197524.25</v>
      </c>
      <c r="M38" s="479">
        <f t="shared" si="0"/>
        <v>7977610.3200000003</v>
      </c>
      <c r="N38" s="462">
        <v>558913.6</v>
      </c>
      <c r="O38" s="464">
        <v>63376.2</v>
      </c>
      <c r="P38" s="462">
        <v>613883.65</v>
      </c>
      <c r="Q38" s="464">
        <v>73598.17</v>
      </c>
      <c r="R38" s="462">
        <v>158487.4</v>
      </c>
      <c r="S38" s="464">
        <v>41014.75</v>
      </c>
      <c r="T38" s="462">
        <v>600</v>
      </c>
      <c r="U38" s="464">
        <v>21500</v>
      </c>
      <c r="V38" s="462"/>
      <c r="W38" s="464"/>
      <c r="X38" s="475">
        <f t="shared" si="1"/>
        <v>9508984.0899999999</v>
      </c>
      <c r="Y38" s="483">
        <v>338134.6</v>
      </c>
      <c r="Z38" s="462">
        <v>51045.5</v>
      </c>
      <c r="AA38" s="462">
        <v>885575.8</v>
      </c>
      <c r="AB38" s="462"/>
      <c r="AC38" s="462">
        <v>460056.26</v>
      </c>
      <c r="AD38" s="462">
        <v>224332.45</v>
      </c>
      <c r="AE38" s="462">
        <v>49556.45</v>
      </c>
      <c r="AF38" s="462"/>
      <c r="AG38" s="462">
        <v>239928</v>
      </c>
      <c r="AH38" s="462"/>
      <c r="AI38" s="462"/>
      <c r="AJ38" s="462"/>
      <c r="AK38" s="462"/>
      <c r="AL38" s="465">
        <f t="shared" si="2"/>
        <v>2248629.0599999996</v>
      </c>
      <c r="AM38" s="489">
        <v>68</v>
      </c>
      <c r="AN38" s="462">
        <v>4129</v>
      </c>
      <c r="AO38" s="450">
        <v>-225519.44</v>
      </c>
      <c r="AP38" s="462"/>
      <c r="AQ38" s="450">
        <v>-382.28</v>
      </c>
      <c r="AR38" s="466">
        <v>1.5</v>
      </c>
    </row>
    <row r="39" spans="1:44" x14ac:dyDescent="0.25">
      <c r="A39" s="460">
        <v>5456</v>
      </c>
      <c r="B39" s="461" t="s">
        <v>392</v>
      </c>
      <c r="C39" s="462">
        <v>2343697.9500000002</v>
      </c>
      <c r="D39" s="464">
        <v>257480.41</v>
      </c>
      <c r="E39" s="462"/>
      <c r="F39" s="464"/>
      <c r="G39" s="462">
        <v>111054.39999999999</v>
      </c>
      <c r="H39" s="464">
        <v>442.3</v>
      </c>
      <c r="I39" s="462"/>
      <c r="J39" s="464">
        <v>55091.4</v>
      </c>
      <c r="K39" s="462">
        <v>8012</v>
      </c>
      <c r="L39" s="464">
        <v>411103.35</v>
      </c>
      <c r="M39" s="479">
        <f t="shared" si="0"/>
        <v>3186881.81</v>
      </c>
      <c r="N39" s="462">
        <v>3697.85</v>
      </c>
      <c r="O39" s="464">
        <v>16142.9</v>
      </c>
      <c r="P39" s="462">
        <v>107693.5</v>
      </c>
      <c r="Q39" s="464">
        <v>59652.05</v>
      </c>
      <c r="R39" s="462">
        <v>47623.75</v>
      </c>
      <c r="S39" s="464"/>
      <c r="T39" s="462"/>
      <c r="U39" s="464">
        <v>6420</v>
      </c>
      <c r="V39" s="462"/>
      <c r="W39" s="464"/>
      <c r="X39" s="475">
        <f t="shared" si="1"/>
        <v>3428111.86</v>
      </c>
      <c r="Y39" s="483">
        <v>213944.75</v>
      </c>
      <c r="Z39" s="462"/>
      <c r="AA39" s="462">
        <v>127886.2</v>
      </c>
      <c r="AB39" s="462"/>
      <c r="AC39" s="462">
        <v>230164.62</v>
      </c>
      <c r="AD39" s="462">
        <v>53853.5</v>
      </c>
      <c r="AE39" s="462"/>
      <c r="AF39" s="462"/>
      <c r="AG39" s="462">
        <v>118546</v>
      </c>
      <c r="AH39" s="462"/>
      <c r="AI39" s="462"/>
      <c r="AJ39" s="462"/>
      <c r="AK39" s="462"/>
      <c r="AL39" s="465">
        <f t="shared" si="2"/>
        <v>744395.07000000007</v>
      </c>
      <c r="AM39" s="489">
        <v>59</v>
      </c>
      <c r="AN39" s="462">
        <v>1555</v>
      </c>
      <c r="AO39" s="450">
        <v>-78436.03</v>
      </c>
      <c r="AP39" s="462"/>
      <c r="AQ39" s="450">
        <v>-8.08</v>
      </c>
      <c r="AR39" s="466">
        <v>1.5</v>
      </c>
    </row>
    <row r="40" spans="1:44" x14ac:dyDescent="0.25">
      <c r="A40" s="460">
        <v>5458</v>
      </c>
      <c r="B40" s="461" t="s">
        <v>393</v>
      </c>
      <c r="C40" s="462">
        <v>1522802.8</v>
      </c>
      <c r="D40" s="464">
        <v>242423.56</v>
      </c>
      <c r="E40" s="462"/>
      <c r="F40" s="464"/>
      <c r="G40" s="462">
        <v>79508.2</v>
      </c>
      <c r="H40" s="464">
        <v>660.9</v>
      </c>
      <c r="I40" s="462"/>
      <c r="J40" s="464">
        <v>21022</v>
      </c>
      <c r="K40" s="462">
        <v>6279.5</v>
      </c>
      <c r="L40" s="464">
        <v>161718.85</v>
      </c>
      <c r="M40" s="479">
        <f t="shared" si="0"/>
        <v>2034415.81</v>
      </c>
      <c r="N40" s="462"/>
      <c r="O40" s="464">
        <v>17841.7</v>
      </c>
      <c r="P40" s="462">
        <v>71797.95</v>
      </c>
      <c r="Q40" s="464">
        <v>18050.04</v>
      </c>
      <c r="R40" s="462">
        <v>58119.8</v>
      </c>
      <c r="S40" s="464"/>
      <c r="T40" s="462"/>
      <c r="U40" s="464">
        <v>6650</v>
      </c>
      <c r="V40" s="462"/>
      <c r="W40" s="464"/>
      <c r="X40" s="475">
        <f t="shared" si="1"/>
        <v>2206875.2999999998</v>
      </c>
      <c r="Y40" s="483">
        <v>46687.4</v>
      </c>
      <c r="Z40" s="462">
        <v>6432.15</v>
      </c>
      <c r="AA40" s="462">
        <v>155057.54999999999</v>
      </c>
      <c r="AB40" s="462"/>
      <c r="AC40" s="462">
        <v>77823.899999999994</v>
      </c>
      <c r="AD40" s="462">
        <v>46687.4</v>
      </c>
      <c r="AE40" s="462">
        <v>6432.15</v>
      </c>
      <c r="AF40" s="462"/>
      <c r="AG40" s="462">
        <v>32784.699999999997</v>
      </c>
      <c r="AH40" s="462">
        <v>23095.5</v>
      </c>
      <c r="AI40" s="462"/>
      <c r="AJ40" s="462"/>
      <c r="AK40" s="462"/>
      <c r="AL40" s="465">
        <f t="shared" si="2"/>
        <v>395000.75000000006</v>
      </c>
      <c r="AM40" s="489">
        <v>64</v>
      </c>
      <c r="AN40" s="462">
        <v>870</v>
      </c>
      <c r="AO40" s="450">
        <v>-24124.11</v>
      </c>
      <c r="AP40" s="462"/>
      <c r="AQ40" s="450">
        <v>-47.79</v>
      </c>
      <c r="AR40" s="466">
        <v>1</v>
      </c>
    </row>
    <row r="41" spans="1:44" x14ac:dyDescent="0.25">
      <c r="A41" s="460">
        <v>5464</v>
      </c>
      <c r="B41" s="461" t="s">
        <v>488</v>
      </c>
      <c r="C41" s="462">
        <v>4931906.84</v>
      </c>
      <c r="D41" s="464">
        <v>811344.14</v>
      </c>
      <c r="E41" s="462"/>
      <c r="F41" s="464"/>
      <c r="G41" s="462">
        <v>65081.75</v>
      </c>
      <c r="H41" s="464">
        <v>2467.3000000000002</v>
      </c>
      <c r="I41" s="462"/>
      <c r="J41" s="464">
        <v>155206.01</v>
      </c>
      <c r="K41" s="462">
        <v>16847.5</v>
      </c>
      <c r="L41" s="464">
        <v>836932.55</v>
      </c>
      <c r="M41" s="479">
        <f t="shared" si="0"/>
        <v>6819786.0899999989</v>
      </c>
      <c r="N41" s="462"/>
      <c r="O41" s="464">
        <v>309242.5</v>
      </c>
      <c r="P41" s="462">
        <v>360572.65</v>
      </c>
      <c r="Q41" s="464">
        <v>36442.75</v>
      </c>
      <c r="R41" s="462">
        <v>393647.75</v>
      </c>
      <c r="S41" s="464">
        <v>5199.45</v>
      </c>
      <c r="T41" s="462"/>
      <c r="U41" s="464">
        <v>22000</v>
      </c>
      <c r="V41" s="462"/>
      <c r="W41" s="464"/>
      <c r="X41" s="475">
        <f t="shared" si="1"/>
        <v>7946891.1899999995</v>
      </c>
      <c r="Y41" s="483">
        <v>307149.09999999998</v>
      </c>
      <c r="Z41" s="462">
        <v>145781.29999999999</v>
      </c>
      <c r="AA41" s="462">
        <v>445494.25</v>
      </c>
      <c r="AB41" s="462"/>
      <c r="AC41" s="462">
        <v>281997.15999999997</v>
      </c>
      <c r="AD41" s="462">
        <v>334075.2</v>
      </c>
      <c r="AE41" s="462"/>
      <c r="AF41" s="462"/>
      <c r="AG41" s="462">
        <v>146197.85</v>
      </c>
      <c r="AH41" s="462"/>
      <c r="AI41" s="462">
        <v>93683</v>
      </c>
      <c r="AJ41" s="462"/>
      <c r="AK41" s="462"/>
      <c r="AL41" s="465">
        <f t="shared" si="2"/>
        <v>1754377.8599999999</v>
      </c>
      <c r="AM41" s="489">
        <v>67</v>
      </c>
      <c r="AN41" s="462">
        <v>2935</v>
      </c>
      <c r="AO41" s="450">
        <v>-123882.68</v>
      </c>
      <c r="AP41" s="462"/>
      <c r="AQ41" s="450">
        <v>-572.84</v>
      </c>
      <c r="AR41" s="466">
        <v>1.5</v>
      </c>
    </row>
    <row r="42" spans="1:44" x14ac:dyDescent="0.25">
      <c r="A42" s="460">
        <v>5471</v>
      </c>
      <c r="B42" s="461" t="s">
        <v>394</v>
      </c>
      <c r="C42" s="462">
        <v>974891.9</v>
      </c>
      <c r="D42" s="464">
        <v>101758.65</v>
      </c>
      <c r="E42" s="462"/>
      <c r="F42" s="464"/>
      <c r="G42" s="462">
        <v>-27305.599999999999</v>
      </c>
      <c r="H42" s="464">
        <v>1082.6500000000001</v>
      </c>
      <c r="I42" s="462"/>
      <c r="J42" s="464">
        <v>17173.900000000001</v>
      </c>
      <c r="K42" s="462">
        <v>2860.5</v>
      </c>
      <c r="L42" s="464">
        <v>81287.649999999994</v>
      </c>
      <c r="M42" s="479">
        <f t="shared" si="0"/>
        <v>1151749.6499999997</v>
      </c>
      <c r="N42" s="462"/>
      <c r="O42" s="464">
        <v>6801.6</v>
      </c>
      <c r="P42" s="462">
        <v>32286.1</v>
      </c>
      <c r="Q42" s="464"/>
      <c r="R42" s="462">
        <v>16600.75</v>
      </c>
      <c r="S42" s="464"/>
      <c r="T42" s="462"/>
      <c r="U42" s="464">
        <v>4300</v>
      </c>
      <c r="V42" s="462"/>
      <c r="W42" s="464"/>
      <c r="X42" s="475">
        <f t="shared" si="1"/>
        <v>1211738.0999999999</v>
      </c>
      <c r="Y42" s="483">
        <v>51631.9</v>
      </c>
      <c r="Z42" s="462"/>
      <c r="AA42" s="462">
        <v>60185</v>
      </c>
      <c r="AB42" s="462"/>
      <c r="AC42" s="462">
        <v>21283</v>
      </c>
      <c r="AD42" s="462">
        <v>15489</v>
      </c>
      <c r="AE42" s="462"/>
      <c r="AF42" s="462"/>
      <c r="AG42" s="462"/>
      <c r="AH42" s="462"/>
      <c r="AI42" s="462"/>
      <c r="AJ42" s="462"/>
      <c r="AK42" s="462"/>
      <c r="AL42" s="465">
        <f t="shared" si="2"/>
        <v>148588.9</v>
      </c>
      <c r="AM42" s="489">
        <v>70</v>
      </c>
      <c r="AN42" s="462">
        <v>584</v>
      </c>
      <c r="AO42" s="450">
        <v>-9343.36</v>
      </c>
      <c r="AP42" s="462"/>
      <c r="AQ42" s="450">
        <v>-2.19</v>
      </c>
      <c r="AR42" s="466">
        <v>0.9</v>
      </c>
    </row>
    <row r="43" spans="1:44" x14ac:dyDescent="0.25">
      <c r="A43" s="460">
        <v>5472</v>
      </c>
      <c r="B43" s="461" t="s">
        <v>395</v>
      </c>
      <c r="C43" s="462">
        <v>909201.59</v>
      </c>
      <c r="D43" s="464">
        <v>117298.1</v>
      </c>
      <c r="E43" s="462"/>
      <c r="F43" s="464"/>
      <c r="G43" s="462">
        <v>6828.85</v>
      </c>
      <c r="H43" s="464">
        <v>73</v>
      </c>
      <c r="I43" s="462"/>
      <c r="J43" s="464">
        <v>15448.31</v>
      </c>
      <c r="K43" s="462">
        <v>543.5</v>
      </c>
      <c r="L43" s="464">
        <v>70073.649999999994</v>
      </c>
      <c r="M43" s="479">
        <f t="shared" si="0"/>
        <v>1119466.9999999998</v>
      </c>
      <c r="N43" s="462"/>
      <c r="O43" s="464"/>
      <c r="P43" s="462">
        <v>62578.6</v>
      </c>
      <c r="Q43" s="464">
        <v>19417.25</v>
      </c>
      <c r="R43" s="462">
        <v>47894.85</v>
      </c>
      <c r="S43" s="464"/>
      <c r="T43" s="462"/>
      <c r="U43" s="464">
        <v>1050</v>
      </c>
      <c r="V43" s="462"/>
      <c r="W43" s="464"/>
      <c r="X43" s="475">
        <f t="shared" si="1"/>
        <v>1250407.7</v>
      </c>
      <c r="Y43" s="483">
        <v>229104</v>
      </c>
      <c r="Z43" s="462"/>
      <c r="AA43" s="462">
        <v>75283.8</v>
      </c>
      <c r="AB43" s="462"/>
      <c r="AC43" s="462">
        <v>29000</v>
      </c>
      <c r="AD43" s="462">
        <v>165030</v>
      </c>
      <c r="AE43" s="462"/>
      <c r="AF43" s="462"/>
      <c r="AG43" s="462"/>
      <c r="AH43" s="462"/>
      <c r="AI43" s="462"/>
      <c r="AJ43" s="462"/>
      <c r="AK43" s="462"/>
      <c r="AL43" s="465">
        <f t="shared" si="2"/>
        <v>498417.8</v>
      </c>
      <c r="AM43" s="489">
        <v>80</v>
      </c>
      <c r="AN43" s="462">
        <v>370</v>
      </c>
      <c r="AO43" s="450">
        <v>-3485.33</v>
      </c>
      <c r="AP43" s="462"/>
      <c r="AQ43" s="450">
        <v>-54.83</v>
      </c>
      <c r="AR43" s="466">
        <v>1</v>
      </c>
    </row>
    <row r="44" spans="1:44" x14ac:dyDescent="0.25">
      <c r="A44" s="460">
        <v>5473</v>
      </c>
      <c r="B44" s="461" t="s">
        <v>244</v>
      </c>
      <c r="C44" s="462">
        <v>1842066.58</v>
      </c>
      <c r="D44" s="464">
        <v>203737.54</v>
      </c>
      <c r="E44" s="462"/>
      <c r="F44" s="464"/>
      <c r="G44" s="462">
        <v>49642.25</v>
      </c>
      <c r="H44" s="464">
        <v>178.55</v>
      </c>
      <c r="I44" s="462"/>
      <c r="J44" s="464">
        <v>7734.2</v>
      </c>
      <c r="K44" s="462">
        <v>2078.5</v>
      </c>
      <c r="L44" s="464">
        <v>167514.70000000001</v>
      </c>
      <c r="M44" s="479">
        <f t="shared" si="0"/>
        <v>2272952.3200000003</v>
      </c>
      <c r="N44" s="462"/>
      <c r="O44" s="464"/>
      <c r="P44" s="462">
        <v>73404.100000000006</v>
      </c>
      <c r="Q44" s="464">
        <v>3751.18</v>
      </c>
      <c r="R44" s="462">
        <v>40460.050000000003</v>
      </c>
      <c r="S44" s="464"/>
      <c r="T44" s="462"/>
      <c r="U44" s="464">
        <v>5120</v>
      </c>
      <c r="V44" s="462"/>
      <c r="W44" s="464"/>
      <c r="X44" s="475">
        <f t="shared" si="1"/>
        <v>2395687.6500000004</v>
      </c>
      <c r="Y44" s="483">
        <v>27800</v>
      </c>
      <c r="Z44" s="462"/>
      <c r="AA44" s="462">
        <v>165110.39999999999</v>
      </c>
      <c r="AB44" s="462"/>
      <c r="AC44" s="462">
        <v>106438.32</v>
      </c>
      <c r="AD44" s="462"/>
      <c r="AE44" s="462"/>
      <c r="AF44" s="462"/>
      <c r="AG44" s="462"/>
      <c r="AH44" s="462"/>
      <c r="AI44" s="462"/>
      <c r="AJ44" s="462"/>
      <c r="AK44" s="462"/>
      <c r="AL44" s="465">
        <f t="shared" si="2"/>
        <v>299348.71999999997</v>
      </c>
      <c r="AM44" s="489">
        <v>69</v>
      </c>
      <c r="AN44" s="462">
        <v>980</v>
      </c>
      <c r="AO44" s="450">
        <v>-16446.28</v>
      </c>
      <c r="AP44" s="462"/>
      <c r="AQ44" s="450">
        <v>-20.57</v>
      </c>
      <c r="AR44" s="466">
        <v>1</v>
      </c>
    </row>
    <row r="45" spans="1:44" x14ac:dyDescent="0.25">
      <c r="A45" s="460">
        <v>5474</v>
      </c>
      <c r="B45" s="461" t="s">
        <v>245</v>
      </c>
      <c r="C45" s="462">
        <v>790520.35</v>
      </c>
      <c r="D45" s="464">
        <v>93373.92</v>
      </c>
      <c r="E45" s="462"/>
      <c r="F45" s="464"/>
      <c r="G45" s="462">
        <v>11250.35</v>
      </c>
      <c r="H45" s="464">
        <v>90.65</v>
      </c>
      <c r="I45" s="462">
        <v>33864.199999999997</v>
      </c>
      <c r="J45" s="464">
        <v>5842.99</v>
      </c>
      <c r="K45" s="462">
        <v>560</v>
      </c>
      <c r="L45" s="464">
        <v>78717.350000000006</v>
      </c>
      <c r="M45" s="479">
        <f t="shared" si="0"/>
        <v>1014219.8099999999</v>
      </c>
      <c r="N45" s="462"/>
      <c r="O45" s="464">
        <v>1114.2</v>
      </c>
      <c r="P45" s="462">
        <v>61855.75</v>
      </c>
      <c r="Q45" s="464"/>
      <c r="R45" s="462">
        <v>39296.75</v>
      </c>
      <c r="S45" s="464"/>
      <c r="T45" s="462"/>
      <c r="U45" s="464">
        <v>1100</v>
      </c>
      <c r="V45" s="462"/>
      <c r="W45" s="464"/>
      <c r="X45" s="475">
        <f t="shared" si="1"/>
        <v>1117586.5099999998</v>
      </c>
      <c r="Y45" s="483">
        <v>38910</v>
      </c>
      <c r="Z45" s="462"/>
      <c r="AA45" s="462">
        <v>67374.350000000006</v>
      </c>
      <c r="AB45" s="462"/>
      <c r="AC45" s="462">
        <v>27595</v>
      </c>
      <c r="AD45" s="462"/>
      <c r="AE45" s="462"/>
      <c r="AF45" s="462"/>
      <c r="AG45" s="462"/>
      <c r="AH45" s="462"/>
      <c r="AI45" s="462"/>
      <c r="AJ45" s="462"/>
      <c r="AK45" s="462"/>
      <c r="AL45" s="465">
        <f t="shared" si="2"/>
        <v>133879.35</v>
      </c>
      <c r="AM45" s="489">
        <v>77</v>
      </c>
      <c r="AN45" s="462">
        <v>421</v>
      </c>
      <c r="AO45" s="450">
        <v>-5864.71</v>
      </c>
      <c r="AP45" s="462"/>
      <c r="AQ45" s="450">
        <v>-21.41</v>
      </c>
      <c r="AR45" s="466">
        <v>1.2</v>
      </c>
    </row>
    <row r="46" spans="1:44" x14ac:dyDescent="0.25">
      <c r="A46" s="460">
        <v>5475</v>
      </c>
      <c r="B46" s="461" t="s">
        <v>417</v>
      </c>
      <c r="C46" s="462">
        <v>164455.96</v>
      </c>
      <c r="D46" s="464">
        <v>26498.42</v>
      </c>
      <c r="E46" s="462"/>
      <c r="F46" s="464"/>
      <c r="G46" s="462">
        <v>1879.9</v>
      </c>
      <c r="H46" s="464">
        <v>87.4</v>
      </c>
      <c r="I46" s="462"/>
      <c r="J46" s="464">
        <v>-2299.14</v>
      </c>
      <c r="K46" s="462"/>
      <c r="L46" s="464">
        <v>19503.3</v>
      </c>
      <c r="M46" s="479">
        <f t="shared" si="0"/>
        <v>210125.83999999997</v>
      </c>
      <c r="N46" s="462"/>
      <c r="O46" s="464"/>
      <c r="P46" s="462">
        <v>46905.1</v>
      </c>
      <c r="Q46" s="464"/>
      <c r="R46" s="462">
        <v>21188.1</v>
      </c>
      <c r="S46" s="464"/>
      <c r="T46" s="462"/>
      <c r="U46" s="464">
        <v>360</v>
      </c>
      <c r="V46" s="462"/>
      <c r="W46" s="464"/>
      <c r="X46" s="475">
        <f t="shared" si="1"/>
        <v>278579.03999999998</v>
      </c>
      <c r="Y46" s="483"/>
      <c r="Z46" s="462"/>
      <c r="AA46" s="462">
        <v>11869.3</v>
      </c>
      <c r="AB46" s="462"/>
      <c r="AC46" s="462">
        <v>20592.099999999999</v>
      </c>
      <c r="AD46" s="462"/>
      <c r="AE46" s="462"/>
      <c r="AF46" s="462"/>
      <c r="AG46" s="462"/>
      <c r="AH46" s="462"/>
      <c r="AI46" s="462"/>
      <c r="AJ46" s="462"/>
      <c r="AK46" s="462"/>
      <c r="AL46" s="465">
        <f t="shared" si="2"/>
        <v>32461.399999999998</v>
      </c>
      <c r="AM46" s="489">
        <v>77</v>
      </c>
      <c r="AN46" s="462">
        <v>143</v>
      </c>
      <c r="AO46" s="450">
        <v>-4320.66</v>
      </c>
      <c r="AP46" s="462"/>
      <c r="AQ46" s="450">
        <v>0</v>
      </c>
      <c r="AR46" s="466">
        <v>1</v>
      </c>
    </row>
    <row r="47" spans="1:44" x14ac:dyDescent="0.25">
      <c r="A47" s="460">
        <v>5476</v>
      </c>
      <c r="B47" s="461" t="s">
        <v>418</v>
      </c>
      <c r="C47" s="462">
        <v>597632.39</v>
      </c>
      <c r="D47" s="464">
        <v>106532.88</v>
      </c>
      <c r="E47" s="462"/>
      <c r="F47" s="464"/>
      <c r="G47" s="462">
        <v>2071.65</v>
      </c>
      <c r="H47" s="464">
        <v>1486.85</v>
      </c>
      <c r="I47" s="462"/>
      <c r="J47" s="464">
        <v>1869.03</v>
      </c>
      <c r="K47" s="462"/>
      <c r="L47" s="464">
        <v>73456.05</v>
      </c>
      <c r="M47" s="479">
        <f t="shared" si="0"/>
        <v>783048.85000000009</v>
      </c>
      <c r="N47" s="462"/>
      <c r="O47" s="464">
        <v>2343.5</v>
      </c>
      <c r="P47" s="462">
        <v>14736.3</v>
      </c>
      <c r="Q47" s="464"/>
      <c r="R47" s="462">
        <v>36331.1</v>
      </c>
      <c r="S47" s="464"/>
      <c r="T47" s="462"/>
      <c r="U47" s="464">
        <v>3000</v>
      </c>
      <c r="V47" s="462"/>
      <c r="W47" s="464"/>
      <c r="X47" s="475">
        <f t="shared" si="1"/>
        <v>839459.75000000012</v>
      </c>
      <c r="Y47" s="483">
        <v>2650.05</v>
      </c>
      <c r="Z47" s="462"/>
      <c r="AA47" s="462">
        <v>15340</v>
      </c>
      <c r="AB47" s="462"/>
      <c r="AC47" s="462">
        <v>15219.65</v>
      </c>
      <c r="AD47" s="462">
        <v>4416.75</v>
      </c>
      <c r="AE47" s="462"/>
      <c r="AF47" s="462"/>
      <c r="AG47" s="462"/>
      <c r="AH47" s="462"/>
      <c r="AI47" s="462"/>
      <c r="AJ47" s="462"/>
      <c r="AK47" s="462"/>
      <c r="AL47" s="465">
        <f t="shared" si="2"/>
        <v>37626.449999999997</v>
      </c>
      <c r="AM47" s="489">
        <v>74</v>
      </c>
      <c r="AN47" s="462">
        <v>299</v>
      </c>
      <c r="AO47" s="450">
        <v>-214.75</v>
      </c>
      <c r="AP47" s="462"/>
      <c r="AQ47" s="450">
        <v>-0.28999999999999998</v>
      </c>
      <c r="AR47" s="466">
        <v>1.5</v>
      </c>
    </row>
    <row r="48" spans="1:44" x14ac:dyDescent="0.25">
      <c r="A48" s="460">
        <v>5477</v>
      </c>
      <c r="B48" s="461" t="s">
        <v>419</v>
      </c>
      <c r="C48" s="462">
        <v>6220355.5099999998</v>
      </c>
      <c r="D48" s="464">
        <v>1116277.04</v>
      </c>
      <c r="E48" s="462"/>
      <c r="F48" s="464"/>
      <c r="G48" s="462">
        <v>704567.65</v>
      </c>
      <c r="H48" s="464">
        <v>3632.35</v>
      </c>
      <c r="I48" s="462"/>
      <c r="J48" s="464">
        <v>140217.67000000001</v>
      </c>
      <c r="K48" s="462">
        <v>29691</v>
      </c>
      <c r="L48" s="464">
        <v>530415.1</v>
      </c>
      <c r="M48" s="479">
        <f t="shared" si="0"/>
        <v>8745156.3200000003</v>
      </c>
      <c r="N48" s="462">
        <v>76748.2</v>
      </c>
      <c r="O48" s="464">
        <v>108778.3</v>
      </c>
      <c r="P48" s="462">
        <v>306024.84999999998</v>
      </c>
      <c r="Q48" s="464">
        <v>58945.7</v>
      </c>
      <c r="R48" s="462">
        <v>199563.45</v>
      </c>
      <c r="S48" s="464"/>
      <c r="T48" s="462"/>
      <c r="U48" s="464">
        <v>18950</v>
      </c>
      <c r="V48" s="462"/>
      <c r="W48" s="464"/>
      <c r="X48" s="475">
        <f t="shared" si="1"/>
        <v>9514166.8199999984</v>
      </c>
      <c r="Y48" s="483">
        <v>275929.09999999998</v>
      </c>
      <c r="Z48" s="462">
        <v>141609</v>
      </c>
      <c r="AA48" s="462">
        <v>361007.55</v>
      </c>
      <c r="AB48" s="462">
        <v>481555.05</v>
      </c>
      <c r="AC48" s="462">
        <v>336464.4</v>
      </c>
      <c r="AD48" s="462">
        <v>196777.9</v>
      </c>
      <c r="AE48" s="462">
        <v>63258.3</v>
      </c>
      <c r="AF48" s="462"/>
      <c r="AG48" s="462">
        <v>3028.2</v>
      </c>
      <c r="AH48" s="462">
        <v>84303.25</v>
      </c>
      <c r="AI48" s="462"/>
      <c r="AJ48" s="462"/>
      <c r="AK48" s="462">
        <v>17337.45</v>
      </c>
      <c r="AL48" s="465">
        <f t="shared" si="2"/>
        <v>1961270.2</v>
      </c>
      <c r="AM48" s="489">
        <v>69.3</v>
      </c>
      <c r="AN48" s="462">
        <v>3632</v>
      </c>
      <c r="AO48" s="450">
        <v>-76554.539999999994</v>
      </c>
      <c r="AP48" s="462"/>
      <c r="AQ48" s="450">
        <v>-107.47</v>
      </c>
      <c r="AR48" s="466">
        <v>1</v>
      </c>
    </row>
    <row r="49" spans="1:44" x14ac:dyDescent="0.25">
      <c r="A49" s="460">
        <v>5478</v>
      </c>
      <c r="B49" s="461" t="s">
        <v>276</v>
      </c>
      <c r="C49" s="462">
        <v>876522.52</v>
      </c>
      <c r="D49" s="464">
        <v>103182.69</v>
      </c>
      <c r="E49" s="462"/>
      <c r="F49" s="464"/>
      <c r="G49" s="462">
        <v>14412.85</v>
      </c>
      <c r="H49" s="464">
        <v>66.099999999999994</v>
      </c>
      <c r="I49" s="462"/>
      <c r="J49" s="464">
        <v>4194.6499999999996</v>
      </c>
      <c r="K49" s="462">
        <v>250</v>
      </c>
      <c r="L49" s="464">
        <v>75980.3</v>
      </c>
      <c r="M49" s="479">
        <f t="shared" si="0"/>
        <v>1074609.1099999999</v>
      </c>
      <c r="N49" s="462"/>
      <c r="O49" s="464"/>
      <c r="P49" s="462">
        <v>14205.5</v>
      </c>
      <c r="Q49" s="464">
        <v>4390.4799999999996</v>
      </c>
      <c r="R49" s="462">
        <v>5973.9</v>
      </c>
      <c r="S49" s="464"/>
      <c r="T49" s="462">
        <v>536.4</v>
      </c>
      <c r="U49" s="464">
        <v>1825</v>
      </c>
      <c r="V49" s="462"/>
      <c r="W49" s="464"/>
      <c r="X49" s="475">
        <f t="shared" si="1"/>
        <v>1101540.3899999997</v>
      </c>
      <c r="Y49" s="483">
        <v>11598.3</v>
      </c>
      <c r="Z49" s="462"/>
      <c r="AA49" s="462">
        <v>31871.1</v>
      </c>
      <c r="AB49" s="462"/>
      <c r="AC49" s="462">
        <v>33623.25</v>
      </c>
      <c r="AD49" s="462">
        <v>11598.3</v>
      </c>
      <c r="AE49" s="462"/>
      <c r="AF49" s="462"/>
      <c r="AG49" s="462"/>
      <c r="AH49" s="462"/>
      <c r="AI49" s="462"/>
      <c r="AJ49" s="462"/>
      <c r="AK49" s="462"/>
      <c r="AL49" s="465">
        <f>SUM(Y49:AK49)</f>
        <v>88690.95</v>
      </c>
      <c r="AM49" s="489">
        <v>74</v>
      </c>
      <c r="AN49" s="462">
        <v>483</v>
      </c>
      <c r="AO49" s="450">
        <v>-8548.5</v>
      </c>
      <c r="AP49" s="462"/>
      <c r="AQ49" s="450">
        <v>-17.579999999999998</v>
      </c>
      <c r="AR49" s="466">
        <v>1</v>
      </c>
    </row>
    <row r="50" spans="1:44" x14ac:dyDescent="0.25">
      <c r="A50" s="460">
        <v>5479</v>
      </c>
      <c r="B50" s="461" t="s">
        <v>277</v>
      </c>
      <c r="C50" s="462">
        <v>709876.38</v>
      </c>
      <c r="D50" s="464">
        <v>81342.23</v>
      </c>
      <c r="E50" s="462"/>
      <c r="F50" s="464"/>
      <c r="G50" s="462">
        <v>11919.65</v>
      </c>
      <c r="H50" s="464">
        <v>644.75</v>
      </c>
      <c r="I50" s="462">
        <v>40429.71</v>
      </c>
      <c r="J50" s="464">
        <v>21169.16</v>
      </c>
      <c r="K50" s="462">
        <v>1890</v>
      </c>
      <c r="L50" s="464">
        <v>65902.75</v>
      </c>
      <c r="M50" s="479">
        <f t="shared" si="0"/>
        <v>933174.63</v>
      </c>
      <c r="N50" s="462">
        <v>8132.25</v>
      </c>
      <c r="O50" s="464">
        <v>25000</v>
      </c>
      <c r="P50" s="462">
        <v>42131.3</v>
      </c>
      <c r="Q50" s="464"/>
      <c r="R50" s="462">
        <v>29771.9</v>
      </c>
      <c r="S50" s="464"/>
      <c r="T50" s="462">
        <v>1353.15</v>
      </c>
      <c r="U50" s="464">
        <v>1520</v>
      </c>
      <c r="V50" s="462">
        <v>40</v>
      </c>
      <c r="W50" s="464"/>
      <c r="X50" s="475">
        <f t="shared" si="1"/>
        <v>1041123.2300000001</v>
      </c>
      <c r="Y50" s="462">
        <v>49470</v>
      </c>
      <c r="Z50" s="462"/>
      <c r="AA50" s="462">
        <v>51426</v>
      </c>
      <c r="AB50" s="462"/>
      <c r="AC50" s="462">
        <v>73255.05</v>
      </c>
      <c r="AD50" s="462">
        <v>19581.55</v>
      </c>
      <c r="AE50" s="462">
        <v>11573.45</v>
      </c>
      <c r="AF50" s="462"/>
      <c r="AG50" s="462"/>
      <c r="AH50" s="462">
        <v>14153.4</v>
      </c>
      <c r="AI50" s="462"/>
      <c r="AJ50" s="462"/>
      <c r="AK50" s="462"/>
      <c r="AL50" s="465">
        <f t="shared" si="2"/>
        <v>219459.44999999998</v>
      </c>
      <c r="AM50" s="489">
        <v>77</v>
      </c>
      <c r="AN50" s="462">
        <v>481</v>
      </c>
      <c r="AO50" s="450">
        <v>-42837.46</v>
      </c>
      <c r="AP50" s="462"/>
      <c r="AQ50" s="450">
        <v>-0.08</v>
      </c>
      <c r="AR50" s="466">
        <v>1</v>
      </c>
    </row>
    <row r="51" spans="1:44" x14ac:dyDescent="0.25">
      <c r="A51" s="460">
        <v>5480</v>
      </c>
      <c r="B51" s="461" t="s">
        <v>278</v>
      </c>
      <c r="C51" s="462">
        <v>2007364.48</v>
      </c>
      <c r="D51" s="464">
        <v>225053.59</v>
      </c>
      <c r="E51" s="462"/>
      <c r="F51" s="464"/>
      <c r="G51" s="462">
        <v>-51310.95</v>
      </c>
      <c r="H51" s="464">
        <v>1641.25</v>
      </c>
      <c r="I51" s="462"/>
      <c r="J51" s="464">
        <v>36012.11</v>
      </c>
      <c r="K51" s="462">
        <v>1988.2</v>
      </c>
      <c r="L51" s="464">
        <v>275576.90000000002</v>
      </c>
      <c r="M51" s="479">
        <f t="shared" si="0"/>
        <v>2496325.5799999996</v>
      </c>
      <c r="N51" s="462">
        <v>137463</v>
      </c>
      <c r="O51" s="464">
        <v>10104.5</v>
      </c>
      <c r="P51" s="462">
        <v>82259.75</v>
      </c>
      <c r="Q51" s="464">
        <v>12027.72</v>
      </c>
      <c r="R51" s="462">
        <v>18261.95</v>
      </c>
      <c r="S51" s="464">
        <v>1000</v>
      </c>
      <c r="T51" s="462"/>
      <c r="U51" s="464">
        <v>8800</v>
      </c>
      <c r="V51" s="462">
        <v>100</v>
      </c>
      <c r="W51" s="464">
        <v>699.3</v>
      </c>
      <c r="X51" s="475">
        <f t="shared" si="1"/>
        <v>2767041.8</v>
      </c>
      <c r="Y51" s="483">
        <v>112848.55</v>
      </c>
      <c r="Z51" s="462"/>
      <c r="AA51" s="462">
        <v>126895</v>
      </c>
      <c r="AB51" s="462">
        <v>103888.35</v>
      </c>
      <c r="AC51" s="462">
        <v>71573.95</v>
      </c>
      <c r="AD51" s="462">
        <v>38095.050000000003</v>
      </c>
      <c r="AE51" s="462"/>
      <c r="AF51" s="462"/>
      <c r="AG51" s="462">
        <v>3205.4</v>
      </c>
      <c r="AH51" s="462">
        <v>58178.400000000001</v>
      </c>
      <c r="AI51" s="462"/>
      <c r="AJ51" s="462"/>
      <c r="AK51" s="462"/>
      <c r="AL51" s="465">
        <f t="shared" si="2"/>
        <v>514684.70000000007</v>
      </c>
      <c r="AM51" s="489">
        <v>71</v>
      </c>
      <c r="AN51" s="462">
        <v>958</v>
      </c>
      <c r="AO51" s="450">
        <v>-33758.92</v>
      </c>
      <c r="AP51" s="462"/>
      <c r="AQ51" s="450">
        <v>-95.75</v>
      </c>
      <c r="AR51" s="466">
        <v>1</v>
      </c>
    </row>
    <row r="52" spans="1:44" x14ac:dyDescent="0.25">
      <c r="A52" s="460">
        <v>5481</v>
      </c>
      <c r="B52" s="461" t="s">
        <v>279</v>
      </c>
      <c r="C52" s="462">
        <v>549983.80000000005</v>
      </c>
      <c r="D52" s="464">
        <v>81884.83</v>
      </c>
      <c r="E52" s="462"/>
      <c r="F52" s="464"/>
      <c r="G52" s="462">
        <v>35012.300000000003</v>
      </c>
      <c r="H52" s="464">
        <v>355.15</v>
      </c>
      <c r="I52" s="462"/>
      <c r="J52" s="464">
        <v>2160.37</v>
      </c>
      <c r="K52" s="462"/>
      <c r="L52" s="464">
        <v>34991.15</v>
      </c>
      <c r="M52" s="479">
        <f t="shared" si="0"/>
        <v>704387.60000000009</v>
      </c>
      <c r="N52" s="462"/>
      <c r="O52" s="464"/>
      <c r="P52" s="462">
        <v>20790</v>
      </c>
      <c r="Q52" s="464"/>
      <c r="R52" s="462">
        <v>2916.65</v>
      </c>
      <c r="S52" s="464"/>
      <c r="T52" s="462"/>
      <c r="U52" s="464">
        <v>600</v>
      </c>
      <c r="V52" s="462"/>
      <c r="W52" s="464"/>
      <c r="X52" s="475">
        <f t="shared" si="1"/>
        <v>728694.25000000012</v>
      </c>
      <c r="Y52" s="483"/>
      <c r="Z52" s="462"/>
      <c r="AA52" s="462">
        <v>70248</v>
      </c>
      <c r="AB52" s="462"/>
      <c r="AC52" s="462">
        <v>15004</v>
      </c>
      <c r="AD52" s="462"/>
      <c r="AE52" s="462"/>
      <c r="AF52" s="462"/>
      <c r="AG52" s="462"/>
      <c r="AH52" s="462"/>
      <c r="AI52" s="462"/>
      <c r="AJ52" s="462"/>
      <c r="AK52" s="462"/>
      <c r="AL52" s="465">
        <f t="shared" si="2"/>
        <v>85252</v>
      </c>
      <c r="AM52" s="489">
        <v>79</v>
      </c>
      <c r="AN52" s="462">
        <v>222</v>
      </c>
      <c r="AO52" s="450">
        <v>-1256.8900000000001</v>
      </c>
      <c r="AP52" s="462"/>
      <c r="AQ52" s="450">
        <v>-10.75</v>
      </c>
      <c r="AR52" s="466">
        <v>1</v>
      </c>
    </row>
    <row r="53" spans="1:44" x14ac:dyDescent="0.25">
      <c r="A53" s="460">
        <v>5482</v>
      </c>
      <c r="B53" s="461" t="s">
        <v>280</v>
      </c>
      <c r="C53" s="462">
        <v>1175981.79</v>
      </c>
      <c r="D53" s="464">
        <v>134067.07</v>
      </c>
      <c r="E53" s="462"/>
      <c r="F53" s="464"/>
      <c r="G53" s="462">
        <v>-497958.25</v>
      </c>
      <c r="H53" s="464">
        <v>23768.75</v>
      </c>
      <c r="I53" s="462"/>
      <c r="J53" s="464">
        <v>2988.91</v>
      </c>
      <c r="K53" s="462">
        <v>40807</v>
      </c>
      <c r="L53" s="464">
        <v>379460.6</v>
      </c>
      <c r="M53" s="479">
        <f t="shared" si="0"/>
        <v>1259115.8700000001</v>
      </c>
      <c r="N53" s="462">
        <v>177330.05</v>
      </c>
      <c r="O53" s="464">
        <v>-23684.400000000001</v>
      </c>
      <c r="P53" s="462">
        <v>100222.25</v>
      </c>
      <c r="Q53" s="464">
        <v>3439.5</v>
      </c>
      <c r="R53" s="462">
        <v>203293.8</v>
      </c>
      <c r="S53" s="464"/>
      <c r="T53" s="462"/>
      <c r="U53" s="464">
        <v>8550</v>
      </c>
      <c r="V53" s="462"/>
      <c r="W53" s="464"/>
      <c r="X53" s="475">
        <f t="shared" si="1"/>
        <v>1728267.0700000003</v>
      </c>
      <c r="Y53" s="483">
        <v>287456.45</v>
      </c>
      <c r="Z53" s="462"/>
      <c r="AA53" s="462">
        <v>250839.45</v>
      </c>
      <c r="AB53" s="462"/>
      <c r="AC53" s="462">
        <v>99859.199999999997</v>
      </c>
      <c r="AD53" s="462"/>
      <c r="AE53" s="462"/>
      <c r="AF53" s="462"/>
      <c r="AG53" s="462"/>
      <c r="AH53" s="462"/>
      <c r="AI53" s="462"/>
      <c r="AJ53" s="462"/>
      <c r="AK53" s="462"/>
      <c r="AL53" s="465">
        <f t="shared" si="2"/>
        <v>638155.1</v>
      </c>
      <c r="AM53" s="489">
        <v>46</v>
      </c>
      <c r="AN53" s="462">
        <v>1043</v>
      </c>
      <c r="AO53" s="450">
        <v>-30060.78</v>
      </c>
      <c r="AP53" s="462"/>
      <c r="AQ53" s="450">
        <v>-62.25</v>
      </c>
      <c r="AR53" s="466">
        <v>1</v>
      </c>
    </row>
    <row r="54" spans="1:44" x14ac:dyDescent="0.25">
      <c r="A54" s="460">
        <v>5483</v>
      </c>
      <c r="B54" s="461" t="s">
        <v>173</v>
      </c>
      <c r="C54" s="462">
        <v>612307.43999999994</v>
      </c>
      <c r="D54" s="464">
        <v>69472.39</v>
      </c>
      <c r="E54" s="462"/>
      <c r="F54" s="464"/>
      <c r="G54" s="462">
        <v>10439.1</v>
      </c>
      <c r="H54" s="464">
        <v>-796.15</v>
      </c>
      <c r="I54" s="462"/>
      <c r="J54" s="464">
        <v>3726.27</v>
      </c>
      <c r="K54" s="462">
        <v>175.5</v>
      </c>
      <c r="L54" s="464">
        <v>47984.5</v>
      </c>
      <c r="M54" s="479">
        <f t="shared" si="0"/>
        <v>743309.04999999993</v>
      </c>
      <c r="N54" s="462"/>
      <c r="O54" s="464"/>
      <c r="P54" s="462">
        <v>9735</v>
      </c>
      <c r="Q54" s="464"/>
      <c r="R54" s="462"/>
      <c r="S54" s="464"/>
      <c r="T54" s="462"/>
      <c r="U54" s="464">
        <v>1410</v>
      </c>
      <c r="V54" s="462"/>
      <c r="W54" s="464"/>
      <c r="X54" s="475">
        <f t="shared" si="1"/>
        <v>754454.04999999993</v>
      </c>
      <c r="Y54" s="483"/>
      <c r="Z54" s="462"/>
      <c r="AA54" s="462">
        <v>47751.7</v>
      </c>
      <c r="AB54" s="462"/>
      <c r="AC54" s="462">
        <v>28040.9</v>
      </c>
      <c r="AD54" s="462"/>
      <c r="AE54" s="462"/>
      <c r="AF54" s="462"/>
      <c r="AG54" s="462"/>
      <c r="AH54" s="462"/>
      <c r="AI54" s="462"/>
      <c r="AJ54" s="462"/>
      <c r="AK54" s="462"/>
      <c r="AL54" s="465">
        <f t="shared" si="2"/>
        <v>75792.600000000006</v>
      </c>
      <c r="AM54" s="489">
        <v>76</v>
      </c>
      <c r="AN54" s="462">
        <v>316</v>
      </c>
      <c r="AO54" s="450">
        <v>-72.400000000000006</v>
      </c>
      <c r="AP54" s="462"/>
      <c r="AQ54" s="450">
        <v>-423.63</v>
      </c>
      <c r="AR54" s="466">
        <v>1</v>
      </c>
    </row>
    <row r="55" spans="1:44" x14ac:dyDescent="0.25">
      <c r="A55" s="460">
        <v>5484</v>
      </c>
      <c r="B55" s="461" t="s">
        <v>174</v>
      </c>
      <c r="C55" s="462">
        <v>1650237.53</v>
      </c>
      <c r="D55" s="464">
        <v>144659.04</v>
      </c>
      <c r="E55" s="462"/>
      <c r="F55" s="464"/>
      <c r="G55" s="462">
        <v>172827.1</v>
      </c>
      <c r="H55" s="464">
        <v>1471.75</v>
      </c>
      <c r="I55" s="462"/>
      <c r="J55" s="464">
        <v>57192.78</v>
      </c>
      <c r="K55" s="462">
        <v>4515.5</v>
      </c>
      <c r="L55" s="464">
        <v>143247.29999999999</v>
      </c>
      <c r="M55" s="479">
        <f t="shared" si="0"/>
        <v>2174151</v>
      </c>
      <c r="N55" s="462">
        <v>29146.95</v>
      </c>
      <c r="O55" s="464">
        <v>19542.599999999999</v>
      </c>
      <c r="P55" s="462">
        <v>170295.15</v>
      </c>
      <c r="Q55" s="464"/>
      <c r="R55" s="462">
        <v>13454.65</v>
      </c>
      <c r="S55" s="464"/>
      <c r="T55" s="462"/>
      <c r="U55" s="464">
        <v>4110</v>
      </c>
      <c r="V55" s="462"/>
      <c r="W55" s="464"/>
      <c r="X55" s="475">
        <f t="shared" si="1"/>
        <v>2410700.35</v>
      </c>
      <c r="Y55" s="483"/>
      <c r="Z55" s="462">
        <v>24750</v>
      </c>
      <c r="AA55" s="462">
        <v>120626.55</v>
      </c>
      <c r="AB55" s="462"/>
      <c r="AC55" s="462">
        <v>100267.35</v>
      </c>
      <c r="AD55" s="462">
        <v>17325</v>
      </c>
      <c r="AE55" s="462"/>
      <c r="AF55" s="462"/>
      <c r="AG55" s="462"/>
      <c r="AH55" s="462"/>
      <c r="AI55" s="462"/>
      <c r="AJ55" s="462"/>
      <c r="AK55" s="462"/>
      <c r="AL55" s="465">
        <f t="shared" si="2"/>
        <v>262968.90000000002</v>
      </c>
      <c r="AM55" s="489">
        <v>74</v>
      </c>
      <c r="AN55" s="462">
        <v>902</v>
      </c>
      <c r="AO55" s="450">
        <v>-23421.48</v>
      </c>
      <c r="AP55" s="462"/>
      <c r="AQ55" s="450">
        <v>-14.14</v>
      </c>
      <c r="AR55" s="466">
        <v>1</v>
      </c>
    </row>
    <row r="56" spans="1:44" x14ac:dyDescent="0.25">
      <c r="A56" s="460">
        <v>5485</v>
      </c>
      <c r="B56" s="461" t="s">
        <v>175</v>
      </c>
      <c r="C56" s="462">
        <v>907630.34</v>
      </c>
      <c r="D56" s="464">
        <v>63917.97</v>
      </c>
      <c r="E56" s="462"/>
      <c r="F56" s="464"/>
      <c r="G56" s="462">
        <v>18822.55</v>
      </c>
      <c r="H56" s="464">
        <v>13.55</v>
      </c>
      <c r="I56" s="462"/>
      <c r="J56" s="464">
        <v>13608.28</v>
      </c>
      <c r="K56" s="462"/>
      <c r="L56" s="464">
        <v>66735.05</v>
      </c>
      <c r="M56" s="479">
        <f t="shared" si="0"/>
        <v>1070727.74</v>
      </c>
      <c r="N56" s="462">
        <v>7760.75</v>
      </c>
      <c r="O56" s="464">
        <v>27651.4</v>
      </c>
      <c r="P56" s="462">
        <v>25932.5</v>
      </c>
      <c r="Q56" s="464"/>
      <c r="R56" s="462">
        <v>5992.5</v>
      </c>
      <c r="S56" s="464"/>
      <c r="T56" s="462"/>
      <c r="U56" s="464">
        <v>1080</v>
      </c>
      <c r="V56" s="462"/>
      <c r="W56" s="464"/>
      <c r="X56" s="475">
        <f t="shared" si="1"/>
        <v>1139144.8899999999</v>
      </c>
      <c r="Y56" s="483">
        <v>5130</v>
      </c>
      <c r="Z56" s="462"/>
      <c r="AA56" s="462">
        <v>73393</v>
      </c>
      <c r="AB56" s="462"/>
      <c r="AC56" s="462">
        <v>27628</v>
      </c>
      <c r="AD56" s="462">
        <v>10778</v>
      </c>
      <c r="AE56" s="462"/>
      <c r="AF56" s="462"/>
      <c r="AG56" s="462"/>
      <c r="AH56" s="462"/>
      <c r="AI56" s="462"/>
      <c r="AJ56" s="462"/>
      <c r="AK56" s="462"/>
      <c r="AL56" s="465">
        <f t="shared" si="2"/>
        <v>116929</v>
      </c>
      <c r="AM56" s="489">
        <v>70</v>
      </c>
      <c r="AN56" s="462">
        <v>408</v>
      </c>
      <c r="AO56" s="450">
        <v>-15477.86</v>
      </c>
      <c r="AP56" s="462"/>
      <c r="AQ56" s="450">
        <v>-73.52</v>
      </c>
      <c r="AR56" s="466">
        <v>1</v>
      </c>
    </row>
    <row r="57" spans="1:44" x14ac:dyDescent="0.25">
      <c r="A57" s="460">
        <v>5486</v>
      </c>
      <c r="B57" s="461" t="s">
        <v>5</v>
      </c>
      <c r="C57" s="462">
        <v>1725841.4</v>
      </c>
      <c r="D57" s="464">
        <v>221889.23</v>
      </c>
      <c r="E57" s="462"/>
      <c r="F57" s="464"/>
      <c r="G57" s="462">
        <v>79369.100000000006</v>
      </c>
      <c r="H57" s="464">
        <v>917.75</v>
      </c>
      <c r="I57" s="462">
        <v>45945.25</v>
      </c>
      <c r="J57" s="464">
        <v>24647.11</v>
      </c>
      <c r="K57" s="462">
        <v>6432</v>
      </c>
      <c r="L57" s="464">
        <v>171119.65</v>
      </c>
      <c r="M57" s="479">
        <f t="shared" si="0"/>
        <v>2276161.4899999998</v>
      </c>
      <c r="N57" s="462">
        <v>121802.3</v>
      </c>
      <c r="O57" s="464">
        <v>9701.4</v>
      </c>
      <c r="P57" s="462">
        <v>105777.45</v>
      </c>
      <c r="Q57" s="464">
        <v>98.44</v>
      </c>
      <c r="R57" s="462">
        <v>47490.9</v>
      </c>
      <c r="S57" s="464"/>
      <c r="T57" s="462">
        <v>900</v>
      </c>
      <c r="U57" s="464">
        <v>9850</v>
      </c>
      <c r="V57" s="462"/>
      <c r="W57" s="464"/>
      <c r="X57" s="475">
        <f t="shared" si="1"/>
        <v>2571781.9799999995</v>
      </c>
      <c r="Y57" s="483"/>
      <c r="Z57" s="462">
        <v>18693.55</v>
      </c>
      <c r="AA57" s="462">
        <v>257024</v>
      </c>
      <c r="AB57" s="462"/>
      <c r="AC57" s="462">
        <v>90726.55</v>
      </c>
      <c r="AD57" s="462"/>
      <c r="AE57" s="462">
        <v>17630.349999999999</v>
      </c>
      <c r="AF57" s="462"/>
      <c r="AG57" s="462"/>
      <c r="AH57" s="462">
        <v>37023.9</v>
      </c>
      <c r="AI57" s="462"/>
      <c r="AJ57" s="462"/>
      <c r="AK57" s="462"/>
      <c r="AL57" s="465">
        <f t="shared" si="2"/>
        <v>421098.35</v>
      </c>
      <c r="AM57" s="489">
        <v>76</v>
      </c>
      <c r="AN57" s="462">
        <v>1033</v>
      </c>
      <c r="AO57" s="486">
        <v>-8831.39</v>
      </c>
      <c r="AP57" s="462"/>
      <c r="AQ57" s="450">
        <v>0</v>
      </c>
      <c r="AR57" s="466">
        <v>1</v>
      </c>
    </row>
    <row r="58" spans="1:44" x14ac:dyDescent="0.25">
      <c r="A58" s="460">
        <v>5487</v>
      </c>
      <c r="B58" s="461" t="s">
        <v>6</v>
      </c>
      <c r="C58" s="462">
        <v>726686.57</v>
      </c>
      <c r="D58" s="464">
        <v>50723.18</v>
      </c>
      <c r="E58" s="462"/>
      <c r="F58" s="464"/>
      <c r="G58" s="462">
        <v>15762.2</v>
      </c>
      <c r="H58" s="464">
        <v>34.5</v>
      </c>
      <c r="I58" s="462"/>
      <c r="J58" s="464">
        <v>30480.59</v>
      </c>
      <c r="K58" s="462">
        <v>1085.5</v>
      </c>
      <c r="L58" s="464">
        <v>68460.100000000006</v>
      </c>
      <c r="M58" s="479">
        <f t="shared" si="0"/>
        <v>893232.6399999999</v>
      </c>
      <c r="N58" s="462">
        <v>3281.85</v>
      </c>
      <c r="O58" s="464"/>
      <c r="P58" s="462">
        <v>23207.5</v>
      </c>
      <c r="Q58" s="464">
        <v>12725.49</v>
      </c>
      <c r="R58" s="462">
        <v>15248.35</v>
      </c>
      <c r="S58" s="464">
        <v>75</v>
      </c>
      <c r="T58" s="462"/>
      <c r="U58" s="464">
        <v>2040</v>
      </c>
      <c r="V58" s="462"/>
      <c r="W58" s="464"/>
      <c r="X58" s="475">
        <f t="shared" si="1"/>
        <v>949810.82999999984</v>
      </c>
      <c r="Y58" s="483">
        <v>750</v>
      </c>
      <c r="Z58" s="462"/>
      <c r="AA58" s="462">
        <v>38770.699999999997</v>
      </c>
      <c r="AB58" s="462"/>
      <c r="AC58" s="462">
        <v>37450</v>
      </c>
      <c r="AD58" s="462">
        <v>2781</v>
      </c>
      <c r="AE58" s="462"/>
      <c r="AF58" s="462"/>
      <c r="AG58" s="462">
        <v>104</v>
      </c>
      <c r="AH58" s="462">
        <v>7508.55</v>
      </c>
      <c r="AI58" s="462"/>
      <c r="AJ58" s="462"/>
      <c r="AK58" s="462"/>
      <c r="AL58" s="465">
        <f t="shared" si="2"/>
        <v>87364.25</v>
      </c>
      <c r="AM58" s="489">
        <v>68</v>
      </c>
      <c r="AN58" s="462">
        <v>462</v>
      </c>
      <c r="AO58" s="450">
        <v>-12172.16</v>
      </c>
      <c r="AP58" s="462"/>
      <c r="AQ58" s="450">
        <v>-7.64</v>
      </c>
      <c r="AR58" s="466">
        <v>1</v>
      </c>
    </row>
    <row r="59" spans="1:44" x14ac:dyDescent="0.25">
      <c r="A59" s="460">
        <v>5488</v>
      </c>
      <c r="B59" s="461" t="s">
        <v>7</v>
      </c>
      <c r="C59" s="462">
        <v>103867.57</v>
      </c>
      <c r="D59" s="464">
        <v>13883.04</v>
      </c>
      <c r="E59" s="462"/>
      <c r="F59" s="464"/>
      <c r="G59" s="462">
        <v>-1066.8499999999999</v>
      </c>
      <c r="H59" s="464">
        <v>157.65</v>
      </c>
      <c r="I59" s="462"/>
      <c r="J59" s="464"/>
      <c r="K59" s="462"/>
      <c r="L59" s="464">
        <v>8474</v>
      </c>
      <c r="M59" s="479">
        <f t="shared" si="0"/>
        <v>125315.41</v>
      </c>
      <c r="N59" s="462"/>
      <c r="O59" s="464"/>
      <c r="P59" s="462"/>
      <c r="Q59" s="464"/>
      <c r="R59" s="462"/>
      <c r="S59" s="464"/>
      <c r="T59" s="462"/>
      <c r="U59" s="464">
        <v>160</v>
      </c>
      <c r="V59" s="462"/>
      <c r="W59" s="464"/>
      <c r="X59" s="475">
        <f t="shared" si="1"/>
        <v>125475.41</v>
      </c>
      <c r="Y59" s="483"/>
      <c r="Z59" s="462"/>
      <c r="AA59" s="462">
        <v>6570.9</v>
      </c>
      <c r="AB59" s="462"/>
      <c r="AC59" s="462">
        <v>5241.6000000000004</v>
      </c>
      <c r="AD59" s="462"/>
      <c r="AE59" s="462"/>
      <c r="AF59" s="462"/>
      <c r="AG59" s="462"/>
      <c r="AH59" s="462">
        <v>1161</v>
      </c>
      <c r="AI59" s="462"/>
      <c r="AJ59" s="462"/>
      <c r="AK59" s="462"/>
      <c r="AL59" s="465">
        <f t="shared" si="2"/>
        <v>12973.5</v>
      </c>
      <c r="AM59" s="489">
        <v>74</v>
      </c>
      <c r="AN59" s="462">
        <v>53</v>
      </c>
      <c r="AO59" s="450">
        <v>-6553.04</v>
      </c>
      <c r="AP59" s="462"/>
      <c r="AQ59" s="450">
        <v>0</v>
      </c>
      <c r="AR59" s="466">
        <v>1</v>
      </c>
    </row>
    <row r="60" spans="1:44" x14ac:dyDescent="0.25">
      <c r="A60" s="460">
        <v>5489</v>
      </c>
      <c r="B60" s="461" t="s">
        <v>8</v>
      </c>
      <c r="C60" s="462">
        <v>1823417.6</v>
      </c>
      <c r="D60" s="464">
        <v>584817.88</v>
      </c>
      <c r="E60" s="462"/>
      <c r="F60" s="464"/>
      <c r="G60" s="462">
        <v>47769.65</v>
      </c>
      <c r="H60" s="464">
        <v>83960.75</v>
      </c>
      <c r="I60" s="462"/>
      <c r="J60" s="464">
        <v>56247.63</v>
      </c>
      <c r="K60" s="462">
        <v>4261</v>
      </c>
      <c r="L60" s="464">
        <v>264916.2</v>
      </c>
      <c r="M60" s="479">
        <f t="shared" si="0"/>
        <v>2865390.71</v>
      </c>
      <c r="N60" s="462">
        <v>206830.25</v>
      </c>
      <c r="O60" s="464">
        <v>5029</v>
      </c>
      <c r="P60" s="462">
        <v>83567.199999999997</v>
      </c>
      <c r="Q60" s="464">
        <v>23303.22</v>
      </c>
      <c r="R60" s="462">
        <v>36064.25</v>
      </c>
      <c r="S60" s="464"/>
      <c r="T60" s="462"/>
      <c r="U60" s="464">
        <v>3420</v>
      </c>
      <c r="V60" s="462"/>
      <c r="W60" s="464"/>
      <c r="X60" s="475">
        <f t="shared" si="1"/>
        <v>3223604.6300000004</v>
      </c>
      <c r="Y60" s="483">
        <v>18194.900000000001</v>
      </c>
      <c r="Z60" s="462"/>
      <c r="AA60" s="462">
        <v>127234.85</v>
      </c>
      <c r="AB60" s="462"/>
      <c r="AC60" s="462">
        <v>84554.7</v>
      </c>
      <c r="AD60" s="462">
        <v>103884.15</v>
      </c>
      <c r="AE60" s="462"/>
      <c r="AF60" s="462"/>
      <c r="AG60" s="462"/>
      <c r="AH60" s="462"/>
      <c r="AI60" s="462"/>
      <c r="AJ60" s="462"/>
      <c r="AK60" s="462"/>
      <c r="AL60" s="465">
        <f t="shared" si="2"/>
        <v>333868.59999999998</v>
      </c>
      <c r="AM60" s="489">
        <v>61</v>
      </c>
      <c r="AN60" s="462">
        <v>710</v>
      </c>
      <c r="AO60" s="450">
        <v>-27562.59</v>
      </c>
      <c r="AP60" s="462"/>
      <c r="AQ60" s="450">
        <v>-111.14</v>
      </c>
      <c r="AR60" s="466">
        <v>1</v>
      </c>
    </row>
    <row r="61" spans="1:44" x14ac:dyDescent="0.25">
      <c r="A61" s="460">
        <v>5490</v>
      </c>
      <c r="B61" s="461" t="s">
        <v>9</v>
      </c>
      <c r="C61" s="462">
        <v>481137.25</v>
      </c>
      <c r="D61" s="464">
        <v>76729.8</v>
      </c>
      <c r="E61" s="462"/>
      <c r="F61" s="464"/>
      <c r="G61" s="462">
        <v>11197.55</v>
      </c>
      <c r="H61" s="464">
        <v>132.35</v>
      </c>
      <c r="I61" s="462"/>
      <c r="J61" s="464">
        <v>1952.59</v>
      </c>
      <c r="K61" s="462"/>
      <c r="L61" s="464">
        <v>38067.699999999997</v>
      </c>
      <c r="M61" s="479">
        <f t="shared" si="0"/>
        <v>609217.24</v>
      </c>
      <c r="N61" s="462"/>
      <c r="O61" s="464"/>
      <c r="P61" s="462">
        <v>13533.55</v>
      </c>
      <c r="Q61" s="464"/>
      <c r="R61" s="462">
        <v>19728.05</v>
      </c>
      <c r="S61" s="464"/>
      <c r="T61" s="462"/>
      <c r="U61" s="464">
        <v>1140</v>
      </c>
      <c r="V61" s="462"/>
      <c r="W61" s="464"/>
      <c r="X61" s="475">
        <f t="shared" si="1"/>
        <v>643618.84000000008</v>
      </c>
      <c r="Y61" s="483">
        <v>21510.33</v>
      </c>
      <c r="Z61" s="462"/>
      <c r="AA61" s="462">
        <v>10059.950000000001</v>
      </c>
      <c r="AB61" s="462"/>
      <c r="AC61" s="462">
        <v>26839.1</v>
      </c>
      <c r="AD61" s="462">
        <v>3600</v>
      </c>
      <c r="AE61" s="462"/>
      <c r="AF61" s="462"/>
      <c r="AG61" s="462"/>
      <c r="AH61" s="462">
        <v>5924.5</v>
      </c>
      <c r="AI61" s="462"/>
      <c r="AJ61" s="462"/>
      <c r="AK61" s="462"/>
      <c r="AL61" s="465">
        <f t="shared" si="2"/>
        <v>67933.88</v>
      </c>
      <c r="AM61" s="489">
        <v>81</v>
      </c>
      <c r="AN61" s="462">
        <v>304</v>
      </c>
      <c r="AO61" s="450">
        <v>-5895.97</v>
      </c>
      <c r="AP61" s="462"/>
      <c r="AQ61" s="450">
        <v>-201.16</v>
      </c>
      <c r="AR61" s="466">
        <v>1</v>
      </c>
    </row>
    <row r="62" spans="1:44" x14ac:dyDescent="0.25">
      <c r="A62" s="460">
        <v>5491</v>
      </c>
      <c r="B62" s="461" t="s">
        <v>197</v>
      </c>
      <c r="C62" s="462">
        <v>525961.84</v>
      </c>
      <c r="D62" s="464">
        <v>77621.83</v>
      </c>
      <c r="E62" s="462"/>
      <c r="F62" s="464"/>
      <c r="G62" s="462">
        <v>1331.65</v>
      </c>
      <c r="H62" s="464">
        <v>1008</v>
      </c>
      <c r="I62" s="462"/>
      <c r="J62" s="464">
        <v>10484.049999999999</v>
      </c>
      <c r="K62" s="462">
        <v>512.5</v>
      </c>
      <c r="L62" s="464">
        <v>62000.1</v>
      </c>
      <c r="M62" s="479">
        <f t="shared" si="0"/>
        <v>678919.97</v>
      </c>
      <c r="N62" s="462">
        <v>875.85</v>
      </c>
      <c r="O62" s="464">
        <v>16236</v>
      </c>
      <c r="P62" s="462">
        <v>44240.65</v>
      </c>
      <c r="Q62" s="464"/>
      <c r="R62" s="462">
        <v>55262.15</v>
      </c>
      <c r="S62" s="464"/>
      <c r="T62" s="462"/>
      <c r="U62" s="464">
        <v>3400</v>
      </c>
      <c r="V62" s="462"/>
      <c r="W62" s="464"/>
      <c r="X62" s="475">
        <f t="shared" si="1"/>
        <v>798934.62</v>
      </c>
      <c r="Y62" s="483"/>
      <c r="Z62" s="462"/>
      <c r="AA62" s="462">
        <v>47645</v>
      </c>
      <c r="AB62" s="462"/>
      <c r="AC62" s="462">
        <v>33882</v>
      </c>
      <c r="AD62" s="462"/>
      <c r="AE62" s="462"/>
      <c r="AF62" s="462"/>
      <c r="AG62" s="462"/>
      <c r="AH62" s="462">
        <v>10158</v>
      </c>
      <c r="AI62" s="462"/>
      <c r="AJ62" s="462"/>
      <c r="AK62" s="462"/>
      <c r="AL62" s="465">
        <f t="shared" si="2"/>
        <v>91685</v>
      </c>
      <c r="AM62" s="489">
        <v>76</v>
      </c>
      <c r="AN62" s="462">
        <v>402</v>
      </c>
      <c r="AO62" s="450">
        <v>-13431.11</v>
      </c>
      <c r="AP62" s="462"/>
      <c r="AQ62" s="450">
        <v>0</v>
      </c>
      <c r="AR62" s="466">
        <v>1</v>
      </c>
    </row>
    <row r="63" spans="1:44" x14ac:dyDescent="0.25">
      <c r="A63" s="460">
        <v>5492</v>
      </c>
      <c r="B63" s="461" t="s">
        <v>198</v>
      </c>
      <c r="C63" s="462">
        <v>5385454.9900000002</v>
      </c>
      <c r="D63" s="464">
        <v>7109109.8700000001</v>
      </c>
      <c r="E63" s="462"/>
      <c r="F63" s="464"/>
      <c r="G63" s="462">
        <v>139382.85</v>
      </c>
      <c r="H63" s="464">
        <v>1736.8</v>
      </c>
      <c r="I63" s="462"/>
      <c r="J63" s="464">
        <v>32490.799999999999</v>
      </c>
      <c r="K63" s="462">
        <v>32691</v>
      </c>
      <c r="L63" s="464">
        <v>64687.65</v>
      </c>
      <c r="M63" s="479">
        <f t="shared" si="0"/>
        <v>12765553.960000001</v>
      </c>
      <c r="N63" s="462">
        <v>1917</v>
      </c>
      <c r="O63" s="464">
        <v>23780.400000000001</v>
      </c>
      <c r="P63" s="462">
        <v>58300</v>
      </c>
      <c r="Q63" s="464">
        <v>20595.77</v>
      </c>
      <c r="R63" s="462">
        <v>42505.35</v>
      </c>
      <c r="S63" s="464"/>
      <c r="T63" s="462"/>
      <c r="U63" s="464">
        <v>5700</v>
      </c>
      <c r="V63" s="462"/>
      <c r="W63" s="464"/>
      <c r="X63" s="475">
        <f t="shared" si="1"/>
        <v>12918352.48</v>
      </c>
      <c r="Y63" s="483">
        <v>18356</v>
      </c>
      <c r="Z63" s="462"/>
      <c r="AA63" s="462">
        <v>22232</v>
      </c>
      <c r="AB63" s="462"/>
      <c r="AC63" s="462">
        <v>30990</v>
      </c>
      <c r="AD63" s="462">
        <v>18356</v>
      </c>
      <c r="AE63" s="462"/>
      <c r="AF63" s="462"/>
      <c r="AG63" s="462"/>
      <c r="AH63" s="462"/>
      <c r="AI63" s="462"/>
      <c r="AJ63" s="462"/>
      <c r="AK63" s="462"/>
      <c r="AL63" s="465">
        <f t="shared" si="2"/>
        <v>89934</v>
      </c>
      <c r="AM63" s="489">
        <v>64</v>
      </c>
      <c r="AN63" s="462">
        <v>951</v>
      </c>
      <c r="AO63" s="450">
        <v>-13806.69</v>
      </c>
      <c r="AP63" s="462"/>
      <c r="AQ63" s="450">
        <v>-5227.37</v>
      </c>
      <c r="AR63" s="466">
        <v>0.3</v>
      </c>
    </row>
    <row r="64" spans="1:44" x14ac:dyDescent="0.25">
      <c r="A64" s="460">
        <v>5493</v>
      </c>
      <c r="B64" s="461" t="s">
        <v>199</v>
      </c>
      <c r="C64" s="462">
        <v>586019.03</v>
      </c>
      <c r="D64" s="464">
        <v>58241.09</v>
      </c>
      <c r="E64" s="462"/>
      <c r="F64" s="464"/>
      <c r="G64" s="462">
        <v>6327.15</v>
      </c>
      <c r="H64" s="464">
        <v>503.9</v>
      </c>
      <c r="I64" s="462"/>
      <c r="J64" s="464">
        <v>13146.21</v>
      </c>
      <c r="K64" s="462">
        <v>133</v>
      </c>
      <c r="L64" s="464">
        <v>32416.5</v>
      </c>
      <c r="M64" s="479">
        <f t="shared" si="0"/>
        <v>696786.88</v>
      </c>
      <c r="N64" s="462">
        <v>52227.15</v>
      </c>
      <c r="O64" s="464">
        <v>224152.2</v>
      </c>
      <c r="P64" s="462"/>
      <c r="Q64" s="464">
        <v>3539.15</v>
      </c>
      <c r="R64" s="462"/>
      <c r="S64" s="464"/>
      <c r="T64" s="462"/>
      <c r="U64" s="464">
        <v>1200</v>
      </c>
      <c r="V64" s="462"/>
      <c r="W64" s="464"/>
      <c r="X64" s="475">
        <f t="shared" si="1"/>
        <v>977905.38</v>
      </c>
      <c r="Y64" s="483">
        <v>5494.3</v>
      </c>
      <c r="Z64" s="462"/>
      <c r="AA64" s="462">
        <v>52520.45</v>
      </c>
      <c r="AB64" s="462"/>
      <c r="AC64" s="462">
        <v>16498.3</v>
      </c>
      <c r="AD64" s="462"/>
      <c r="AE64" s="462"/>
      <c r="AF64" s="462"/>
      <c r="AG64" s="462"/>
      <c r="AH64" s="462"/>
      <c r="AI64" s="462"/>
      <c r="AJ64" s="462"/>
      <c r="AK64" s="462"/>
      <c r="AL64" s="465">
        <f t="shared" si="2"/>
        <v>74513.05</v>
      </c>
      <c r="AM64" s="489">
        <v>73</v>
      </c>
      <c r="AN64" s="462">
        <v>371</v>
      </c>
      <c r="AO64" s="450">
        <v>-55005.85</v>
      </c>
      <c r="AP64" s="462"/>
      <c r="AQ64" s="450">
        <v>0</v>
      </c>
      <c r="AR64" s="466">
        <v>0.65</v>
      </c>
    </row>
    <row r="65" spans="1:44" x14ac:dyDescent="0.25">
      <c r="A65" s="460">
        <v>5494</v>
      </c>
      <c r="B65" s="461" t="s">
        <v>200</v>
      </c>
      <c r="C65" s="462">
        <v>2233043.8199999998</v>
      </c>
      <c r="D65" s="464">
        <v>229791.21</v>
      </c>
      <c r="E65" s="462"/>
      <c r="F65" s="464"/>
      <c r="G65" s="462">
        <v>63127.1</v>
      </c>
      <c r="H65" s="464">
        <v>1043.05</v>
      </c>
      <c r="I65" s="462"/>
      <c r="J65" s="464">
        <v>42897.66</v>
      </c>
      <c r="K65" s="462">
        <v>2601</v>
      </c>
      <c r="L65" s="464">
        <v>209104.1</v>
      </c>
      <c r="M65" s="479">
        <f t="shared" si="0"/>
        <v>2781607.94</v>
      </c>
      <c r="N65" s="462">
        <v>21414.7</v>
      </c>
      <c r="O65" s="464">
        <v>117664.4</v>
      </c>
      <c r="P65" s="462">
        <v>58073</v>
      </c>
      <c r="Q65" s="464">
        <v>16337.48</v>
      </c>
      <c r="R65" s="462">
        <v>40662.35</v>
      </c>
      <c r="S65" s="464">
        <v>200</v>
      </c>
      <c r="T65" s="462">
        <v>3927.6</v>
      </c>
      <c r="U65" s="464">
        <v>5960</v>
      </c>
      <c r="V65" s="462"/>
      <c r="W65" s="464"/>
      <c r="X65" s="475">
        <f t="shared" si="1"/>
        <v>3045847.47</v>
      </c>
      <c r="Y65" s="483">
        <v>12035</v>
      </c>
      <c r="Z65" s="462">
        <v>3426.99</v>
      </c>
      <c r="AA65" s="462">
        <v>147192.82</v>
      </c>
      <c r="AB65" s="462"/>
      <c r="AC65" s="462">
        <v>118992.27</v>
      </c>
      <c r="AD65" s="462">
        <v>13228</v>
      </c>
      <c r="AE65" s="462">
        <v>2892</v>
      </c>
      <c r="AF65" s="462"/>
      <c r="AG65" s="462"/>
      <c r="AH65" s="462"/>
      <c r="AI65" s="462"/>
      <c r="AJ65" s="462"/>
      <c r="AK65" s="462"/>
      <c r="AL65" s="465">
        <f t="shared" si="2"/>
        <v>297767.08</v>
      </c>
      <c r="AM65" s="489">
        <v>75</v>
      </c>
      <c r="AN65" s="462">
        <v>1116</v>
      </c>
      <c r="AO65" s="450">
        <v>-28008.05</v>
      </c>
      <c r="AP65" s="462"/>
      <c r="AQ65" s="450">
        <v>-130.6</v>
      </c>
      <c r="AR65" s="466">
        <v>1.05</v>
      </c>
    </row>
    <row r="66" spans="1:44" x14ac:dyDescent="0.25">
      <c r="A66" s="460">
        <v>5495</v>
      </c>
      <c r="B66" s="461" t="s">
        <v>201</v>
      </c>
      <c r="C66" s="462">
        <v>5588685.7699999996</v>
      </c>
      <c r="D66" s="464">
        <v>540144.18999999994</v>
      </c>
      <c r="E66" s="462"/>
      <c r="F66" s="464"/>
      <c r="G66" s="462">
        <v>480625.4</v>
      </c>
      <c r="H66" s="464">
        <v>-1324.95</v>
      </c>
      <c r="I66" s="462">
        <v>41780.25</v>
      </c>
      <c r="J66" s="464">
        <v>244727.84</v>
      </c>
      <c r="K66" s="462">
        <v>73878.5</v>
      </c>
      <c r="L66" s="464">
        <v>486256.8</v>
      </c>
      <c r="M66" s="479">
        <f t="shared" si="0"/>
        <v>7454773.7999999989</v>
      </c>
      <c r="N66" s="462">
        <v>168264.7</v>
      </c>
      <c r="O66" s="464">
        <v>75320</v>
      </c>
      <c r="P66" s="462">
        <v>79030.850000000006</v>
      </c>
      <c r="Q66" s="464">
        <v>24248.82</v>
      </c>
      <c r="R66" s="462">
        <v>76468.800000000003</v>
      </c>
      <c r="S66" s="464"/>
      <c r="T66" s="462"/>
      <c r="U66" s="464">
        <v>12330</v>
      </c>
      <c r="V66" s="462"/>
      <c r="W66" s="464"/>
      <c r="X66" s="475">
        <f t="shared" si="1"/>
        <v>7890436.9699999988</v>
      </c>
      <c r="Y66" s="483">
        <v>226838.9</v>
      </c>
      <c r="Z66" s="462">
        <v>73734.100000000006</v>
      </c>
      <c r="AA66" s="462">
        <v>328159.25</v>
      </c>
      <c r="AB66" s="462">
        <v>305698.40000000002</v>
      </c>
      <c r="AC66" s="462">
        <v>226838.9</v>
      </c>
      <c r="AD66" s="462"/>
      <c r="AE66" s="462"/>
      <c r="AF66" s="462"/>
      <c r="AG66" s="462">
        <v>16646</v>
      </c>
      <c r="AH66" s="462">
        <v>104500</v>
      </c>
      <c r="AI66" s="462"/>
      <c r="AJ66" s="462"/>
      <c r="AK66" s="462"/>
      <c r="AL66" s="465">
        <f t="shared" si="2"/>
        <v>1282415.55</v>
      </c>
      <c r="AM66" s="489">
        <v>74</v>
      </c>
      <c r="AN66" s="462">
        <v>3252</v>
      </c>
      <c r="AO66" s="450">
        <v>-120476.32</v>
      </c>
      <c r="AP66" s="462"/>
      <c r="AQ66" s="450">
        <v>-280.22000000000003</v>
      </c>
      <c r="AR66" s="466">
        <v>1</v>
      </c>
    </row>
    <row r="67" spans="1:44" x14ac:dyDescent="0.25">
      <c r="A67" s="460">
        <v>5496</v>
      </c>
      <c r="B67" s="461" t="s">
        <v>202</v>
      </c>
      <c r="C67" s="462">
        <v>2932503.08</v>
      </c>
      <c r="D67" s="464">
        <v>306515.25</v>
      </c>
      <c r="E67" s="462"/>
      <c r="F67" s="464"/>
      <c r="G67" s="462">
        <v>136762.6</v>
      </c>
      <c r="H67" s="464">
        <v>19860.400000000001</v>
      </c>
      <c r="I67" s="462"/>
      <c r="J67" s="464">
        <v>76022.87</v>
      </c>
      <c r="K67" s="462">
        <v>15258.5</v>
      </c>
      <c r="L67" s="464">
        <v>288493.75</v>
      </c>
      <c r="M67" s="479">
        <f t="shared" si="0"/>
        <v>3775416.45</v>
      </c>
      <c r="N67" s="462">
        <v>84768.55</v>
      </c>
      <c r="O67" s="464">
        <v>13.2</v>
      </c>
      <c r="P67" s="462">
        <v>84712.05</v>
      </c>
      <c r="Q67" s="464">
        <v>14968.11</v>
      </c>
      <c r="R67" s="462">
        <v>24979.8</v>
      </c>
      <c r="S67" s="464">
        <v>250</v>
      </c>
      <c r="T67" s="462">
        <v>7458.25</v>
      </c>
      <c r="U67" s="464">
        <v>14050</v>
      </c>
      <c r="V67" s="462"/>
      <c r="W67" s="464"/>
      <c r="X67" s="475">
        <f t="shared" si="1"/>
        <v>4006616.4099999997</v>
      </c>
      <c r="Y67" s="483">
        <v>67868.25</v>
      </c>
      <c r="Z67" s="462"/>
      <c r="AA67" s="462"/>
      <c r="AB67" s="462">
        <v>181931.45</v>
      </c>
      <c r="AC67" s="462">
        <v>123360</v>
      </c>
      <c r="AD67" s="462">
        <v>84660.25</v>
      </c>
      <c r="AE67" s="462"/>
      <c r="AF67" s="462"/>
      <c r="AG67" s="462">
        <v>5623.8</v>
      </c>
      <c r="AH67" s="462">
        <v>48311.9</v>
      </c>
      <c r="AI67" s="462"/>
      <c r="AJ67" s="462"/>
      <c r="AK67" s="462"/>
      <c r="AL67" s="465">
        <f t="shared" si="2"/>
        <v>511755.65</v>
      </c>
      <c r="AM67" s="489">
        <v>71</v>
      </c>
      <c r="AN67" s="462">
        <v>1703</v>
      </c>
      <c r="AO67" s="450">
        <v>-32738.97</v>
      </c>
      <c r="AP67" s="462"/>
      <c r="AQ67" s="450">
        <v>-1344.63</v>
      </c>
      <c r="AR67" s="466">
        <v>1</v>
      </c>
    </row>
    <row r="68" spans="1:44" x14ac:dyDescent="0.25">
      <c r="A68" s="460">
        <v>5497</v>
      </c>
      <c r="B68" s="461" t="s">
        <v>203</v>
      </c>
      <c r="C68" s="462">
        <v>1165538.74</v>
      </c>
      <c r="D68" s="464">
        <v>125011.68</v>
      </c>
      <c r="E68" s="462"/>
      <c r="F68" s="464"/>
      <c r="G68" s="462">
        <v>12059.95</v>
      </c>
      <c r="H68" s="464">
        <v>294.89999999999998</v>
      </c>
      <c r="I68" s="462"/>
      <c r="J68" s="464">
        <v>62153.62</v>
      </c>
      <c r="K68" s="462">
        <v>6367.5</v>
      </c>
      <c r="L68" s="464">
        <v>121970.1</v>
      </c>
      <c r="M68" s="479">
        <f t="shared" si="0"/>
        <v>1493396.49</v>
      </c>
      <c r="N68" s="462">
        <v>245491.55</v>
      </c>
      <c r="O68" s="464">
        <v>129693</v>
      </c>
      <c r="P68" s="462">
        <v>49863.7</v>
      </c>
      <c r="Q68" s="464">
        <v>15082.56</v>
      </c>
      <c r="R68" s="462">
        <v>13534.7</v>
      </c>
      <c r="S68" s="464"/>
      <c r="T68" s="462"/>
      <c r="U68" s="464">
        <v>2300</v>
      </c>
      <c r="V68" s="462"/>
      <c r="W68" s="464"/>
      <c r="X68" s="475">
        <f t="shared" si="1"/>
        <v>1949362</v>
      </c>
      <c r="Y68" s="483">
        <v>450</v>
      </c>
      <c r="Z68" s="462"/>
      <c r="AA68" s="462">
        <v>87334</v>
      </c>
      <c r="AB68" s="462"/>
      <c r="AC68" s="462">
        <v>93356.95</v>
      </c>
      <c r="AD68" s="462"/>
      <c r="AE68" s="462"/>
      <c r="AF68" s="462"/>
      <c r="AG68" s="462"/>
      <c r="AH68" s="462">
        <v>32328.35</v>
      </c>
      <c r="AI68" s="462"/>
      <c r="AJ68" s="462"/>
      <c r="AK68" s="462"/>
      <c r="AL68" s="465">
        <f t="shared" si="2"/>
        <v>213469.30000000002</v>
      </c>
      <c r="AM68" s="489">
        <v>66</v>
      </c>
      <c r="AN68" s="462">
        <v>859</v>
      </c>
      <c r="AO68" s="450">
        <v>-38479.18</v>
      </c>
      <c r="AP68" s="462"/>
      <c r="AQ68" s="450">
        <v>-7.73</v>
      </c>
      <c r="AR68" s="466">
        <v>1</v>
      </c>
    </row>
    <row r="69" spans="1:44" x14ac:dyDescent="0.25">
      <c r="A69" s="460">
        <v>5498</v>
      </c>
      <c r="B69" s="461" t="s">
        <v>204</v>
      </c>
      <c r="C69" s="462">
        <v>3806708.17</v>
      </c>
      <c r="D69" s="464">
        <v>399507.31</v>
      </c>
      <c r="E69" s="462"/>
      <c r="F69" s="464"/>
      <c r="G69" s="462">
        <v>163491.85</v>
      </c>
      <c r="H69" s="464">
        <v>1112.05</v>
      </c>
      <c r="I69" s="462"/>
      <c r="J69" s="464">
        <v>146654.28</v>
      </c>
      <c r="K69" s="462">
        <v>20025</v>
      </c>
      <c r="L69" s="464">
        <v>351528.05</v>
      </c>
      <c r="M69" s="479">
        <f t="shared" si="0"/>
        <v>4889026.709999999</v>
      </c>
      <c r="N69" s="462">
        <v>77197.350000000006</v>
      </c>
      <c r="O69" s="464">
        <v>50753.8</v>
      </c>
      <c r="P69" s="462">
        <v>102946.35</v>
      </c>
      <c r="Q69" s="464">
        <v>32354.06</v>
      </c>
      <c r="R69" s="462">
        <v>147553.1</v>
      </c>
      <c r="S69" s="464">
        <v>1081.25</v>
      </c>
      <c r="T69" s="462">
        <v>10186.049999999999</v>
      </c>
      <c r="U69" s="464">
        <v>16520</v>
      </c>
      <c r="V69" s="462"/>
      <c r="W69" s="464"/>
      <c r="X69" s="475">
        <f t="shared" si="1"/>
        <v>5327618.6699999971</v>
      </c>
      <c r="Y69" s="483">
        <v>45202.5</v>
      </c>
      <c r="Z69" s="462"/>
      <c r="AA69" s="462">
        <v>276679.65000000002</v>
      </c>
      <c r="AB69" s="462"/>
      <c r="AC69" s="462">
        <v>290325.53999999998</v>
      </c>
      <c r="AD69" s="462"/>
      <c r="AE69" s="462"/>
      <c r="AF69" s="462"/>
      <c r="AG69" s="462"/>
      <c r="AH69" s="462"/>
      <c r="AI69" s="462"/>
      <c r="AJ69" s="462"/>
      <c r="AK69" s="462"/>
      <c r="AL69" s="465">
        <f t="shared" si="2"/>
        <v>612207.68999999994</v>
      </c>
      <c r="AM69" s="489">
        <v>66</v>
      </c>
      <c r="AN69" s="462">
        <v>2567</v>
      </c>
      <c r="AO69" s="450">
        <v>-50263.13</v>
      </c>
      <c r="AP69" s="462"/>
      <c r="AQ69" s="450">
        <v>-12.78</v>
      </c>
      <c r="AR69" s="466">
        <v>1</v>
      </c>
    </row>
    <row r="70" spans="1:44" x14ac:dyDescent="0.25">
      <c r="A70" s="460">
        <v>5499</v>
      </c>
      <c r="B70" s="461" t="s">
        <v>205</v>
      </c>
      <c r="C70" s="462">
        <v>988759.75</v>
      </c>
      <c r="D70" s="464">
        <v>146312.9</v>
      </c>
      <c r="E70" s="462"/>
      <c r="F70" s="464"/>
      <c r="G70" s="462">
        <v>35373.35</v>
      </c>
      <c r="H70" s="464">
        <v>417.55</v>
      </c>
      <c r="I70" s="462"/>
      <c r="J70" s="464">
        <v>20063.439999999999</v>
      </c>
      <c r="K70" s="462"/>
      <c r="L70" s="464">
        <v>82818.600000000006</v>
      </c>
      <c r="M70" s="479">
        <f t="shared" si="0"/>
        <v>1273745.5900000001</v>
      </c>
      <c r="N70" s="462">
        <v>12062.9</v>
      </c>
      <c r="O70" s="464">
        <v>29227.3</v>
      </c>
      <c r="P70" s="462">
        <v>45346.25</v>
      </c>
      <c r="Q70" s="464"/>
      <c r="R70" s="462">
        <v>34854.449999999997</v>
      </c>
      <c r="S70" s="464"/>
      <c r="T70" s="462">
        <v>150</v>
      </c>
      <c r="U70" s="464">
        <v>1100</v>
      </c>
      <c r="V70" s="462"/>
      <c r="W70" s="464"/>
      <c r="X70" s="475">
        <f t="shared" si="1"/>
        <v>1396486.49</v>
      </c>
      <c r="Y70" s="483">
        <v>40616</v>
      </c>
      <c r="Z70" s="462"/>
      <c r="AA70" s="462">
        <v>32780</v>
      </c>
      <c r="AB70" s="462"/>
      <c r="AC70" s="462">
        <v>33385.4</v>
      </c>
      <c r="AD70" s="462">
        <v>40616</v>
      </c>
      <c r="AE70" s="462"/>
      <c r="AF70" s="462"/>
      <c r="AG70" s="462"/>
      <c r="AH70" s="462"/>
      <c r="AI70" s="462"/>
      <c r="AJ70" s="462"/>
      <c r="AK70" s="462"/>
      <c r="AL70" s="465">
        <f t="shared" si="2"/>
        <v>147397.4</v>
      </c>
      <c r="AM70" s="489">
        <v>68.5</v>
      </c>
      <c r="AN70" s="462">
        <v>459</v>
      </c>
      <c r="AO70" s="450">
        <v>-122.02</v>
      </c>
      <c r="AP70" s="462"/>
      <c r="AQ70" s="450">
        <v>-486.9</v>
      </c>
      <c r="AR70" s="466">
        <v>1</v>
      </c>
    </row>
    <row r="71" spans="1:44" x14ac:dyDescent="0.25">
      <c r="A71" s="460">
        <v>5500</v>
      </c>
      <c r="B71" s="461" t="s">
        <v>206</v>
      </c>
      <c r="C71" s="462">
        <v>466162.43</v>
      </c>
      <c r="D71" s="464">
        <v>91538.87</v>
      </c>
      <c r="E71" s="462"/>
      <c r="F71" s="464"/>
      <c r="G71" s="462">
        <v>6444.85</v>
      </c>
      <c r="H71" s="464">
        <v>474.35</v>
      </c>
      <c r="I71" s="462"/>
      <c r="J71" s="464">
        <v>8896.19</v>
      </c>
      <c r="K71" s="462">
        <v>38.5</v>
      </c>
      <c r="L71" s="464">
        <v>47397.75</v>
      </c>
      <c r="M71" s="479">
        <f t="shared" si="0"/>
        <v>620952.93999999994</v>
      </c>
      <c r="N71" s="462">
        <v>4855.1499999999996</v>
      </c>
      <c r="O71" s="464"/>
      <c r="P71" s="462">
        <v>11495</v>
      </c>
      <c r="Q71" s="464">
        <v>2344.79</v>
      </c>
      <c r="R71" s="462"/>
      <c r="S71" s="464"/>
      <c r="T71" s="462"/>
      <c r="U71" s="464">
        <v>1650</v>
      </c>
      <c r="V71" s="462"/>
      <c r="W71" s="464"/>
      <c r="X71" s="475">
        <f t="shared" si="1"/>
        <v>641297.88</v>
      </c>
      <c r="Y71" s="483">
        <v>8775.7999999999993</v>
      </c>
      <c r="Z71" s="462"/>
      <c r="AA71" s="462">
        <v>30170.1</v>
      </c>
      <c r="AB71" s="462"/>
      <c r="AC71" s="462">
        <v>22306.5</v>
      </c>
      <c r="AD71" s="462">
        <v>5811.4</v>
      </c>
      <c r="AE71" s="462"/>
      <c r="AF71" s="462"/>
      <c r="AG71" s="462"/>
      <c r="AH71" s="462"/>
      <c r="AI71" s="462"/>
      <c r="AJ71" s="462"/>
      <c r="AK71" s="462"/>
      <c r="AL71" s="465">
        <f t="shared" si="2"/>
        <v>67063.799999999988</v>
      </c>
      <c r="AM71" s="489">
        <v>76</v>
      </c>
      <c r="AN71" s="462">
        <v>243</v>
      </c>
      <c r="AO71" s="450">
        <v>-5206.53</v>
      </c>
      <c r="AP71" s="462"/>
      <c r="AQ71" s="450">
        <v>-6.37</v>
      </c>
      <c r="AR71" s="466">
        <v>1.2</v>
      </c>
    </row>
    <row r="72" spans="1:44" x14ac:dyDescent="0.25">
      <c r="A72" s="460">
        <v>5501</v>
      </c>
      <c r="B72" s="461" t="s">
        <v>207</v>
      </c>
      <c r="C72" s="462">
        <v>1837329.56</v>
      </c>
      <c r="D72" s="464">
        <v>357483.31</v>
      </c>
      <c r="E72" s="462"/>
      <c r="F72" s="464"/>
      <c r="G72" s="462">
        <v>34277.65</v>
      </c>
      <c r="H72" s="464">
        <v>791.75</v>
      </c>
      <c r="I72" s="462">
        <v>38474.65</v>
      </c>
      <c r="J72" s="464">
        <v>49659.64</v>
      </c>
      <c r="K72" s="462">
        <v>-3875</v>
      </c>
      <c r="L72" s="464">
        <v>186566.7</v>
      </c>
      <c r="M72" s="479">
        <f t="shared" ref="M72:M135" si="3">SUM(C72:L72)</f>
        <v>2500708.2600000002</v>
      </c>
      <c r="N72" s="462"/>
      <c r="O72" s="464">
        <v>99446.8</v>
      </c>
      <c r="P72" s="462">
        <v>187937.5</v>
      </c>
      <c r="Q72" s="464">
        <v>6823.52</v>
      </c>
      <c r="R72" s="462">
        <v>57275.95</v>
      </c>
      <c r="S72" s="464"/>
      <c r="T72" s="462"/>
      <c r="U72" s="464">
        <v>2900</v>
      </c>
      <c r="V72" s="462"/>
      <c r="W72" s="464"/>
      <c r="X72" s="475">
        <f t="shared" si="1"/>
        <v>2855092.0300000003</v>
      </c>
      <c r="Y72" s="483">
        <v>30081.35</v>
      </c>
      <c r="Z72" s="462">
        <v>838.9</v>
      </c>
      <c r="AA72" s="462">
        <v>101059.2</v>
      </c>
      <c r="AB72" s="462"/>
      <c r="AC72" s="462">
        <v>109670.8</v>
      </c>
      <c r="AD72" s="462">
        <v>37601.699999999997</v>
      </c>
      <c r="AE72" s="462">
        <v>1224.9000000000001</v>
      </c>
      <c r="AF72" s="462"/>
      <c r="AG72" s="462"/>
      <c r="AH72" s="462"/>
      <c r="AI72" s="462"/>
      <c r="AJ72" s="462"/>
      <c r="AK72" s="462"/>
      <c r="AL72" s="465">
        <f t="shared" ref="AL72:AL135" si="4">SUM(Y72:AK72)</f>
        <v>280476.85000000003</v>
      </c>
      <c r="AM72" s="489">
        <v>70</v>
      </c>
      <c r="AN72" s="462">
        <v>978</v>
      </c>
      <c r="AO72" s="450">
        <v>-4827.21</v>
      </c>
      <c r="AP72" s="462"/>
      <c r="AQ72" s="450">
        <v>-1069.06</v>
      </c>
      <c r="AR72" s="466">
        <v>1</v>
      </c>
    </row>
    <row r="73" spans="1:44" x14ac:dyDescent="0.25">
      <c r="A73" s="460">
        <v>5503</v>
      </c>
      <c r="B73" s="461" t="s">
        <v>208</v>
      </c>
      <c r="C73" s="462">
        <v>2935888.96</v>
      </c>
      <c r="D73" s="464">
        <v>485276.93</v>
      </c>
      <c r="E73" s="462"/>
      <c r="F73" s="464"/>
      <c r="G73" s="462">
        <v>519910.75</v>
      </c>
      <c r="H73" s="464">
        <v>8605.9</v>
      </c>
      <c r="I73" s="462"/>
      <c r="J73" s="464">
        <v>89806.16</v>
      </c>
      <c r="K73" s="462">
        <v>10842</v>
      </c>
      <c r="L73" s="464">
        <v>386273.5</v>
      </c>
      <c r="M73" s="479">
        <f t="shared" si="3"/>
        <v>4436604.2</v>
      </c>
      <c r="N73" s="462">
        <v>107223.5</v>
      </c>
      <c r="O73" s="464">
        <v>11301.7</v>
      </c>
      <c r="P73" s="462">
        <v>476178.2</v>
      </c>
      <c r="Q73" s="464">
        <v>3633.85</v>
      </c>
      <c r="R73" s="462">
        <v>77878.8</v>
      </c>
      <c r="S73" s="464"/>
      <c r="T73" s="462"/>
      <c r="U73" s="464">
        <v>5040</v>
      </c>
      <c r="V73" s="462"/>
      <c r="W73" s="464"/>
      <c r="X73" s="475">
        <f t="shared" ref="X73:X136" si="5">SUM(M73:W73)</f>
        <v>5117860.25</v>
      </c>
      <c r="Y73" s="483">
        <v>475265.6</v>
      </c>
      <c r="Z73" s="462"/>
      <c r="AA73" s="462">
        <v>166618.75</v>
      </c>
      <c r="AB73" s="462"/>
      <c r="AC73" s="462">
        <v>139557.75</v>
      </c>
      <c r="AD73" s="462">
        <v>212653.15</v>
      </c>
      <c r="AE73" s="462"/>
      <c r="AF73" s="462"/>
      <c r="AG73" s="462"/>
      <c r="AH73" s="462"/>
      <c r="AI73" s="462"/>
      <c r="AJ73" s="462"/>
      <c r="AK73" s="462"/>
      <c r="AL73" s="465">
        <f t="shared" si="4"/>
        <v>994095.25</v>
      </c>
      <c r="AM73" s="489">
        <v>67</v>
      </c>
      <c r="AN73" s="462">
        <v>1252</v>
      </c>
      <c r="AO73" s="450">
        <v>-25518.639999999999</v>
      </c>
      <c r="AP73" s="462"/>
      <c r="AQ73" s="450">
        <v>-186.91</v>
      </c>
      <c r="AR73" s="466">
        <v>1.2</v>
      </c>
    </row>
    <row r="74" spans="1:44" x14ac:dyDescent="0.25">
      <c r="A74" s="460">
        <v>5511</v>
      </c>
      <c r="B74" s="461" t="s">
        <v>209</v>
      </c>
      <c r="C74" s="462">
        <v>2130405.11</v>
      </c>
      <c r="D74" s="464">
        <v>227158.26</v>
      </c>
      <c r="E74" s="462"/>
      <c r="F74" s="464"/>
      <c r="G74" s="462">
        <v>266778.65000000002</v>
      </c>
      <c r="H74" s="464">
        <v>2813.5</v>
      </c>
      <c r="I74" s="462"/>
      <c r="J74" s="464">
        <v>12612.06</v>
      </c>
      <c r="K74" s="462">
        <v>569</v>
      </c>
      <c r="L74" s="464">
        <v>213945.65</v>
      </c>
      <c r="M74" s="479">
        <f t="shared" si="3"/>
        <v>2854282.23</v>
      </c>
      <c r="N74" s="462">
        <v>9371</v>
      </c>
      <c r="O74" s="464"/>
      <c r="P74" s="462">
        <v>128803.65</v>
      </c>
      <c r="Q74" s="464">
        <v>7207.96</v>
      </c>
      <c r="R74" s="462">
        <v>57606.5</v>
      </c>
      <c r="S74" s="464"/>
      <c r="T74" s="462"/>
      <c r="U74" s="464">
        <v>10575</v>
      </c>
      <c r="V74" s="462"/>
      <c r="W74" s="464">
        <v>5476.75</v>
      </c>
      <c r="X74" s="475">
        <f t="shared" si="5"/>
        <v>3073323.09</v>
      </c>
      <c r="Y74" s="483">
        <v>39263.4</v>
      </c>
      <c r="Z74" s="462"/>
      <c r="AA74" s="462">
        <v>256999.8</v>
      </c>
      <c r="AB74" s="462"/>
      <c r="AC74" s="462">
        <v>113562.1</v>
      </c>
      <c r="AD74" s="462">
        <v>29274</v>
      </c>
      <c r="AE74" s="462"/>
      <c r="AF74" s="462"/>
      <c r="AG74" s="462"/>
      <c r="AH74" s="462">
        <v>27955.25</v>
      </c>
      <c r="AI74" s="462"/>
      <c r="AJ74" s="462"/>
      <c r="AK74" s="462"/>
      <c r="AL74" s="465">
        <f t="shared" si="4"/>
        <v>467054.55000000005</v>
      </c>
      <c r="AM74" s="489">
        <v>70</v>
      </c>
      <c r="AN74" s="462">
        <v>1060</v>
      </c>
      <c r="AO74" s="450">
        <v>-61950.69</v>
      </c>
      <c r="AP74" s="462"/>
      <c r="AQ74" s="450">
        <v>-5.25</v>
      </c>
      <c r="AR74" s="466">
        <v>1</v>
      </c>
    </row>
    <row r="75" spans="1:44" x14ac:dyDescent="0.25">
      <c r="A75" s="460">
        <v>5512</v>
      </c>
      <c r="B75" s="461" t="s">
        <v>210</v>
      </c>
      <c r="C75" s="462">
        <v>2154455.06</v>
      </c>
      <c r="D75" s="464">
        <v>298297.56</v>
      </c>
      <c r="E75" s="462"/>
      <c r="F75" s="464"/>
      <c r="G75" s="462">
        <v>42978.9</v>
      </c>
      <c r="H75" s="464">
        <v>777.05</v>
      </c>
      <c r="I75" s="462"/>
      <c r="J75" s="464">
        <v>58750.26</v>
      </c>
      <c r="K75" s="462">
        <v>5598.5</v>
      </c>
      <c r="L75" s="464">
        <v>223262.7</v>
      </c>
      <c r="M75" s="479">
        <f t="shared" si="3"/>
        <v>2784120.03</v>
      </c>
      <c r="N75" s="462">
        <v>25548.9</v>
      </c>
      <c r="O75" s="464">
        <v>20738.3</v>
      </c>
      <c r="P75" s="462">
        <v>183268.15</v>
      </c>
      <c r="Q75" s="464">
        <v>10067.56</v>
      </c>
      <c r="R75" s="462">
        <v>91335.85</v>
      </c>
      <c r="S75" s="464">
        <v>7622.2</v>
      </c>
      <c r="T75" s="462"/>
      <c r="U75" s="464">
        <v>8300</v>
      </c>
      <c r="V75" s="462"/>
      <c r="W75" s="464"/>
      <c r="X75" s="475">
        <f t="shared" si="5"/>
        <v>3131000.9899999998</v>
      </c>
      <c r="Y75" s="483"/>
      <c r="Z75" s="462"/>
      <c r="AA75" s="462">
        <v>249500.95</v>
      </c>
      <c r="AB75" s="462"/>
      <c r="AC75" s="462">
        <v>142412.29999999999</v>
      </c>
      <c r="AD75" s="462"/>
      <c r="AE75" s="462"/>
      <c r="AF75" s="462"/>
      <c r="AG75" s="462"/>
      <c r="AH75" s="462"/>
      <c r="AI75" s="462"/>
      <c r="AJ75" s="462"/>
      <c r="AK75" s="462"/>
      <c r="AL75" s="465">
        <f t="shared" si="4"/>
        <v>391913.25</v>
      </c>
      <c r="AM75" s="489">
        <v>79</v>
      </c>
      <c r="AN75" s="462">
        <v>1157</v>
      </c>
      <c r="AO75" s="450">
        <v>-21499.08</v>
      </c>
      <c r="AP75" s="462"/>
      <c r="AQ75" s="450">
        <v>-83.79</v>
      </c>
      <c r="AR75" s="466">
        <v>1</v>
      </c>
    </row>
    <row r="76" spans="1:44" x14ac:dyDescent="0.25">
      <c r="A76" s="460">
        <v>5513</v>
      </c>
      <c r="B76" s="461" t="s">
        <v>211</v>
      </c>
      <c r="C76" s="462">
        <v>766434.54</v>
      </c>
      <c r="D76" s="464">
        <v>84756.05</v>
      </c>
      <c r="E76" s="462"/>
      <c r="F76" s="464"/>
      <c r="G76" s="462">
        <v>462281.25</v>
      </c>
      <c r="H76" s="464">
        <v>10344.450000000001</v>
      </c>
      <c r="I76" s="462"/>
      <c r="J76" s="464">
        <v>60469.2</v>
      </c>
      <c r="K76" s="462">
        <v>1774.5</v>
      </c>
      <c r="L76" s="464">
        <v>50200</v>
      </c>
      <c r="M76" s="479">
        <f t="shared" si="3"/>
        <v>1436259.99</v>
      </c>
      <c r="N76" s="462">
        <v>94517.85</v>
      </c>
      <c r="O76" s="464">
        <v>215</v>
      </c>
      <c r="P76" s="462">
        <v>27726.35</v>
      </c>
      <c r="Q76" s="464"/>
      <c r="R76" s="462">
        <v>12240.55</v>
      </c>
      <c r="S76" s="464"/>
      <c r="T76" s="462">
        <v>728</v>
      </c>
      <c r="U76" s="464">
        <v>4702.5</v>
      </c>
      <c r="V76" s="462"/>
      <c r="W76" s="464"/>
      <c r="X76" s="475">
        <f t="shared" si="5"/>
        <v>1576390.2400000002</v>
      </c>
      <c r="Y76" s="483">
        <v>9095</v>
      </c>
      <c r="Z76" s="462"/>
      <c r="AA76" s="462">
        <v>69935</v>
      </c>
      <c r="AB76" s="462"/>
      <c r="AC76" s="462">
        <v>34947.599999999999</v>
      </c>
      <c r="AD76" s="462">
        <v>7525</v>
      </c>
      <c r="AE76" s="462"/>
      <c r="AF76" s="462"/>
      <c r="AG76" s="462"/>
      <c r="AH76" s="462"/>
      <c r="AI76" s="462"/>
      <c r="AJ76" s="462"/>
      <c r="AK76" s="462"/>
      <c r="AL76" s="465">
        <f t="shared" si="4"/>
        <v>121502.6</v>
      </c>
      <c r="AM76" s="489">
        <v>66</v>
      </c>
      <c r="AN76" s="462">
        <v>483</v>
      </c>
      <c r="AO76" s="450">
        <v>-5338.94</v>
      </c>
      <c r="AP76" s="462"/>
      <c r="AQ76" s="450">
        <v>0</v>
      </c>
      <c r="AR76" s="466">
        <v>0.5</v>
      </c>
    </row>
    <row r="77" spans="1:44" x14ac:dyDescent="0.25">
      <c r="A77" s="460">
        <v>5514</v>
      </c>
      <c r="B77" s="461" t="s">
        <v>212</v>
      </c>
      <c r="C77" s="462">
        <v>2196346.04</v>
      </c>
      <c r="D77" s="464">
        <v>290972.06</v>
      </c>
      <c r="E77" s="462"/>
      <c r="F77" s="464"/>
      <c r="G77" s="462">
        <v>29416.35</v>
      </c>
      <c r="H77" s="464">
        <v>10089.4</v>
      </c>
      <c r="I77" s="462">
        <v>34926.15</v>
      </c>
      <c r="J77" s="464">
        <v>64315.16</v>
      </c>
      <c r="K77" s="462">
        <v>6085</v>
      </c>
      <c r="L77" s="464">
        <v>211858.05</v>
      </c>
      <c r="M77" s="479">
        <f t="shared" si="3"/>
        <v>2844008.21</v>
      </c>
      <c r="N77" s="462">
        <v>10495.45</v>
      </c>
      <c r="O77" s="464">
        <v>150776.20000000001</v>
      </c>
      <c r="P77" s="462">
        <v>59343.1</v>
      </c>
      <c r="Q77" s="464">
        <v>9375.27</v>
      </c>
      <c r="R77" s="462">
        <v>43356</v>
      </c>
      <c r="S77" s="464"/>
      <c r="T77" s="462"/>
      <c r="U77" s="464">
        <v>8160</v>
      </c>
      <c r="V77" s="462"/>
      <c r="W77" s="464"/>
      <c r="X77" s="475">
        <f t="shared" si="5"/>
        <v>3125514.2300000004</v>
      </c>
      <c r="Y77" s="483">
        <v>108204</v>
      </c>
      <c r="Z77" s="462"/>
      <c r="AA77" s="462">
        <v>306172.90000000002</v>
      </c>
      <c r="AB77" s="462"/>
      <c r="AC77" s="462">
        <v>91382.3</v>
      </c>
      <c r="AD77" s="462">
        <v>68172.149999999994</v>
      </c>
      <c r="AE77" s="462"/>
      <c r="AF77" s="462"/>
      <c r="AG77" s="462"/>
      <c r="AH77" s="462">
        <v>22736.2</v>
      </c>
      <c r="AI77" s="462"/>
      <c r="AJ77" s="462"/>
      <c r="AK77" s="462"/>
      <c r="AL77" s="465">
        <f t="shared" si="4"/>
        <v>596667.54999999993</v>
      </c>
      <c r="AM77" s="489">
        <v>69</v>
      </c>
      <c r="AN77" s="462">
        <v>1240</v>
      </c>
      <c r="AO77" s="450">
        <v>-53341.760000000002</v>
      </c>
      <c r="AP77" s="462"/>
      <c r="AQ77" s="450">
        <v>-25.52</v>
      </c>
      <c r="AR77" s="466">
        <v>1</v>
      </c>
    </row>
    <row r="78" spans="1:44" x14ac:dyDescent="0.25">
      <c r="A78" s="460">
        <v>5515</v>
      </c>
      <c r="B78" s="461" t="s">
        <v>213</v>
      </c>
      <c r="C78" s="462">
        <v>1536454.56</v>
      </c>
      <c r="D78" s="464">
        <v>121133.92</v>
      </c>
      <c r="E78" s="462"/>
      <c r="F78" s="464"/>
      <c r="G78" s="462">
        <v>4260.3500000000004</v>
      </c>
      <c r="H78" s="464">
        <v>233.15</v>
      </c>
      <c r="I78" s="462"/>
      <c r="J78" s="464">
        <v>38943.040000000001</v>
      </c>
      <c r="K78" s="462">
        <v>3345</v>
      </c>
      <c r="L78" s="464">
        <v>136815.85</v>
      </c>
      <c r="M78" s="479">
        <f t="shared" si="3"/>
        <v>1841185.87</v>
      </c>
      <c r="N78" s="462">
        <v>15317</v>
      </c>
      <c r="O78" s="464"/>
      <c r="P78" s="462">
        <v>42300.45</v>
      </c>
      <c r="Q78" s="464">
        <v>24818.05</v>
      </c>
      <c r="R78" s="462">
        <v>31343.599999999999</v>
      </c>
      <c r="S78" s="464"/>
      <c r="T78" s="462"/>
      <c r="U78" s="464">
        <v>5985</v>
      </c>
      <c r="V78" s="462"/>
      <c r="W78" s="464"/>
      <c r="X78" s="475">
        <f t="shared" si="5"/>
        <v>1960949.9700000002</v>
      </c>
      <c r="Y78" s="483">
        <v>26071.200000000001</v>
      </c>
      <c r="Z78" s="462"/>
      <c r="AA78" s="462">
        <v>203847.15</v>
      </c>
      <c r="AB78" s="462"/>
      <c r="AC78" s="462">
        <v>75470</v>
      </c>
      <c r="AD78" s="462">
        <v>9643.7000000000007</v>
      </c>
      <c r="AE78" s="462"/>
      <c r="AF78" s="462"/>
      <c r="AG78" s="462"/>
      <c r="AH78" s="462"/>
      <c r="AI78" s="462"/>
      <c r="AJ78" s="462"/>
      <c r="AK78" s="462"/>
      <c r="AL78" s="465">
        <f t="shared" si="4"/>
        <v>315032.05</v>
      </c>
      <c r="AM78" s="489">
        <v>73</v>
      </c>
      <c r="AN78" s="462">
        <v>817</v>
      </c>
      <c r="AO78" s="450">
        <v>6822.25</v>
      </c>
      <c r="AP78" s="462"/>
      <c r="AQ78" s="450">
        <v>-12.6</v>
      </c>
      <c r="AR78" s="466">
        <v>1</v>
      </c>
    </row>
    <row r="79" spans="1:44" x14ac:dyDescent="0.25">
      <c r="A79" s="460">
        <v>5516</v>
      </c>
      <c r="B79" s="461" t="s">
        <v>214</v>
      </c>
      <c r="C79" s="462">
        <v>5801033.8399999999</v>
      </c>
      <c r="D79" s="464">
        <v>766375.01</v>
      </c>
      <c r="E79" s="462"/>
      <c r="F79" s="464"/>
      <c r="G79" s="462">
        <v>291148.40000000002</v>
      </c>
      <c r="H79" s="464">
        <v>2478.15</v>
      </c>
      <c r="I79" s="462">
        <v>1540.1</v>
      </c>
      <c r="J79" s="464">
        <v>178023.52</v>
      </c>
      <c r="K79" s="462">
        <v>33138.5</v>
      </c>
      <c r="L79" s="464">
        <v>551896.1</v>
      </c>
      <c r="M79" s="479">
        <f t="shared" si="3"/>
        <v>7625633.6199999992</v>
      </c>
      <c r="N79" s="462">
        <v>113660.65</v>
      </c>
      <c r="O79" s="464">
        <v>94177.600000000006</v>
      </c>
      <c r="P79" s="462">
        <v>169255.7</v>
      </c>
      <c r="Q79" s="464">
        <v>23570.18</v>
      </c>
      <c r="R79" s="462">
        <v>145908.85</v>
      </c>
      <c r="S79" s="464"/>
      <c r="T79" s="462"/>
      <c r="U79" s="464">
        <v>14250</v>
      </c>
      <c r="V79" s="462"/>
      <c r="W79" s="464">
        <v>12023.7</v>
      </c>
      <c r="X79" s="475">
        <f t="shared" si="5"/>
        <v>8198480.2999999989</v>
      </c>
      <c r="Y79" s="483">
        <v>-6707</v>
      </c>
      <c r="Z79" s="462"/>
      <c r="AA79" s="462">
        <v>478606.9</v>
      </c>
      <c r="AB79" s="462"/>
      <c r="AC79" s="462">
        <v>264107.7</v>
      </c>
      <c r="AD79" s="462">
        <v>-7433.05</v>
      </c>
      <c r="AE79" s="462"/>
      <c r="AF79" s="462"/>
      <c r="AG79" s="462"/>
      <c r="AH79" s="462">
        <v>68668.2</v>
      </c>
      <c r="AI79" s="462"/>
      <c r="AJ79" s="462"/>
      <c r="AK79" s="462"/>
      <c r="AL79" s="465">
        <f t="shared" si="4"/>
        <v>797242.75</v>
      </c>
      <c r="AM79" s="489">
        <v>70</v>
      </c>
      <c r="AN79" s="462">
        <v>2739</v>
      </c>
      <c r="AO79" s="450">
        <v>-108603.75</v>
      </c>
      <c r="AP79" s="462"/>
      <c r="AQ79" s="450">
        <v>-721.21</v>
      </c>
      <c r="AR79" s="466">
        <v>1</v>
      </c>
    </row>
    <row r="80" spans="1:44" x14ac:dyDescent="0.25">
      <c r="A80" s="460">
        <v>5518</v>
      </c>
      <c r="B80" s="461" t="s">
        <v>215</v>
      </c>
      <c r="C80" s="462">
        <v>10030795.49</v>
      </c>
      <c r="D80" s="464">
        <v>1221766.97</v>
      </c>
      <c r="E80" s="462"/>
      <c r="F80" s="464"/>
      <c r="G80" s="462">
        <v>1499729.6</v>
      </c>
      <c r="H80" s="464">
        <v>45526.9</v>
      </c>
      <c r="I80" s="462"/>
      <c r="J80" s="464">
        <v>234820.72</v>
      </c>
      <c r="K80" s="462">
        <v>44147</v>
      </c>
      <c r="L80" s="464">
        <v>939163.3</v>
      </c>
      <c r="M80" s="479">
        <f t="shared" si="3"/>
        <v>14015949.980000002</v>
      </c>
      <c r="N80" s="462">
        <v>194399.35</v>
      </c>
      <c r="O80" s="464">
        <v>129287.5</v>
      </c>
      <c r="P80" s="462">
        <v>409741.25</v>
      </c>
      <c r="Q80" s="464">
        <v>36283.64</v>
      </c>
      <c r="R80" s="462">
        <v>734487.1</v>
      </c>
      <c r="S80" s="464"/>
      <c r="T80" s="462">
        <v>32035.55</v>
      </c>
      <c r="U80" s="464">
        <v>19145</v>
      </c>
      <c r="V80" s="462"/>
      <c r="W80" s="464">
        <v>1575.75</v>
      </c>
      <c r="X80" s="475">
        <f t="shared" si="5"/>
        <v>15572905.120000003</v>
      </c>
      <c r="Y80" s="483">
        <v>80330.55</v>
      </c>
      <c r="Z80" s="462"/>
      <c r="AA80" s="462">
        <v>962519.75</v>
      </c>
      <c r="AB80" s="462"/>
      <c r="AC80" s="462">
        <v>332380.99</v>
      </c>
      <c r="AD80" s="462">
        <v>41129.4</v>
      </c>
      <c r="AE80" s="462"/>
      <c r="AF80" s="462"/>
      <c r="AG80" s="462"/>
      <c r="AH80" s="462"/>
      <c r="AI80" s="462"/>
      <c r="AJ80" s="462"/>
      <c r="AK80" s="462"/>
      <c r="AL80" s="465">
        <f t="shared" si="4"/>
        <v>1416360.69</v>
      </c>
      <c r="AM80" s="489">
        <v>74</v>
      </c>
      <c r="AN80" s="462">
        <v>5677</v>
      </c>
      <c r="AO80" s="450">
        <v>-193545.49</v>
      </c>
      <c r="AP80" s="462"/>
      <c r="AQ80" s="450">
        <v>-896.59</v>
      </c>
      <c r="AR80" s="466">
        <v>1</v>
      </c>
    </row>
    <row r="81" spans="1:44" x14ac:dyDescent="0.25">
      <c r="A81" s="460">
        <v>5520</v>
      </c>
      <c r="B81" s="461" t="s">
        <v>216</v>
      </c>
      <c r="C81" s="462">
        <v>1612884.99</v>
      </c>
      <c r="D81" s="464">
        <v>250633.96</v>
      </c>
      <c r="E81" s="462"/>
      <c r="F81" s="464"/>
      <c r="G81" s="462">
        <v>21891.9</v>
      </c>
      <c r="H81" s="464">
        <v>1659.95</v>
      </c>
      <c r="I81" s="462"/>
      <c r="J81" s="464">
        <v>10280.15</v>
      </c>
      <c r="K81" s="462">
        <v>1478</v>
      </c>
      <c r="L81" s="464">
        <v>165049.70000000001</v>
      </c>
      <c r="M81" s="479">
        <f t="shared" si="3"/>
        <v>2063878.6499999997</v>
      </c>
      <c r="N81" s="462">
        <v>9444.85</v>
      </c>
      <c r="O81" s="464">
        <v>28356.799999999999</v>
      </c>
      <c r="P81" s="462">
        <v>60306.400000000001</v>
      </c>
      <c r="Q81" s="464">
        <v>586.45000000000005</v>
      </c>
      <c r="R81" s="462">
        <v>26758.9</v>
      </c>
      <c r="S81" s="464"/>
      <c r="T81" s="462">
        <v>827.65</v>
      </c>
      <c r="U81" s="464">
        <v>7900</v>
      </c>
      <c r="V81" s="462"/>
      <c r="W81" s="464"/>
      <c r="X81" s="475">
        <f t="shared" si="5"/>
        <v>2198059.6999999997</v>
      </c>
      <c r="Y81" s="483">
        <v>9055.5</v>
      </c>
      <c r="Z81" s="462">
        <v>61618.9</v>
      </c>
      <c r="AA81" s="462">
        <v>89438.95</v>
      </c>
      <c r="AB81" s="462"/>
      <c r="AC81" s="462">
        <v>54906.8</v>
      </c>
      <c r="AD81" s="462">
        <v>6790.25</v>
      </c>
      <c r="AE81" s="462">
        <v>29603.85</v>
      </c>
      <c r="AF81" s="462"/>
      <c r="AG81" s="462"/>
      <c r="AH81" s="462"/>
      <c r="AI81" s="462"/>
      <c r="AJ81" s="462"/>
      <c r="AK81" s="462"/>
      <c r="AL81" s="465">
        <f t="shared" si="4"/>
        <v>251414.24999999997</v>
      </c>
      <c r="AM81" s="489">
        <v>73</v>
      </c>
      <c r="AN81" s="462">
        <v>943</v>
      </c>
      <c r="AO81" s="450">
        <v>-13371.97</v>
      </c>
      <c r="AP81" s="462"/>
      <c r="AQ81" s="450">
        <v>-48.88</v>
      </c>
      <c r="AR81" s="466">
        <v>1</v>
      </c>
    </row>
    <row r="82" spans="1:44" x14ac:dyDescent="0.25">
      <c r="A82" s="460">
        <v>5521</v>
      </c>
      <c r="B82" s="461" t="s">
        <v>217</v>
      </c>
      <c r="C82" s="462">
        <v>2340321.5299999998</v>
      </c>
      <c r="D82" s="464">
        <v>237986.19</v>
      </c>
      <c r="E82" s="462"/>
      <c r="F82" s="464"/>
      <c r="G82" s="462">
        <v>90031.25</v>
      </c>
      <c r="H82" s="464">
        <v>1252.95</v>
      </c>
      <c r="I82" s="462"/>
      <c r="J82" s="464">
        <v>65837.91</v>
      </c>
      <c r="K82" s="462">
        <v>10615</v>
      </c>
      <c r="L82" s="464">
        <v>229750.9</v>
      </c>
      <c r="M82" s="479">
        <f t="shared" si="3"/>
        <v>2975795.73</v>
      </c>
      <c r="N82" s="462">
        <v>43025.9</v>
      </c>
      <c r="O82" s="464"/>
      <c r="P82" s="462">
        <v>51128</v>
      </c>
      <c r="Q82" s="464">
        <v>6813.5</v>
      </c>
      <c r="R82" s="462">
        <v>32477</v>
      </c>
      <c r="S82" s="464"/>
      <c r="T82" s="462">
        <v>212.55</v>
      </c>
      <c r="U82" s="464">
        <v>5500</v>
      </c>
      <c r="V82" s="462"/>
      <c r="W82" s="464"/>
      <c r="X82" s="475">
        <f t="shared" si="5"/>
        <v>3114952.6799999997</v>
      </c>
      <c r="Y82" s="483">
        <v>23100</v>
      </c>
      <c r="Z82" s="462"/>
      <c r="AA82" s="462">
        <v>231917.22</v>
      </c>
      <c r="AB82" s="462"/>
      <c r="AC82" s="462">
        <v>156629.32999999999</v>
      </c>
      <c r="AD82" s="462"/>
      <c r="AE82" s="462"/>
      <c r="AF82" s="462"/>
      <c r="AG82" s="462"/>
      <c r="AH82" s="462">
        <v>29091.85</v>
      </c>
      <c r="AI82" s="462"/>
      <c r="AJ82" s="462"/>
      <c r="AK82" s="462"/>
      <c r="AL82" s="465">
        <f t="shared" si="4"/>
        <v>440738.39999999997</v>
      </c>
      <c r="AM82" s="489">
        <v>73</v>
      </c>
      <c r="AN82" s="462">
        <v>1118</v>
      </c>
      <c r="AO82" s="450">
        <v>-14561.6</v>
      </c>
      <c r="AP82" s="462"/>
      <c r="AQ82" s="450">
        <v>-10.18</v>
      </c>
      <c r="AR82" s="466">
        <v>1</v>
      </c>
    </row>
    <row r="83" spans="1:44" x14ac:dyDescent="0.25">
      <c r="A83" s="460">
        <v>5522</v>
      </c>
      <c r="B83" s="461" t="s">
        <v>218</v>
      </c>
      <c r="C83" s="462">
        <v>1152717.6100000001</v>
      </c>
      <c r="D83" s="464">
        <v>155042.65</v>
      </c>
      <c r="E83" s="462"/>
      <c r="F83" s="464"/>
      <c r="G83" s="462">
        <v>16468.75</v>
      </c>
      <c r="H83" s="464">
        <v>405.55</v>
      </c>
      <c r="I83" s="462"/>
      <c r="J83" s="464">
        <v>8260.5300000000007</v>
      </c>
      <c r="K83" s="462">
        <v>1092</v>
      </c>
      <c r="L83" s="464">
        <v>114435.65</v>
      </c>
      <c r="M83" s="479">
        <f t="shared" si="3"/>
        <v>1448422.74</v>
      </c>
      <c r="N83" s="462">
        <v>9692.35</v>
      </c>
      <c r="O83" s="464"/>
      <c r="P83" s="462">
        <v>66387.199999999997</v>
      </c>
      <c r="Q83" s="464">
        <v>3717.05</v>
      </c>
      <c r="R83" s="462">
        <v>84927.25</v>
      </c>
      <c r="S83" s="464">
        <v>2040</v>
      </c>
      <c r="T83" s="462"/>
      <c r="U83" s="464">
        <v>3150</v>
      </c>
      <c r="V83" s="462"/>
      <c r="W83" s="464"/>
      <c r="X83" s="475">
        <f t="shared" si="5"/>
        <v>1618336.59</v>
      </c>
      <c r="Y83" s="483">
        <v>8000</v>
      </c>
      <c r="Z83" s="462"/>
      <c r="AA83" s="462">
        <v>64549</v>
      </c>
      <c r="AB83" s="462"/>
      <c r="AC83" s="462"/>
      <c r="AD83" s="462"/>
      <c r="AE83" s="462"/>
      <c r="AF83" s="462"/>
      <c r="AG83" s="462"/>
      <c r="AH83" s="462"/>
      <c r="AI83" s="462"/>
      <c r="AJ83" s="462"/>
      <c r="AK83" s="462"/>
      <c r="AL83" s="465">
        <f t="shared" si="4"/>
        <v>72549</v>
      </c>
      <c r="AM83" s="489">
        <v>75</v>
      </c>
      <c r="AN83" s="462">
        <v>696</v>
      </c>
      <c r="AO83" s="450">
        <v>-18949.990000000002</v>
      </c>
      <c r="AP83" s="462"/>
      <c r="AQ83" s="450">
        <v>-2.85</v>
      </c>
      <c r="AR83" s="466">
        <v>1</v>
      </c>
    </row>
    <row r="84" spans="1:44" x14ac:dyDescent="0.25">
      <c r="A84" s="460">
        <v>5523</v>
      </c>
      <c r="B84" s="461" t="s">
        <v>219</v>
      </c>
      <c r="C84" s="462">
        <v>4636660.24</v>
      </c>
      <c r="D84" s="464">
        <v>556636.23</v>
      </c>
      <c r="E84" s="462"/>
      <c r="F84" s="464">
        <v>13670</v>
      </c>
      <c r="G84" s="462">
        <v>129874.9</v>
      </c>
      <c r="H84" s="464">
        <v>2455.8000000000002</v>
      </c>
      <c r="I84" s="462">
        <v>31453.05</v>
      </c>
      <c r="J84" s="464">
        <v>60188.89</v>
      </c>
      <c r="K84" s="462">
        <v>14040</v>
      </c>
      <c r="L84" s="464">
        <v>571692.75</v>
      </c>
      <c r="M84" s="479">
        <f t="shared" si="3"/>
        <v>6016671.8600000003</v>
      </c>
      <c r="N84" s="462">
        <v>2731.4</v>
      </c>
      <c r="O84" s="464">
        <v>218616.2</v>
      </c>
      <c r="P84" s="462">
        <v>198513.95</v>
      </c>
      <c r="Q84" s="464">
        <v>1099.05</v>
      </c>
      <c r="R84" s="462">
        <v>188163.3</v>
      </c>
      <c r="S84" s="464">
        <v>325</v>
      </c>
      <c r="T84" s="462">
        <v>3923.5</v>
      </c>
      <c r="U84" s="464">
        <v>13500</v>
      </c>
      <c r="V84" s="462"/>
      <c r="W84" s="464"/>
      <c r="X84" s="475">
        <f t="shared" si="5"/>
        <v>6643544.2600000007</v>
      </c>
      <c r="Y84" s="483">
        <v>110042.95</v>
      </c>
      <c r="Z84" s="462">
        <v>12319.5</v>
      </c>
      <c r="AA84" s="462">
        <v>467928.45</v>
      </c>
      <c r="AB84" s="462"/>
      <c r="AC84" s="462">
        <v>145320.95000000001</v>
      </c>
      <c r="AD84" s="462">
        <v>90867.3</v>
      </c>
      <c r="AE84" s="462">
        <v>9535.1</v>
      </c>
      <c r="AF84" s="462"/>
      <c r="AG84" s="462"/>
      <c r="AH84" s="462">
        <v>44848.6</v>
      </c>
      <c r="AI84" s="462"/>
      <c r="AJ84" s="462"/>
      <c r="AK84" s="462"/>
      <c r="AL84" s="465">
        <f t="shared" si="4"/>
        <v>880862.85000000009</v>
      </c>
      <c r="AM84" s="489">
        <v>76</v>
      </c>
      <c r="AN84" s="462">
        <v>2459</v>
      </c>
      <c r="AO84" s="450">
        <v>-35368.6</v>
      </c>
      <c r="AP84" s="462">
        <v>-988</v>
      </c>
      <c r="AQ84" s="450">
        <v>-23.41</v>
      </c>
      <c r="AR84" s="466">
        <v>1.25</v>
      </c>
    </row>
    <row r="85" spans="1:44" x14ac:dyDescent="0.25">
      <c r="A85" s="460">
        <v>5527</v>
      </c>
      <c r="B85" s="461" t="s">
        <v>220</v>
      </c>
      <c r="C85" s="462">
        <v>2117211.29</v>
      </c>
      <c r="D85" s="464">
        <v>318348.33</v>
      </c>
      <c r="E85" s="462"/>
      <c r="F85" s="464"/>
      <c r="G85" s="462">
        <v>8788.65</v>
      </c>
      <c r="H85" s="464">
        <v>2507.65</v>
      </c>
      <c r="I85" s="462"/>
      <c r="J85" s="464">
        <v>52363.65</v>
      </c>
      <c r="K85" s="462">
        <v>2706.5</v>
      </c>
      <c r="L85" s="464">
        <v>207646.05</v>
      </c>
      <c r="M85" s="479">
        <f t="shared" si="3"/>
        <v>2709572.1199999996</v>
      </c>
      <c r="N85" s="462">
        <v>12170</v>
      </c>
      <c r="O85" s="464">
        <v>15337.8</v>
      </c>
      <c r="P85" s="462">
        <v>27280</v>
      </c>
      <c r="Q85" s="464">
        <v>15047.39</v>
      </c>
      <c r="R85" s="462">
        <v>23203</v>
      </c>
      <c r="S85" s="464"/>
      <c r="T85" s="462">
        <v>1758.65</v>
      </c>
      <c r="U85" s="464">
        <v>11000</v>
      </c>
      <c r="V85" s="462"/>
      <c r="W85" s="464"/>
      <c r="X85" s="475">
        <f t="shared" si="5"/>
        <v>2815368.9599999995</v>
      </c>
      <c r="Y85" s="483">
        <v>20220.150000000001</v>
      </c>
      <c r="Z85" s="462"/>
      <c r="AA85" s="462">
        <v>115827.6</v>
      </c>
      <c r="AB85" s="462"/>
      <c r="AC85" s="462">
        <v>82409.2</v>
      </c>
      <c r="AD85" s="462">
        <v>22263.95</v>
      </c>
      <c r="AE85" s="462"/>
      <c r="AF85" s="462"/>
      <c r="AG85" s="462"/>
      <c r="AH85" s="462">
        <v>26558.5</v>
      </c>
      <c r="AI85" s="462"/>
      <c r="AJ85" s="462"/>
      <c r="AK85" s="462"/>
      <c r="AL85" s="465">
        <f t="shared" si="4"/>
        <v>267279.40000000002</v>
      </c>
      <c r="AM85" s="489">
        <v>71</v>
      </c>
      <c r="AN85" s="462">
        <v>1074</v>
      </c>
      <c r="AO85" s="450">
        <v>-56848.01</v>
      </c>
      <c r="AP85" s="462">
        <v>-943.4</v>
      </c>
      <c r="AQ85" s="450">
        <v>-17.170000000000002</v>
      </c>
      <c r="AR85" s="466">
        <v>1</v>
      </c>
    </row>
    <row r="86" spans="1:44" x14ac:dyDescent="0.25">
      <c r="A86" s="460">
        <v>5529</v>
      </c>
      <c r="B86" s="461" t="s">
        <v>221</v>
      </c>
      <c r="C86" s="462">
        <v>1107130.6200000001</v>
      </c>
      <c r="D86" s="464">
        <v>110522.98</v>
      </c>
      <c r="E86" s="462"/>
      <c r="F86" s="464"/>
      <c r="G86" s="462">
        <v>83894.95</v>
      </c>
      <c r="H86" s="464">
        <v>406.7</v>
      </c>
      <c r="I86" s="462"/>
      <c r="J86" s="464">
        <v>15232.69</v>
      </c>
      <c r="K86" s="462">
        <v>2595</v>
      </c>
      <c r="L86" s="464">
        <v>101461.5</v>
      </c>
      <c r="M86" s="479">
        <f t="shared" si="3"/>
        <v>1421244.44</v>
      </c>
      <c r="N86" s="462"/>
      <c r="O86" s="464">
        <v>17479.099999999999</v>
      </c>
      <c r="P86" s="462">
        <v>33052.35</v>
      </c>
      <c r="Q86" s="464">
        <v>319.05</v>
      </c>
      <c r="R86" s="462">
        <v>23631.65</v>
      </c>
      <c r="S86" s="464"/>
      <c r="T86" s="462"/>
      <c r="U86" s="464">
        <v>2800</v>
      </c>
      <c r="V86" s="462"/>
      <c r="W86" s="464"/>
      <c r="X86" s="475">
        <f t="shared" si="5"/>
        <v>1498526.59</v>
      </c>
      <c r="Y86" s="483">
        <v>10960</v>
      </c>
      <c r="Z86" s="462"/>
      <c r="AA86" s="462">
        <v>22190.3</v>
      </c>
      <c r="AB86" s="462"/>
      <c r="AC86" s="462">
        <v>38373.75</v>
      </c>
      <c r="AD86" s="462">
        <v>5480</v>
      </c>
      <c r="AE86" s="462"/>
      <c r="AF86" s="462"/>
      <c r="AG86" s="462"/>
      <c r="AH86" s="462"/>
      <c r="AI86" s="462"/>
      <c r="AJ86" s="462"/>
      <c r="AK86" s="462"/>
      <c r="AL86" s="465">
        <f t="shared" si="4"/>
        <v>77004.05</v>
      </c>
      <c r="AM86" s="489">
        <v>71</v>
      </c>
      <c r="AN86" s="462">
        <v>560</v>
      </c>
      <c r="AO86" s="450">
        <v>-10442.94</v>
      </c>
      <c r="AP86" s="462"/>
      <c r="AQ86" s="450">
        <v>-5.32</v>
      </c>
      <c r="AR86" s="466">
        <v>1</v>
      </c>
    </row>
    <row r="87" spans="1:44" x14ac:dyDescent="0.25">
      <c r="A87" s="460">
        <v>5530</v>
      </c>
      <c r="B87" s="461" t="s">
        <v>222</v>
      </c>
      <c r="C87" s="462">
        <v>935167.42</v>
      </c>
      <c r="D87" s="464">
        <v>105674.66</v>
      </c>
      <c r="E87" s="462"/>
      <c r="F87" s="464"/>
      <c r="G87" s="462">
        <v>55253.2</v>
      </c>
      <c r="H87" s="464">
        <v>974.7</v>
      </c>
      <c r="I87" s="462"/>
      <c r="J87" s="464">
        <v>4266.12</v>
      </c>
      <c r="K87" s="462">
        <v>37.5</v>
      </c>
      <c r="L87" s="464">
        <v>109224.4</v>
      </c>
      <c r="M87" s="479">
        <f t="shared" si="3"/>
        <v>1210598</v>
      </c>
      <c r="N87" s="462"/>
      <c r="O87" s="464">
        <v>3366.6</v>
      </c>
      <c r="P87" s="462">
        <v>7297.8</v>
      </c>
      <c r="Q87" s="464">
        <v>19.09</v>
      </c>
      <c r="R87" s="462">
        <v>1187.0999999999999</v>
      </c>
      <c r="S87" s="464">
        <v>75</v>
      </c>
      <c r="T87" s="462"/>
      <c r="U87" s="464">
        <v>2670</v>
      </c>
      <c r="V87" s="462"/>
      <c r="W87" s="464"/>
      <c r="X87" s="475">
        <f t="shared" si="5"/>
        <v>1225213.5900000003</v>
      </c>
      <c r="Y87" s="483">
        <v>41168.550000000003</v>
      </c>
      <c r="Z87" s="462"/>
      <c r="AA87" s="462">
        <v>155466.45000000001</v>
      </c>
      <c r="AB87" s="462"/>
      <c r="AC87" s="462">
        <v>40353.65</v>
      </c>
      <c r="AD87" s="462">
        <v>22587</v>
      </c>
      <c r="AE87" s="462"/>
      <c r="AF87" s="462"/>
      <c r="AG87" s="462"/>
      <c r="AH87" s="462"/>
      <c r="AI87" s="462"/>
      <c r="AJ87" s="462"/>
      <c r="AK87" s="462"/>
      <c r="AL87" s="465">
        <f t="shared" si="4"/>
        <v>259575.65</v>
      </c>
      <c r="AM87" s="489">
        <v>77.5</v>
      </c>
      <c r="AN87" s="462">
        <v>534</v>
      </c>
      <c r="AO87" s="450">
        <v>-8830.8799999999992</v>
      </c>
      <c r="AP87" s="462"/>
      <c r="AQ87" s="450">
        <v>0</v>
      </c>
      <c r="AR87" s="466">
        <v>1.2</v>
      </c>
    </row>
    <row r="88" spans="1:44" x14ac:dyDescent="0.25">
      <c r="A88" s="460">
        <v>5531</v>
      </c>
      <c r="B88" s="461" t="s">
        <v>223</v>
      </c>
      <c r="C88" s="462">
        <v>756669.69</v>
      </c>
      <c r="D88" s="464">
        <v>113677.84</v>
      </c>
      <c r="E88" s="462"/>
      <c r="F88" s="464"/>
      <c r="G88" s="462">
        <v>99.350000000000406</v>
      </c>
      <c r="H88" s="464">
        <v>400.4</v>
      </c>
      <c r="I88" s="462"/>
      <c r="J88" s="464">
        <v>1755.54</v>
      </c>
      <c r="K88" s="462">
        <v>974.5</v>
      </c>
      <c r="L88" s="464">
        <v>68269.850000000006</v>
      </c>
      <c r="M88" s="479">
        <f t="shared" si="3"/>
        <v>941847.16999999993</v>
      </c>
      <c r="N88" s="462">
        <v>26264.9</v>
      </c>
      <c r="O88" s="464"/>
      <c r="P88" s="462">
        <v>23570.400000000001</v>
      </c>
      <c r="Q88" s="464">
        <v>8544.1299999999992</v>
      </c>
      <c r="R88" s="462">
        <v>17020.849999999999</v>
      </c>
      <c r="S88" s="464"/>
      <c r="T88" s="462"/>
      <c r="U88" s="464">
        <v>4000</v>
      </c>
      <c r="V88" s="462"/>
      <c r="W88" s="464"/>
      <c r="X88" s="475">
        <f t="shared" si="5"/>
        <v>1021247.45</v>
      </c>
      <c r="Y88" s="483">
        <v>19600</v>
      </c>
      <c r="Z88" s="462"/>
      <c r="AA88" s="462">
        <v>86321.65</v>
      </c>
      <c r="AB88" s="462"/>
      <c r="AC88" s="462">
        <v>28122.5</v>
      </c>
      <c r="AD88" s="462"/>
      <c r="AE88" s="462"/>
      <c r="AF88" s="462"/>
      <c r="AG88" s="462"/>
      <c r="AH88" s="462"/>
      <c r="AI88" s="462"/>
      <c r="AJ88" s="462"/>
      <c r="AK88" s="462"/>
      <c r="AL88" s="465">
        <f t="shared" si="4"/>
        <v>134044.15</v>
      </c>
      <c r="AM88" s="489">
        <v>78</v>
      </c>
      <c r="AN88" s="462">
        <v>411</v>
      </c>
      <c r="AO88" s="450">
        <v>-6409.9</v>
      </c>
      <c r="AP88" s="462"/>
      <c r="AQ88" s="450">
        <v>-48.79</v>
      </c>
      <c r="AR88" s="466">
        <v>1</v>
      </c>
    </row>
    <row r="89" spans="1:44" x14ac:dyDescent="0.25">
      <c r="A89" s="460">
        <v>5533</v>
      </c>
      <c r="B89" s="461" t="s">
        <v>224</v>
      </c>
      <c r="C89" s="462">
        <v>1359631.91</v>
      </c>
      <c r="D89" s="464">
        <v>148349.60999999999</v>
      </c>
      <c r="E89" s="462"/>
      <c r="F89" s="464"/>
      <c r="G89" s="462">
        <v>204793.45</v>
      </c>
      <c r="H89" s="464">
        <v>148.5</v>
      </c>
      <c r="I89" s="462"/>
      <c r="J89" s="464">
        <v>61259.66</v>
      </c>
      <c r="K89" s="462">
        <v>4990</v>
      </c>
      <c r="L89" s="464">
        <v>77683.05</v>
      </c>
      <c r="M89" s="479">
        <f t="shared" si="3"/>
        <v>1856856.18</v>
      </c>
      <c r="N89" s="462"/>
      <c r="O89" s="464"/>
      <c r="P89" s="462">
        <v>27867.4</v>
      </c>
      <c r="Q89" s="464">
        <v>14993.62</v>
      </c>
      <c r="R89" s="462">
        <v>21188.25</v>
      </c>
      <c r="S89" s="464">
        <v>1307</v>
      </c>
      <c r="T89" s="462"/>
      <c r="U89" s="464">
        <v>6500</v>
      </c>
      <c r="V89" s="462"/>
      <c r="W89" s="464"/>
      <c r="X89" s="475">
        <f t="shared" si="5"/>
        <v>1928712.45</v>
      </c>
      <c r="Y89" s="483">
        <v>81930.95</v>
      </c>
      <c r="Z89" s="462"/>
      <c r="AA89" s="462">
        <v>101258.5</v>
      </c>
      <c r="AB89" s="462"/>
      <c r="AC89" s="462">
        <v>37733.5</v>
      </c>
      <c r="AD89" s="462">
        <v>81930.95</v>
      </c>
      <c r="AE89" s="462"/>
      <c r="AF89" s="462"/>
      <c r="AG89" s="462"/>
      <c r="AH89" s="462"/>
      <c r="AI89" s="462"/>
      <c r="AJ89" s="462"/>
      <c r="AK89" s="462"/>
      <c r="AL89" s="465">
        <f t="shared" si="4"/>
        <v>302853.90000000002</v>
      </c>
      <c r="AM89" s="489">
        <v>71</v>
      </c>
      <c r="AN89" s="462">
        <v>844</v>
      </c>
      <c r="AO89" s="450">
        <v>-3408.85</v>
      </c>
      <c r="AP89" s="462"/>
      <c r="AQ89" s="450">
        <v>-22.51</v>
      </c>
      <c r="AR89" s="466">
        <v>0.6</v>
      </c>
    </row>
    <row r="90" spans="1:44" x14ac:dyDescent="0.25">
      <c r="A90" s="460">
        <v>5534</v>
      </c>
      <c r="B90" s="461" t="s">
        <v>225</v>
      </c>
      <c r="C90" s="462">
        <v>398471.55</v>
      </c>
      <c r="D90" s="464">
        <v>90892.35</v>
      </c>
      <c r="E90" s="462"/>
      <c r="F90" s="464"/>
      <c r="G90" s="462">
        <v>223094.2</v>
      </c>
      <c r="H90" s="464">
        <v>810.5</v>
      </c>
      <c r="I90" s="462"/>
      <c r="J90" s="464">
        <v>19149.400000000001</v>
      </c>
      <c r="K90" s="462">
        <v>1598.5</v>
      </c>
      <c r="L90" s="464">
        <v>70085.399999999994</v>
      </c>
      <c r="M90" s="479">
        <f t="shared" si="3"/>
        <v>804101.90000000014</v>
      </c>
      <c r="N90" s="462">
        <v>23141.9</v>
      </c>
      <c r="O90" s="464">
        <v>263378</v>
      </c>
      <c r="P90" s="462">
        <v>4815.8</v>
      </c>
      <c r="Q90" s="464"/>
      <c r="R90" s="462">
        <v>2321.65</v>
      </c>
      <c r="S90" s="464"/>
      <c r="T90" s="462">
        <v>599</v>
      </c>
      <c r="U90" s="464">
        <v>700</v>
      </c>
      <c r="V90" s="462"/>
      <c r="W90" s="464"/>
      <c r="X90" s="475">
        <f t="shared" si="5"/>
        <v>1099058.2500000002</v>
      </c>
      <c r="Y90" s="483">
        <v>8250</v>
      </c>
      <c r="Z90" s="462"/>
      <c r="AA90" s="462">
        <v>13172</v>
      </c>
      <c r="AB90" s="462"/>
      <c r="AC90" s="462">
        <v>11880</v>
      </c>
      <c r="AD90" s="462">
        <v>8250</v>
      </c>
      <c r="AE90" s="462"/>
      <c r="AF90" s="462"/>
      <c r="AG90" s="462"/>
      <c r="AH90" s="462"/>
      <c r="AI90" s="462"/>
      <c r="AJ90" s="462">
        <v>12715</v>
      </c>
      <c r="AK90" s="462"/>
      <c r="AL90" s="465">
        <f t="shared" si="4"/>
        <v>54267</v>
      </c>
      <c r="AM90" s="489">
        <v>73</v>
      </c>
      <c r="AN90" s="462">
        <v>271</v>
      </c>
      <c r="AO90" s="450">
        <v>-5902.26</v>
      </c>
      <c r="AP90" s="462"/>
      <c r="AQ90" s="450">
        <v>-6.11</v>
      </c>
      <c r="AR90" s="466">
        <v>1</v>
      </c>
    </row>
    <row r="91" spans="1:44" x14ac:dyDescent="0.25">
      <c r="A91" s="460">
        <v>5535</v>
      </c>
      <c r="B91" s="461" t="s">
        <v>34</v>
      </c>
      <c r="C91" s="462">
        <v>1262690.19</v>
      </c>
      <c r="D91" s="464">
        <v>140421.01999999999</v>
      </c>
      <c r="E91" s="462"/>
      <c r="F91" s="464"/>
      <c r="G91" s="462">
        <v>18187.55</v>
      </c>
      <c r="H91" s="464">
        <v>9056.5</v>
      </c>
      <c r="I91" s="462"/>
      <c r="J91" s="464">
        <v>6768.32</v>
      </c>
      <c r="K91" s="462">
        <v>1419.5</v>
      </c>
      <c r="L91" s="464">
        <v>129892.3</v>
      </c>
      <c r="M91" s="479">
        <f t="shared" si="3"/>
        <v>1568435.3800000001</v>
      </c>
      <c r="N91" s="462">
        <v>29288.9</v>
      </c>
      <c r="O91" s="464">
        <v>557.6</v>
      </c>
      <c r="P91" s="462">
        <v>4370.25</v>
      </c>
      <c r="Q91" s="464">
        <v>1193.74</v>
      </c>
      <c r="R91" s="462">
        <v>19710.25</v>
      </c>
      <c r="S91" s="464"/>
      <c r="T91" s="462">
        <v>905</v>
      </c>
      <c r="U91" s="464">
        <v>7050</v>
      </c>
      <c r="V91" s="462"/>
      <c r="W91" s="464"/>
      <c r="X91" s="475">
        <f t="shared" si="5"/>
        <v>1631511.12</v>
      </c>
      <c r="Y91" s="483">
        <v>3000</v>
      </c>
      <c r="Z91" s="462"/>
      <c r="AA91" s="462">
        <v>85402</v>
      </c>
      <c r="AB91" s="462"/>
      <c r="AC91" s="462">
        <v>47853.7</v>
      </c>
      <c r="AD91" s="462">
        <v>5390</v>
      </c>
      <c r="AE91" s="462"/>
      <c r="AF91" s="462"/>
      <c r="AG91" s="462"/>
      <c r="AH91" s="462"/>
      <c r="AI91" s="462"/>
      <c r="AJ91" s="462"/>
      <c r="AK91" s="462"/>
      <c r="AL91" s="465">
        <f t="shared" si="4"/>
        <v>141645.70000000001</v>
      </c>
      <c r="AM91" s="489">
        <v>75</v>
      </c>
      <c r="AN91" s="462">
        <v>777</v>
      </c>
      <c r="AO91" s="450">
        <v>-17309.03</v>
      </c>
      <c r="AP91" s="462"/>
      <c r="AQ91" s="450">
        <v>-4.05</v>
      </c>
      <c r="AR91" s="466">
        <v>1</v>
      </c>
    </row>
    <row r="92" spans="1:44" x14ac:dyDescent="0.25">
      <c r="A92" s="460">
        <v>5537</v>
      </c>
      <c r="B92" s="461" t="s">
        <v>35</v>
      </c>
      <c r="C92" s="462">
        <v>1811510.61</v>
      </c>
      <c r="D92" s="464">
        <v>176054.69</v>
      </c>
      <c r="E92" s="462"/>
      <c r="F92" s="464">
        <v>5751.45</v>
      </c>
      <c r="G92" s="462">
        <v>35151.800000000003</v>
      </c>
      <c r="H92" s="464">
        <v>590.1</v>
      </c>
      <c r="I92" s="462"/>
      <c r="J92" s="464">
        <v>12744.78</v>
      </c>
      <c r="K92" s="462">
        <v>1064</v>
      </c>
      <c r="L92" s="464">
        <v>151536.9</v>
      </c>
      <c r="M92" s="479">
        <f t="shared" si="3"/>
        <v>2194404.33</v>
      </c>
      <c r="N92" s="462">
        <v>191.15</v>
      </c>
      <c r="O92" s="464">
        <v>5485.5</v>
      </c>
      <c r="P92" s="462">
        <v>69553.600000000006</v>
      </c>
      <c r="Q92" s="464">
        <v>160.08000000000001</v>
      </c>
      <c r="R92" s="462">
        <v>41673.35</v>
      </c>
      <c r="S92" s="464">
        <v>200</v>
      </c>
      <c r="T92" s="462"/>
      <c r="U92" s="464">
        <v>4850</v>
      </c>
      <c r="V92" s="462">
        <v>360</v>
      </c>
      <c r="W92" s="464"/>
      <c r="X92" s="475">
        <f t="shared" si="5"/>
        <v>2316878.0100000002</v>
      </c>
      <c r="Y92" s="483">
        <v>39673.25</v>
      </c>
      <c r="Z92" s="462"/>
      <c r="AA92" s="462">
        <v>199916.79999999999</v>
      </c>
      <c r="AB92" s="462"/>
      <c r="AC92" s="462">
        <v>110555.33</v>
      </c>
      <c r="AD92" s="462">
        <v>42482.27</v>
      </c>
      <c r="AE92" s="462"/>
      <c r="AF92" s="462"/>
      <c r="AG92" s="462"/>
      <c r="AH92" s="462"/>
      <c r="AI92" s="462"/>
      <c r="AJ92" s="462"/>
      <c r="AK92" s="462"/>
      <c r="AL92" s="465">
        <f t="shared" si="4"/>
        <v>392627.65</v>
      </c>
      <c r="AM92" s="489">
        <v>73</v>
      </c>
      <c r="AN92" s="462">
        <v>1066</v>
      </c>
      <c r="AO92" s="450">
        <v>-39445.35</v>
      </c>
      <c r="AP92" s="462"/>
      <c r="AQ92" s="450">
        <v>-0.19</v>
      </c>
      <c r="AR92" s="466">
        <v>0.8</v>
      </c>
    </row>
    <row r="93" spans="1:44" x14ac:dyDescent="0.25">
      <c r="A93" s="460">
        <v>5539</v>
      </c>
      <c r="B93" s="461" t="s">
        <v>36</v>
      </c>
      <c r="C93" s="462">
        <v>1406663.67</v>
      </c>
      <c r="D93" s="464">
        <v>150736.69</v>
      </c>
      <c r="E93" s="462"/>
      <c r="F93" s="464"/>
      <c r="G93" s="462">
        <v>4253.6499999999996</v>
      </c>
      <c r="H93" s="464">
        <v>549.65</v>
      </c>
      <c r="I93" s="462"/>
      <c r="J93" s="464">
        <v>18488.78</v>
      </c>
      <c r="K93" s="462">
        <v>6525</v>
      </c>
      <c r="L93" s="464">
        <v>128576.15</v>
      </c>
      <c r="M93" s="479">
        <f t="shared" si="3"/>
        <v>1715793.5899999996</v>
      </c>
      <c r="N93" s="462">
        <v>24256.6</v>
      </c>
      <c r="O93" s="464">
        <v>18176.7</v>
      </c>
      <c r="P93" s="462">
        <v>50241.9</v>
      </c>
      <c r="Q93" s="464">
        <v>54206.92</v>
      </c>
      <c r="R93" s="462">
        <v>15550.45</v>
      </c>
      <c r="S93" s="464"/>
      <c r="T93" s="462">
        <v>425</v>
      </c>
      <c r="U93" s="464">
        <v>5850</v>
      </c>
      <c r="V93" s="462"/>
      <c r="W93" s="464"/>
      <c r="X93" s="475">
        <f t="shared" si="5"/>
        <v>1884501.1599999995</v>
      </c>
      <c r="Y93" s="483">
        <v>41132.199999999997</v>
      </c>
      <c r="Z93" s="462"/>
      <c r="AA93" s="462">
        <v>300286.95</v>
      </c>
      <c r="AB93" s="462"/>
      <c r="AC93" s="462">
        <v>59556.7</v>
      </c>
      <c r="AD93" s="462">
        <v>27105.599999999999</v>
      </c>
      <c r="AE93" s="462"/>
      <c r="AF93" s="462"/>
      <c r="AG93" s="462"/>
      <c r="AH93" s="462">
        <v>21370.6</v>
      </c>
      <c r="AI93" s="462"/>
      <c r="AJ93" s="462"/>
      <c r="AK93" s="462"/>
      <c r="AL93" s="465">
        <f t="shared" si="4"/>
        <v>449452.05</v>
      </c>
      <c r="AM93" s="489">
        <v>75</v>
      </c>
      <c r="AN93" s="462">
        <v>993</v>
      </c>
      <c r="AO93" s="450">
        <v>-97576.58</v>
      </c>
      <c r="AP93" s="462"/>
      <c r="AQ93" s="450">
        <v>-40.6</v>
      </c>
      <c r="AR93" s="466">
        <v>0.8</v>
      </c>
    </row>
    <row r="94" spans="1:44" x14ac:dyDescent="0.25">
      <c r="A94" s="460">
        <v>5540</v>
      </c>
      <c r="B94" s="461" t="s">
        <v>490</v>
      </c>
      <c r="C94" s="462">
        <v>3110435.35</v>
      </c>
      <c r="D94" s="464">
        <v>465856.8</v>
      </c>
      <c r="E94" s="462"/>
      <c r="F94" s="464"/>
      <c r="G94" s="462">
        <v>125504.35</v>
      </c>
      <c r="H94" s="464">
        <v>579.15</v>
      </c>
      <c r="I94" s="462"/>
      <c r="J94" s="464">
        <v>89155.4</v>
      </c>
      <c r="K94" s="462">
        <v>5536</v>
      </c>
      <c r="L94" s="464">
        <v>235790.5</v>
      </c>
      <c r="M94" s="479">
        <f t="shared" si="3"/>
        <v>4032857.55</v>
      </c>
      <c r="N94" s="462">
        <v>6178</v>
      </c>
      <c r="O94" s="464">
        <v>52288.4</v>
      </c>
      <c r="P94" s="462">
        <v>170198.65</v>
      </c>
      <c r="Q94" s="464">
        <v>16291.39</v>
      </c>
      <c r="R94" s="462">
        <v>52983.15</v>
      </c>
      <c r="S94" s="464"/>
      <c r="T94" s="462">
        <v>1149</v>
      </c>
      <c r="U94" s="464">
        <v>11600</v>
      </c>
      <c r="V94" s="462"/>
      <c r="W94" s="464"/>
      <c r="X94" s="475">
        <f t="shared" si="5"/>
        <v>4343546.1399999997</v>
      </c>
      <c r="Y94" s="483">
        <v>105666.25</v>
      </c>
      <c r="Z94" s="462"/>
      <c r="AA94" s="462">
        <v>154988.20000000001</v>
      </c>
      <c r="AB94" s="462"/>
      <c r="AC94" s="462">
        <v>115100.1</v>
      </c>
      <c r="AD94" s="462">
        <v>66998.45</v>
      </c>
      <c r="AE94" s="462"/>
      <c r="AF94" s="462"/>
      <c r="AG94" s="462"/>
      <c r="AH94" s="462"/>
      <c r="AI94" s="462"/>
      <c r="AJ94" s="462"/>
      <c r="AK94" s="462"/>
      <c r="AL94" s="465">
        <f t="shared" si="4"/>
        <v>442753.00000000006</v>
      </c>
      <c r="AM94" s="489">
        <v>74</v>
      </c>
      <c r="AN94" s="462">
        <v>1698</v>
      </c>
      <c r="AO94" s="450">
        <v>-31341.23</v>
      </c>
      <c r="AP94" s="462">
        <v>-15929.65</v>
      </c>
      <c r="AQ94" s="450">
        <v>-25.78</v>
      </c>
      <c r="AR94" s="466">
        <v>0.8</v>
      </c>
    </row>
    <row r="95" spans="1:44" x14ac:dyDescent="0.25">
      <c r="A95" s="460">
        <v>5541</v>
      </c>
      <c r="B95" s="461" t="s">
        <v>489</v>
      </c>
      <c r="C95" s="462">
        <v>2038580.34</v>
      </c>
      <c r="D95" s="464">
        <v>225071.02</v>
      </c>
      <c r="E95" s="462"/>
      <c r="F95" s="464"/>
      <c r="G95" s="462">
        <v>80477.45</v>
      </c>
      <c r="H95" s="464">
        <v>4592.6000000000004</v>
      </c>
      <c r="I95" s="462"/>
      <c r="J95" s="464">
        <v>18881.310000000001</v>
      </c>
      <c r="K95" s="462">
        <v>1932</v>
      </c>
      <c r="L95" s="464">
        <v>176907.35</v>
      </c>
      <c r="M95" s="479">
        <f t="shared" si="3"/>
        <v>2546442.0700000003</v>
      </c>
      <c r="N95" s="462">
        <v>4809.55</v>
      </c>
      <c r="O95" s="464">
        <v>234825.2</v>
      </c>
      <c r="P95" s="462">
        <v>64484.05</v>
      </c>
      <c r="Q95" s="464">
        <v>20115.36</v>
      </c>
      <c r="R95" s="462">
        <v>53284</v>
      </c>
      <c r="S95" s="464"/>
      <c r="T95" s="462"/>
      <c r="U95" s="464">
        <v>6850</v>
      </c>
      <c r="V95" s="462">
        <v>4987.95</v>
      </c>
      <c r="W95" s="464"/>
      <c r="X95" s="475">
        <f t="shared" si="5"/>
        <v>2935798.18</v>
      </c>
      <c r="Y95" s="483">
        <v>55024</v>
      </c>
      <c r="Z95" s="462"/>
      <c r="AA95" s="462">
        <v>56837.95</v>
      </c>
      <c r="AB95" s="462"/>
      <c r="AC95" s="462">
        <v>71592.5</v>
      </c>
      <c r="AD95" s="462">
        <v>42670.8</v>
      </c>
      <c r="AE95" s="462"/>
      <c r="AF95" s="462"/>
      <c r="AG95" s="462"/>
      <c r="AH95" s="462"/>
      <c r="AI95" s="462"/>
      <c r="AJ95" s="462"/>
      <c r="AK95" s="462"/>
      <c r="AL95" s="465">
        <f t="shared" si="4"/>
        <v>226125.25</v>
      </c>
      <c r="AM95" s="489">
        <v>77</v>
      </c>
      <c r="AN95" s="462">
        <v>1051</v>
      </c>
      <c r="AO95" s="450">
        <v>-45024.45</v>
      </c>
      <c r="AP95" s="462">
        <v>-19180.349999999999</v>
      </c>
      <c r="AQ95" s="450">
        <v>-1.2</v>
      </c>
      <c r="AR95" s="466">
        <v>1</v>
      </c>
    </row>
    <row r="96" spans="1:44" x14ac:dyDescent="0.25">
      <c r="A96" s="460">
        <v>5551</v>
      </c>
      <c r="B96" s="461" t="s">
        <v>37</v>
      </c>
      <c r="C96" s="462">
        <v>792318.74</v>
      </c>
      <c r="D96" s="464">
        <v>118971.18</v>
      </c>
      <c r="E96" s="462"/>
      <c r="F96" s="464"/>
      <c r="G96" s="462">
        <v>22717.85</v>
      </c>
      <c r="H96" s="464">
        <v>-485.25</v>
      </c>
      <c r="I96" s="462"/>
      <c r="J96" s="464">
        <v>7232.53</v>
      </c>
      <c r="K96" s="462">
        <v>7794.9</v>
      </c>
      <c r="L96" s="487">
        <v>79246.45</v>
      </c>
      <c r="M96" s="479">
        <f t="shared" si="3"/>
        <v>1027796.3999999999</v>
      </c>
      <c r="N96" s="462">
        <v>10139.85</v>
      </c>
      <c r="O96" s="464"/>
      <c r="P96" s="462">
        <v>12948.35</v>
      </c>
      <c r="Q96" s="464"/>
      <c r="R96" s="462">
        <v>21366.15</v>
      </c>
      <c r="S96" s="464"/>
      <c r="T96" s="462"/>
      <c r="U96" s="464">
        <v>1960</v>
      </c>
      <c r="V96" s="462"/>
      <c r="W96" s="464"/>
      <c r="X96" s="475">
        <f t="shared" si="5"/>
        <v>1074210.7499999998</v>
      </c>
      <c r="Y96" s="483">
        <v>3814.2</v>
      </c>
      <c r="Z96" s="462">
        <v>83085</v>
      </c>
      <c r="AA96" s="462"/>
      <c r="AB96" s="462"/>
      <c r="AC96" s="462">
        <v>28868.1</v>
      </c>
      <c r="AD96" s="462">
        <v>12919</v>
      </c>
      <c r="AE96" s="462"/>
      <c r="AF96" s="462"/>
      <c r="AG96" s="462">
        <v>1960</v>
      </c>
      <c r="AH96" s="462"/>
      <c r="AI96" s="462"/>
      <c r="AJ96" s="462"/>
      <c r="AK96" s="462"/>
      <c r="AL96" s="465">
        <f t="shared" si="4"/>
        <v>130646.29999999999</v>
      </c>
      <c r="AM96" s="489">
        <v>55</v>
      </c>
      <c r="AN96" s="462">
        <v>495</v>
      </c>
      <c r="AO96" s="450">
        <v>-662.47</v>
      </c>
      <c r="AP96" s="462"/>
      <c r="AQ96" s="450">
        <v>-38.57</v>
      </c>
      <c r="AR96" s="466">
        <v>0.7</v>
      </c>
    </row>
    <row r="97" spans="1:44" x14ac:dyDescent="0.25">
      <c r="A97" s="460">
        <v>5552</v>
      </c>
      <c r="B97" s="461" t="s">
        <v>38</v>
      </c>
      <c r="C97" s="462">
        <v>821001.73</v>
      </c>
      <c r="D97" s="464">
        <v>126793.47</v>
      </c>
      <c r="E97" s="462"/>
      <c r="F97" s="464"/>
      <c r="G97" s="462">
        <v>9885.7999999999993</v>
      </c>
      <c r="H97" s="464">
        <v>804.75</v>
      </c>
      <c r="I97" s="462">
        <v>18143.650000000001</v>
      </c>
      <c r="J97" s="464">
        <v>10515.44</v>
      </c>
      <c r="K97" s="462">
        <v>1484.5</v>
      </c>
      <c r="L97" s="464">
        <v>107136.4</v>
      </c>
      <c r="M97" s="479">
        <f t="shared" si="3"/>
        <v>1095765.74</v>
      </c>
      <c r="N97" s="462">
        <v>41288.050000000003</v>
      </c>
      <c r="O97" s="464">
        <v>80939.100000000006</v>
      </c>
      <c r="P97" s="462">
        <v>48578.65</v>
      </c>
      <c r="Q97" s="464">
        <v>13961.66</v>
      </c>
      <c r="R97" s="462">
        <v>30948.15</v>
      </c>
      <c r="S97" s="464"/>
      <c r="T97" s="462">
        <v>1007.55</v>
      </c>
      <c r="U97" s="464">
        <v>6000</v>
      </c>
      <c r="V97" s="462"/>
      <c r="W97" s="464"/>
      <c r="X97" s="475">
        <f t="shared" si="5"/>
        <v>1318488.8999999999</v>
      </c>
      <c r="Y97" s="483">
        <v>22000</v>
      </c>
      <c r="Z97" s="462"/>
      <c r="AA97" s="462">
        <v>108718.5</v>
      </c>
      <c r="AB97" s="462"/>
      <c r="AC97" s="462">
        <v>74415.399999999994</v>
      </c>
      <c r="AD97" s="462">
        <v>21463.4</v>
      </c>
      <c r="AE97" s="462"/>
      <c r="AF97" s="462"/>
      <c r="AG97" s="462">
        <v>63536.6</v>
      </c>
      <c r="AH97" s="462">
        <v>23836.2</v>
      </c>
      <c r="AI97" s="462"/>
      <c r="AJ97" s="462"/>
      <c r="AK97" s="462"/>
      <c r="AL97" s="465">
        <f t="shared" si="4"/>
        <v>313970.09999999998</v>
      </c>
      <c r="AM97" s="489">
        <v>70</v>
      </c>
      <c r="AN97" s="462">
        <v>629</v>
      </c>
      <c r="AO97" s="450">
        <v>-8231.9699999999993</v>
      </c>
      <c r="AP97" s="462"/>
      <c r="AQ97" s="450">
        <v>-7.8</v>
      </c>
      <c r="AR97" s="466">
        <v>1</v>
      </c>
    </row>
    <row r="98" spans="1:44" x14ac:dyDescent="0.25">
      <c r="A98" s="460">
        <v>5553</v>
      </c>
      <c r="B98" s="461" t="s">
        <v>39</v>
      </c>
      <c r="C98" s="462">
        <v>1615644.64</v>
      </c>
      <c r="D98" s="464">
        <v>162140.32</v>
      </c>
      <c r="E98" s="462"/>
      <c r="F98" s="464"/>
      <c r="G98" s="462">
        <v>79139.350000000006</v>
      </c>
      <c r="H98" s="464">
        <v>16537.650000000001</v>
      </c>
      <c r="I98" s="462"/>
      <c r="J98" s="464">
        <v>41128.480000000003</v>
      </c>
      <c r="K98" s="462">
        <v>15720.5</v>
      </c>
      <c r="L98" s="464">
        <v>186008.2</v>
      </c>
      <c r="M98" s="479">
        <f t="shared" si="3"/>
        <v>2116319.14</v>
      </c>
      <c r="N98" s="462">
        <v>73437.649999999994</v>
      </c>
      <c r="O98" s="464">
        <v>1431.2</v>
      </c>
      <c r="P98" s="462">
        <v>153576.20000000001</v>
      </c>
      <c r="Q98" s="464">
        <v>2427.4699999999998</v>
      </c>
      <c r="R98" s="462">
        <v>129249.5</v>
      </c>
      <c r="S98" s="464"/>
      <c r="T98" s="462"/>
      <c r="U98" s="464">
        <v>5300</v>
      </c>
      <c r="V98" s="462">
        <v>935.5</v>
      </c>
      <c r="W98" s="464"/>
      <c r="X98" s="475">
        <f t="shared" si="5"/>
        <v>2482676.6600000006</v>
      </c>
      <c r="Y98" s="483">
        <v>277089.3</v>
      </c>
      <c r="Z98" s="462"/>
      <c r="AA98" s="462">
        <v>99346.5</v>
      </c>
      <c r="AB98" s="462"/>
      <c r="AC98" s="462">
        <v>62790.3</v>
      </c>
      <c r="AD98" s="462">
        <v>312708.2</v>
      </c>
      <c r="AE98" s="462"/>
      <c r="AF98" s="462"/>
      <c r="AG98" s="462"/>
      <c r="AH98" s="462"/>
      <c r="AI98" s="462"/>
      <c r="AJ98" s="462"/>
      <c r="AK98" s="462"/>
      <c r="AL98" s="465">
        <f t="shared" si="4"/>
        <v>751934.3</v>
      </c>
      <c r="AM98" s="489">
        <v>63</v>
      </c>
      <c r="AN98" s="462">
        <v>1027</v>
      </c>
      <c r="AO98" s="450">
        <v>-15913.23</v>
      </c>
      <c r="AP98" s="462"/>
      <c r="AQ98" s="450">
        <v>-537.01</v>
      </c>
      <c r="AR98" s="466">
        <v>1</v>
      </c>
    </row>
    <row r="99" spans="1:44" x14ac:dyDescent="0.25">
      <c r="A99" s="460">
        <v>5554</v>
      </c>
      <c r="B99" s="461" t="s">
        <v>40</v>
      </c>
      <c r="C99" s="462">
        <v>1621565.33</v>
      </c>
      <c r="D99" s="464">
        <v>336589.96</v>
      </c>
      <c r="E99" s="462"/>
      <c r="F99" s="464"/>
      <c r="G99" s="462">
        <v>41284.6</v>
      </c>
      <c r="H99" s="464">
        <v>413.95</v>
      </c>
      <c r="I99" s="462"/>
      <c r="J99" s="464">
        <v>47952.29</v>
      </c>
      <c r="K99" s="462">
        <v>6243.5</v>
      </c>
      <c r="L99" s="464">
        <v>164605.1</v>
      </c>
      <c r="M99" s="479">
        <f t="shared" si="3"/>
        <v>2218654.73</v>
      </c>
      <c r="N99" s="462">
        <v>2250.0500000000002</v>
      </c>
      <c r="O99" s="464">
        <v>42657.599999999999</v>
      </c>
      <c r="P99" s="462">
        <v>77932.7</v>
      </c>
      <c r="Q99" s="464">
        <v>20663.669999999998</v>
      </c>
      <c r="R99" s="462">
        <v>32018.45</v>
      </c>
      <c r="S99" s="464">
        <v>1803.05</v>
      </c>
      <c r="T99" s="462"/>
      <c r="U99" s="464">
        <v>6300</v>
      </c>
      <c r="V99" s="462">
        <v>773.5</v>
      </c>
      <c r="W99" s="464">
        <v>396</v>
      </c>
      <c r="X99" s="475">
        <f t="shared" si="5"/>
        <v>2403449.75</v>
      </c>
      <c r="Y99" s="483">
        <v>12358</v>
      </c>
      <c r="Z99" s="462">
        <v>53103</v>
      </c>
      <c r="AA99" s="462">
        <v>134303.5</v>
      </c>
      <c r="AB99" s="462"/>
      <c r="AC99" s="462">
        <v>63988.9</v>
      </c>
      <c r="AD99" s="462">
        <v>30987.7</v>
      </c>
      <c r="AE99" s="462">
        <v>96380</v>
      </c>
      <c r="AF99" s="462"/>
      <c r="AG99" s="462">
        <v>63514.28</v>
      </c>
      <c r="AH99" s="462">
        <v>29609.200000000001</v>
      </c>
      <c r="AI99" s="462"/>
      <c r="AJ99" s="462"/>
      <c r="AK99" s="462"/>
      <c r="AL99" s="465">
        <f t="shared" si="4"/>
        <v>484244.58</v>
      </c>
      <c r="AM99" s="489">
        <v>75</v>
      </c>
      <c r="AN99" s="462">
        <v>960</v>
      </c>
      <c r="AO99" s="450">
        <v>-65236.21</v>
      </c>
      <c r="AP99" s="462"/>
      <c r="AQ99" s="450">
        <v>-79.03</v>
      </c>
      <c r="AR99" s="466">
        <v>1</v>
      </c>
    </row>
    <row r="100" spans="1:44" x14ac:dyDescent="0.25">
      <c r="A100" s="460">
        <v>5555</v>
      </c>
      <c r="B100" s="461" t="s">
        <v>41</v>
      </c>
      <c r="C100" s="462">
        <v>555920.26</v>
      </c>
      <c r="D100" s="464">
        <v>120152.74</v>
      </c>
      <c r="E100" s="462"/>
      <c r="F100" s="464"/>
      <c r="G100" s="462">
        <v>12455.25</v>
      </c>
      <c r="H100" s="464">
        <v>2005.8</v>
      </c>
      <c r="I100" s="462"/>
      <c r="J100" s="464">
        <v>24854.52</v>
      </c>
      <c r="K100" s="462">
        <v>1966.8</v>
      </c>
      <c r="L100" s="464">
        <v>73333.05</v>
      </c>
      <c r="M100" s="479">
        <f t="shared" si="3"/>
        <v>790688.42000000016</v>
      </c>
      <c r="N100" s="462">
        <v>7907.7</v>
      </c>
      <c r="O100" s="464">
        <v>5303.2</v>
      </c>
      <c r="P100" s="462">
        <v>43880.1</v>
      </c>
      <c r="Q100" s="464">
        <v>2065.23</v>
      </c>
      <c r="R100" s="462">
        <v>28789.85</v>
      </c>
      <c r="S100" s="464"/>
      <c r="T100" s="462"/>
      <c r="U100" s="464">
        <v>1230</v>
      </c>
      <c r="V100" s="462"/>
      <c r="W100" s="464"/>
      <c r="X100" s="475">
        <f t="shared" si="5"/>
        <v>879864.5</v>
      </c>
      <c r="Y100" s="483">
        <v>13773.6</v>
      </c>
      <c r="Z100" s="462"/>
      <c r="AA100" s="462">
        <v>87029.25</v>
      </c>
      <c r="AB100" s="462"/>
      <c r="AC100" s="462">
        <v>19447.7</v>
      </c>
      <c r="AD100" s="462">
        <v>22956</v>
      </c>
      <c r="AE100" s="462"/>
      <c r="AF100" s="462">
        <v>9816.2999999999993</v>
      </c>
      <c r="AG100" s="462">
        <v>9836.2000000000007</v>
      </c>
      <c r="AH100" s="462"/>
      <c r="AI100" s="462"/>
      <c r="AJ100" s="462"/>
      <c r="AK100" s="462"/>
      <c r="AL100" s="465">
        <f t="shared" si="4"/>
        <v>162859.04999999999</v>
      </c>
      <c r="AM100" s="489">
        <v>71</v>
      </c>
      <c r="AN100" s="462">
        <v>379</v>
      </c>
      <c r="AO100" s="450">
        <v>-8887.15</v>
      </c>
      <c r="AP100" s="462"/>
      <c r="AQ100" s="450">
        <v>-0.06</v>
      </c>
      <c r="AR100" s="466">
        <v>1</v>
      </c>
    </row>
    <row r="101" spans="1:44" x14ac:dyDescent="0.25">
      <c r="A101" s="460">
        <v>5556</v>
      </c>
      <c r="B101" s="461" t="s">
        <v>42</v>
      </c>
      <c r="C101" s="462">
        <v>711462.45</v>
      </c>
      <c r="D101" s="464">
        <v>83686.55</v>
      </c>
      <c r="E101" s="462"/>
      <c r="F101" s="464">
        <v>2160</v>
      </c>
      <c r="G101" s="462">
        <v>-2445.85</v>
      </c>
      <c r="H101" s="464">
        <v>11.35</v>
      </c>
      <c r="I101" s="462"/>
      <c r="J101" s="464">
        <v>5109.54</v>
      </c>
      <c r="K101" s="462">
        <v>522</v>
      </c>
      <c r="L101" s="487">
        <v>74642.399999999994</v>
      </c>
      <c r="M101" s="479">
        <f t="shared" si="3"/>
        <v>875148.44000000006</v>
      </c>
      <c r="N101" s="462"/>
      <c r="O101" s="464"/>
      <c r="P101" s="462">
        <v>22563.05</v>
      </c>
      <c r="Q101" s="464"/>
      <c r="R101" s="462">
        <v>27288.75</v>
      </c>
      <c r="S101" s="464"/>
      <c r="T101" s="462">
        <v>50</v>
      </c>
      <c r="U101" s="464">
        <v>3360</v>
      </c>
      <c r="V101" s="462"/>
      <c r="W101" s="464"/>
      <c r="X101" s="475">
        <f t="shared" si="5"/>
        <v>928410.24000000011</v>
      </c>
      <c r="Y101" s="483"/>
      <c r="Z101" s="462">
        <v>19861.25</v>
      </c>
      <c r="AA101" s="462">
        <v>64696.9</v>
      </c>
      <c r="AB101" s="462"/>
      <c r="AC101" s="462">
        <v>12221</v>
      </c>
      <c r="AD101" s="462">
        <v>21170</v>
      </c>
      <c r="AE101" s="462"/>
      <c r="AF101" s="462"/>
      <c r="AG101" s="462">
        <v>1188</v>
      </c>
      <c r="AH101" s="462"/>
      <c r="AI101" s="462"/>
      <c r="AJ101" s="462"/>
      <c r="AK101" s="462"/>
      <c r="AL101" s="465">
        <f t="shared" si="4"/>
        <v>119137.15</v>
      </c>
      <c r="AM101" s="489">
        <v>69</v>
      </c>
      <c r="AN101" s="462">
        <v>427</v>
      </c>
      <c r="AO101" s="450">
        <v>-2088</v>
      </c>
      <c r="AP101" s="462"/>
      <c r="AQ101" s="450">
        <v>0</v>
      </c>
      <c r="AR101" s="466">
        <v>1.2</v>
      </c>
    </row>
    <row r="102" spans="1:44" x14ac:dyDescent="0.25">
      <c r="A102" s="460">
        <v>5557</v>
      </c>
      <c r="B102" s="461" t="s">
        <v>43</v>
      </c>
      <c r="C102" s="462">
        <v>214012.15</v>
      </c>
      <c r="D102" s="464">
        <v>23600.29</v>
      </c>
      <c r="E102" s="462"/>
      <c r="F102" s="464">
        <v>920</v>
      </c>
      <c r="G102" s="462">
        <v>15206.2</v>
      </c>
      <c r="H102" s="464">
        <v>80.650000000000006</v>
      </c>
      <c r="I102" s="462"/>
      <c r="J102" s="464">
        <v>468.87</v>
      </c>
      <c r="K102" s="462">
        <v>827.5</v>
      </c>
      <c r="L102" s="464">
        <v>28633.200000000001</v>
      </c>
      <c r="M102" s="479">
        <f t="shared" si="3"/>
        <v>283748.86</v>
      </c>
      <c r="N102" s="462">
        <v>1148.05</v>
      </c>
      <c r="O102" s="464"/>
      <c r="P102" s="462">
        <v>19013.45</v>
      </c>
      <c r="Q102" s="464"/>
      <c r="R102" s="462">
        <v>15455.4</v>
      </c>
      <c r="S102" s="464"/>
      <c r="T102" s="462"/>
      <c r="U102" s="464">
        <v>705</v>
      </c>
      <c r="V102" s="462"/>
      <c r="W102" s="464"/>
      <c r="X102" s="475">
        <f t="shared" si="5"/>
        <v>320070.76</v>
      </c>
      <c r="Y102" s="483">
        <v>18000</v>
      </c>
      <c r="Z102" s="462"/>
      <c r="AA102" s="462">
        <v>22800</v>
      </c>
      <c r="AB102" s="462"/>
      <c r="AC102" s="462">
        <v>13355.7</v>
      </c>
      <c r="AD102" s="462">
        <v>9000</v>
      </c>
      <c r="AE102" s="462"/>
      <c r="AF102" s="462"/>
      <c r="AG102" s="462"/>
      <c r="AH102" s="462"/>
      <c r="AI102" s="462"/>
      <c r="AJ102" s="462"/>
      <c r="AK102" s="462"/>
      <c r="AL102" s="465">
        <f t="shared" si="4"/>
        <v>63155.7</v>
      </c>
      <c r="AM102" s="489">
        <v>69</v>
      </c>
      <c r="AN102" s="462">
        <v>200</v>
      </c>
      <c r="AO102" s="450">
        <v>-5659.04</v>
      </c>
      <c r="AP102" s="462"/>
      <c r="AQ102" s="450">
        <v>0</v>
      </c>
      <c r="AR102" s="466">
        <v>1</v>
      </c>
    </row>
    <row r="103" spans="1:44" x14ac:dyDescent="0.25">
      <c r="A103" s="460">
        <v>5559</v>
      </c>
      <c r="B103" s="461" t="s">
        <v>44</v>
      </c>
      <c r="C103" s="462">
        <v>778012.52</v>
      </c>
      <c r="D103" s="464">
        <v>217089.58</v>
      </c>
      <c r="E103" s="462"/>
      <c r="F103" s="464"/>
      <c r="G103" s="462">
        <v>114658.55</v>
      </c>
      <c r="H103" s="464">
        <v>288.2</v>
      </c>
      <c r="I103" s="462"/>
      <c r="J103" s="464">
        <v>12072.8</v>
      </c>
      <c r="K103" s="462">
        <v>3375.5</v>
      </c>
      <c r="L103" s="464">
        <v>83185.3</v>
      </c>
      <c r="M103" s="479">
        <f t="shared" si="3"/>
        <v>1208682.45</v>
      </c>
      <c r="N103" s="462">
        <v>19419.5</v>
      </c>
      <c r="O103" s="464">
        <v>216185.8</v>
      </c>
      <c r="P103" s="462">
        <v>77154</v>
      </c>
      <c r="Q103" s="464"/>
      <c r="R103" s="462">
        <v>30207.55</v>
      </c>
      <c r="S103" s="464"/>
      <c r="T103" s="462">
        <v>297.25</v>
      </c>
      <c r="U103" s="464">
        <v>920</v>
      </c>
      <c r="V103" s="462">
        <v>239</v>
      </c>
      <c r="W103" s="464"/>
      <c r="X103" s="475">
        <f t="shared" si="5"/>
        <v>1553105.55</v>
      </c>
      <c r="Y103" s="483">
        <v>2846.6</v>
      </c>
      <c r="Z103" s="462"/>
      <c r="AA103" s="462">
        <v>79376.2</v>
      </c>
      <c r="AB103" s="462"/>
      <c r="AC103" s="462">
        <v>24920.75</v>
      </c>
      <c r="AD103" s="462">
        <v>2789.65</v>
      </c>
      <c r="AE103" s="462"/>
      <c r="AF103" s="462"/>
      <c r="AG103" s="462">
        <v>4341.2</v>
      </c>
      <c r="AH103" s="462"/>
      <c r="AI103" s="462"/>
      <c r="AJ103" s="462"/>
      <c r="AK103" s="462"/>
      <c r="AL103" s="465">
        <f t="shared" si="4"/>
        <v>114274.4</v>
      </c>
      <c r="AM103" s="489">
        <v>66</v>
      </c>
      <c r="AN103" s="462">
        <v>408</v>
      </c>
      <c r="AO103" s="450">
        <v>-10617.21</v>
      </c>
      <c r="AP103" s="462"/>
      <c r="AQ103" s="450">
        <v>-222.1</v>
      </c>
      <c r="AR103" s="466">
        <v>1</v>
      </c>
    </row>
    <row r="104" spans="1:44" x14ac:dyDescent="0.25">
      <c r="A104" s="460">
        <v>5560</v>
      </c>
      <c r="B104" s="461" t="s">
        <v>45</v>
      </c>
      <c r="C104" s="462">
        <v>379621.46</v>
      </c>
      <c r="D104" s="464">
        <v>24538.17</v>
      </c>
      <c r="E104" s="462"/>
      <c r="F104" s="464"/>
      <c r="G104" s="462">
        <v>492.35</v>
      </c>
      <c r="H104" s="464">
        <v>6.3</v>
      </c>
      <c r="I104" s="462"/>
      <c r="J104" s="464">
        <v>1383.91</v>
      </c>
      <c r="K104" s="462">
        <v>624.5</v>
      </c>
      <c r="L104" s="464">
        <v>39454.85</v>
      </c>
      <c r="M104" s="479">
        <f t="shared" si="3"/>
        <v>446121.53999999992</v>
      </c>
      <c r="N104" s="462"/>
      <c r="O104" s="464"/>
      <c r="P104" s="462">
        <v>3197.95</v>
      </c>
      <c r="Q104" s="464"/>
      <c r="R104" s="462">
        <v>8674.9500000000007</v>
      </c>
      <c r="S104" s="464"/>
      <c r="T104" s="462"/>
      <c r="U104" s="464">
        <v>1450</v>
      </c>
      <c r="V104" s="462"/>
      <c r="W104" s="464"/>
      <c r="X104" s="475">
        <f t="shared" si="5"/>
        <v>459444.43999999994</v>
      </c>
      <c r="Y104" s="483"/>
      <c r="Z104" s="462"/>
      <c r="AA104" s="462">
        <v>45256</v>
      </c>
      <c r="AB104" s="462"/>
      <c r="AC104" s="462">
        <v>13401</v>
      </c>
      <c r="AD104" s="462">
        <v>23800</v>
      </c>
      <c r="AE104" s="462"/>
      <c r="AF104" s="462"/>
      <c r="AG104" s="462">
        <v>1799.5</v>
      </c>
      <c r="AH104" s="462"/>
      <c r="AI104" s="462"/>
      <c r="AJ104" s="462"/>
      <c r="AK104" s="462"/>
      <c r="AL104" s="465">
        <f t="shared" si="4"/>
        <v>84256.5</v>
      </c>
      <c r="AM104" s="489">
        <v>68</v>
      </c>
      <c r="AN104" s="462">
        <v>232</v>
      </c>
      <c r="AO104" s="450">
        <v>-7750.88</v>
      </c>
      <c r="AP104" s="462"/>
      <c r="AQ104" s="450">
        <v>0</v>
      </c>
      <c r="AR104" s="466">
        <v>1</v>
      </c>
    </row>
    <row r="105" spans="1:44" x14ac:dyDescent="0.25">
      <c r="A105" s="460">
        <v>5561</v>
      </c>
      <c r="B105" s="461" t="s">
        <v>46</v>
      </c>
      <c r="C105" s="462">
        <v>5893090.0099999998</v>
      </c>
      <c r="D105" s="464">
        <v>941959.72</v>
      </c>
      <c r="E105" s="462"/>
      <c r="F105" s="464"/>
      <c r="G105" s="462">
        <v>461966.65</v>
      </c>
      <c r="H105" s="464">
        <v>8052.2</v>
      </c>
      <c r="I105" s="462">
        <v>1741.1</v>
      </c>
      <c r="J105" s="464">
        <v>152407.45000000001</v>
      </c>
      <c r="K105" s="462">
        <v>25527</v>
      </c>
      <c r="L105" s="464">
        <v>550047</v>
      </c>
      <c r="M105" s="479">
        <f t="shared" si="3"/>
        <v>8034791.1299999999</v>
      </c>
      <c r="N105" s="462">
        <v>366017.15</v>
      </c>
      <c r="O105" s="464">
        <v>188001.7</v>
      </c>
      <c r="P105" s="462">
        <v>229584.35</v>
      </c>
      <c r="Q105" s="464">
        <v>11090.68</v>
      </c>
      <c r="R105" s="462">
        <v>245076</v>
      </c>
      <c r="S105" s="464"/>
      <c r="T105" s="462">
        <v>8059.5</v>
      </c>
      <c r="U105" s="464">
        <v>10396.4</v>
      </c>
      <c r="V105" s="462">
        <v>118.5</v>
      </c>
      <c r="W105" s="464">
        <v>1040</v>
      </c>
      <c r="X105" s="475">
        <f t="shared" si="5"/>
        <v>9094175.4099999983</v>
      </c>
      <c r="Y105" s="483">
        <v>10348.6</v>
      </c>
      <c r="Z105" s="462"/>
      <c r="AA105" s="462">
        <v>387515.5</v>
      </c>
      <c r="AB105" s="462"/>
      <c r="AC105" s="462">
        <v>297592.84999999998</v>
      </c>
      <c r="AD105" s="462">
        <v>352867.95</v>
      </c>
      <c r="AE105" s="462"/>
      <c r="AF105" s="462"/>
      <c r="AG105" s="462">
        <v>57595.4</v>
      </c>
      <c r="AH105" s="462">
        <v>98522.8</v>
      </c>
      <c r="AI105" s="462"/>
      <c r="AJ105" s="462"/>
      <c r="AK105" s="462"/>
      <c r="AL105" s="465">
        <f t="shared" si="4"/>
        <v>1204443.0999999999</v>
      </c>
      <c r="AM105" s="489">
        <v>69</v>
      </c>
      <c r="AN105" s="462">
        <v>3313</v>
      </c>
      <c r="AO105" s="450">
        <v>-63481.97</v>
      </c>
      <c r="AP105" s="462">
        <v>-35407.050000000003</v>
      </c>
      <c r="AQ105" s="450">
        <v>-235.1</v>
      </c>
      <c r="AR105" s="466">
        <v>1</v>
      </c>
    </row>
    <row r="106" spans="1:44" x14ac:dyDescent="0.25">
      <c r="A106" s="460">
        <v>5562</v>
      </c>
      <c r="B106" s="461" t="s">
        <v>47</v>
      </c>
      <c r="C106" s="462">
        <v>177339.86</v>
      </c>
      <c r="D106" s="464">
        <v>42546.33</v>
      </c>
      <c r="E106" s="462"/>
      <c r="F106" s="464">
        <v>720</v>
      </c>
      <c r="G106" s="462">
        <v>2314.3000000000002</v>
      </c>
      <c r="H106" s="464">
        <v>119</v>
      </c>
      <c r="I106" s="462"/>
      <c r="J106" s="464">
        <v>5433.61</v>
      </c>
      <c r="K106" s="462">
        <v>1155.5</v>
      </c>
      <c r="L106" s="464">
        <v>34272.6</v>
      </c>
      <c r="M106" s="479">
        <f t="shared" si="3"/>
        <v>263901.19999999995</v>
      </c>
      <c r="N106" s="462"/>
      <c r="O106" s="464">
        <v>1214</v>
      </c>
      <c r="P106" s="462">
        <v>7315</v>
      </c>
      <c r="Q106" s="464"/>
      <c r="R106" s="462">
        <v>7519.9</v>
      </c>
      <c r="S106" s="464"/>
      <c r="T106" s="462">
        <v>75</v>
      </c>
      <c r="U106" s="464">
        <v>625</v>
      </c>
      <c r="V106" s="462"/>
      <c r="W106" s="464"/>
      <c r="X106" s="475">
        <f t="shared" si="5"/>
        <v>280650.09999999998</v>
      </c>
      <c r="Y106" s="483">
        <v>7200</v>
      </c>
      <c r="Z106" s="462"/>
      <c r="AA106" s="462">
        <v>42795</v>
      </c>
      <c r="AB106" s="462"/>
      <c r="AC106" s="462">
        <v>17835</v>
      </c>
      <c r="AD106" s="462">
        <v>2700</v>
      </c>
      <c r="AE106" s="462"/>
      <c r="AF106" s="462"/>
      <c r="AG106" s="462">
        <v>6057.85</v>
      </c>
      <c r="AH106" s="462"/>
      <c r="AI106" s="462"/>
      <c r="AJ106" s="462"/>
      <c r="AK106" s="462"/>
      <c r="AL106" s="465">
        <f t="shared" si="4"/>
        <v>76587.850000000006</v>
      </c>
      <c r="AM106" s="489">
        <v>70</v>
      </c>
      <c r="AN106" s="462">
        <v>123</v>
      </c>
      <c r="AO106" s="450">
        <v>-1806.9</v>
      </c>
      <c r="AP106" s="462"/>
      <c r="AQ106" s="450">
        <v>-3.38</v>
      </c>
      <c r="AR106" s="466">
        <v>1.2</v>
      </c>
    </row>
    <row r="107" spans="1:44" x14ac:dyDescent="0.25">
      <c r="A107" s="460">
        <v>5563</v>
      </c>
      <c r="B107" s="461" t="s">
        <v>327</v>
      </c>
      <c r="C107" s="462">
        <v>274935.42</v>
      </c>
      <c r="D107" s="464">
        <v>38035.42</v>
      </c>
      <c r="E107" s="462"/>
      <c r="F107" s="464">
        <v>540</v>
      </c>
      <c r="G107" s="462">
        <v>917.65</v>
      </c>
      <c r="H107" s="464">
        <v>3.3</v>
      </c>
      <c r="I107" s="462"/>
      <c r="J107" s="464">
        <v>1563.23</v>
      </c>
      <c r="K107" s="462"/>
      <c r="L107" s="464">
        <v>19669.25</v>
      </c>
      <c r="M107" s="479">
        <f t="shared" si="3"/>
        <v>335664.26999999996</v>
      </c>
      <c r="N107" s="462"/>
      <c r="O107" s="464"/>
      <c r="P107" s="462">
        <v>15528.95</v>
      </c>
      <c r="Q107" s="464"/>
      <c r="R107" s="462">
        <v>11302.8</v>
      </c>
      <c r="S107" s="464"/>
      <c r="T107" s="462">
        <v>200</v>
      </c>
      <c r="U107" s="464">
        <v>699</v>
      </c>
      <c r="V107" s="462"/>
      <c r="W107" s="464"/>
      <c r="X107" s="475">
        <f t="shared" si="5"/>
        <v>363395.01999999996</v>
      </c>
      <c r="Y107" s="483"/>
      <c r="Z107" s="462"/>
      <c r="AA107" s="462">
        <v>30747</v>
      </c>
      <c r="AB107" s="462">
        <v>10710</v>
      </c>
      <c r="AC107" s="462"/>
      <c r="AD107" s="462"/>
      <c r="AE107" s="462"/>
      <c r="AF107" s="462"/>
      <c r="AG107" s="462"/>
      <c r="AH107" s="462"/>
      <c r="AI107" s="462"/>
      <c r="AJ107" s="462"/>
      <c r="AK107" s="462"/>
      <c r="AL107" s="465">
        <f t="shared" si="4"/>
        <v>41457</v>
      </c>
      <c r="AM107" s="489">
        <v>78.5</v>
      </c>
      <c r="AN107" s="462">
        <v>162</v>
      </c>
      <c r="AO107" s="450">
        <v>-63.53</v>
      </c>
      <c r="AP107" s="462"/>
      <c r="AQ107" s="450">
        <v>0</v>
      </c>
      <c r="AR107" s="466">
        <v>1</v>
      </c>
    </row>
    <row r="108" spans="1:44" x14ac:dyDescent="0.25">
      <c r="A108" s="460">
        <v>5564</v>
      </c>
      <c r="B108" s="461" t="s">
        <v>328</v>
      </c>
      <c r="C108" s="462">
        <v>126866.32</v>
      </c>
      <c r="D108" s="464">
        <v>15023.85</v>
      </c>
      <c r="E108" s="462"/>
      <c r="F108" s="464"/>
      <c r="G108" s="462">
        <v>206.25</v>
      </c>
      <c r="H108" s="464">
        <v>11.65</v>
      </c>
      <c r="I108" s="462"/>
      <c r="J108" s="464">
        <v>2458.4</v>
      </c>
      <c r="K108" s="462"/>
      <c r="L108" s="464">
        <v>9813.35</v>
      </c>
      <c r="M108" s="479">
        <f t="shared" si="3"/>
        <v>154379.82</v>
      </c>
      <c r="N108" s="462"/>
      <c r="O108" s="464"/>
      <c r="P108" s="462">
        <v>18370</v>
      </c>
      <c r="Q108" s="464"/>
      <c r="R108" s="462">
        <v>11570.25</v>
      </c>
      <c r="S108" s="464"/>
      <c r="T108" s="462">
        <v>350</v>
      </c>
      <c r="U108" s="464">
        <v>290</v>
      </c>
      <c r="V108" s="462"/>
      <c r="W108" s="464"/>
      <c r="X108" s="475">
        <f t="shared" si="5"/>
        <v>184960.07</v>
      </c>
      <c r="Y108" s="483"/>
      <c r="Z108" s="462"/>
      <c r="AA108" s="462">
        <v>24685</v>
      </c>
      <c r="AB108" s="462"/>
      <c r="AC108" s="462">
        <v>7999.05</v>
      </c>
      <c r="AD108" s="462"/>
      <c r="AE108" s="462"/>
      <c r="AF108" s="462"/>
      <c r="AG108" s="462"/>
      <c r="AH108" s="462"/>
      <c r="AI108" s="462"/>
      <c r="AJ108" s="462"/>
      <c r="AK108" s="462"/>
      <c r="AL108" s="465">
        <f t="shared" si="4"/>
        <v>32684.05</v>
      </c>
      <c r="AM108" s="489">
        <v>76</v>
      </c>
      <c r="AN108" s="462">
        <v>101</v>
      </c>
      <c r="AO108" s="450">
        <v>-44.56</v>
      </c>
      <c r="AP108" s="462"/>
      <c r="AQ108" s="450">
        <v>0</v>
      </c>
      <c r="AR108" s="466">
        <v>0.8</v>
      </c>
    </row>
    <row r="109" spans="1:44" x14ac:dyDescent="0.25">
      <c r="A109" s="460">
        <v>5565</v>
      </c>
      <c r="B109" s="461" t="s">
        <v>329</v>
      </c>
      <c r="C109" s="462">
        <v>795302.65</v>
      </c>
      <c r="D109" s="464">
        <v>44341.77</v>
      </c>
      <c r="E109" s="462"/>
      <c r="F109" s="464"/>
      <c r="G109" s="462">
        <v>187226.85</v>
      </c>
      <c r="H109" s="464">
        <v>4064.35</v>
      </c>
      <c r="I109" s="462"/>
      <c r="J109" s="464">
        <v>5494.59</v>
      </c>
      <c r="K109" s="462">
        <v>21377.5</v>
      </c>
      <c r="L109" s="464">
        <v>86520.5</v>
      </c>
      <c r="M109" s="479">
        <f t="shared" si="3"/>
        <v>1144328.21</v>
      </c>
      <c r="N109" s="462">
        <v>25568.9</v>
      </c>
      <c r="O109" s="464"/>
      <c r="P109" s="462">
        <v>19691.849999999999</v>
      </c>
      <c r="Q109" s="464">
        <v>15624.37</v>
      </c>
      <c r="R109" s="462">
        <v>291.64999999999998</v>
      </c>
      <c r="S109" s="464">
        <v>3384</v>
      </c>
      <c r="T109" s="462"/>
      <c r="U109" s="464">
        <v>2700</v>
      </c>
      <c r="V109" s="462"/>
      <c r="W109" s="464"/>
      <c r="X109" s="475">
        <f t="shared" si="5"/>
        <v>1211588.98</v>
      </c>
      <c r="Y109" s="483">
        <v>9640</v>
      </c>
      <c r="Z109" s="462"/>
      <c r="AA109" s="462">
        <v>97564.2</v>
      </c>
      <c r="AB109" s="462"/>
      <c r="AC109" s="462">
        <v>27849.55</v>
      </c>
      <c r="AD109" s="462">
        <v>8780</v>
      </c>
      <c r="AE109" s="462"/>
      <c r="AF109" s="462"/>
      <c r="AG109" s="462">
        <v>4124.6000000000004</v>
      </c>
      <c r="AH109" s="462">
        <v>42335.7</v>
      </c>
      <c r="AI109" s="462"/>
      <c r="AJ109" s="462"/>
      <c r="AK109" s="462"/>
      <c r="AL109" s="465">
        <f t="shared" si="4"/>
        <v>190294.05</v>
      </c>
      <c r="AM109" s="489">
        <v>65</v>
      </c>
      <c r="AN109" s="462">
        <v>500</v>
      </c>
      <c r="AO109" s="450">
        <v>-25110.28</v>
      </c>
      <c r="AP109" s="462"/>
      <c r="AQ109" s="450">
        <v>-0.05</v>
      </c>
      <c r="AR109" s="466">
        <v>0.75</v>
      </c>
    </row>
    <row r="110" spans="1:44" x14ac:dyDescent="0.25">
      <c r="A110" s="460">
        <v>5566</v>
      </c>
      <c r="B110" s="461" t="s">
        <v>330</v>
      </c>
      <c r="C110" s="462">
        <v>544141.71</v>
      </c>
      <c r="D110" s="464">
        <v>59141.51</v>
      </c>
      <c r="E110" s="462"/>
      <c r="F110" s="464">
        <v>2580</v>
      </c>
      <c r="G110" s="462">
        <v>34646.550000000003</v>
      </c>
      <c r="H110" s="464">
        <v>1817.75</v>
      </c>
      <c r="I110" s="462"/>
      <c r="J110" s="464">
        <v>8776.07</v>
      </c>
      <c r="K110" s="462">
        <v>1907.5</v>
      </c>
      <c r="L110" s="464">
        <v>72747.95</v>
      </c>
      <c r="M110" s="479">
        <f t="shared" si="3"/>
        <v>725759.03999999992</v>
      </c>
      <c r="N110" s="462">
        <v>75885.149999999994</v>
      </c>
      <c r="O110" s="464">
        <v>1180</v>
      </c>
      <c r="P110" s="462">
        <v>29776.15</v>
      </c>
      <c r="Q110" s="464">
        <v>0</v>
      </c>
      <c r="R110" s="462">
        <v>19026.400000000001</v>
      </c>
      <c r="S110" s="464">
        <v>275</v>
      </c>
      <c r="T110" s="462">
        <v>897.25</v>
      </c>
      <c r="U110" s="464">
        <v>1720</v>
      </c>
      <c r="V110" s="462"/>
      <c r="W110" s="464"/>
      <c r="X110" s="475">
        <f t="shared" si="5"/>
        <v>854518.99</v>
      </c>
      <c r="Y110" s="483"/>
      <c r="Z110" s="462"/>
      <c r="AA110" s="462">
        <v>48708.2</v>
      </c>
      <c r="AB110" s="462"/>
      <c r="AC110" s="462">
        <v>31653.599999999999</v>
      </c>
      <c r="AD110" s="462"/>
      <c r="AE110" s="462"/>
      <c r="AF110" s="462"/>
      <c r="AG110" s="462"/>
      <c r="AH110" s="462"/>
      <c r="AI110" s="462"/>
      <c r="AJ110" s="462"/>
      <c r="AK110" s="462"/>
      <c r="AL110" s="465">
        <f t="shared" si="4"/>
        <v>80361.799999999988</v>
      </c>
      <c r="AM110" s="489">
        <v>81</v>
      </c>
      <c r="AN110" s="462">
        <v>390</v>
      </c>
      <c r="AO110" s="450">
        <v>-4496.8100000000004</v>
      </c>
      <c r="AP110" s="462"/>
      <c r="AQ110" s="450">
        <v>0</v>
      </c>
      <c r="AR110" s="466">
        <v>1.5</v>
      </c>
    </row>
    <row r="111" spans="1:44" x14ac:dyDescent="0.25">
      <c r="A111" s="460">
        <v>5568</v>
      </c>
      <c r="B111" s="461" t="s">
        <v>152</v>
      </c>
      <c r="C111" s="462">
        <v>5231882.68</v>
      </c>
      <c r="D111" s="464">
        <v>666118.17000000004</v>
      </c>
      <c r="E111" s="462"/>
      <c r="F111" s="464"/>
      <c r="G111" s="462">
        <v>218795.85</v>
      </c>
      <c r="H111" s="464">
        <v>20663.55</v>
      </c>
      <c r="I111" s="462">
        <v>20500.55</v>
      </c>
      <c r="J111" s="464">
        <v>174469.09</v>
      </c>
      <c r="K111" s="462">
        <v>34090.5</v>
      </c>
      <c r="L111" s="464">
        <v>542672.25</v>
      </c>
      <c r="M111" s="479">
        <f t="shared" si="3"/>
        <v>6909192.6399999987</v>
      </c>
      <c r="N111" s="462">
        <v>1980595.05</v>
      </c>
      <c r="O111" s="464">
        <v>194599.3</v>
      </c>
      <c r="P111" s="462">
        <v>204762.55</v>
      </c>
      <c r="Q111" s="464">
        <v>35210.550000000003</v>
      </c>
      <c r="R111" s="462">
        <v>168712.85</v>
      </c>
      <c r="S111" s="464"/>
      <c r="T111" s="462">
        <v>25291.200000000001</v>
      </c>
      <c r="U111" s="464">
        <v>20550</v>
      </c>
      <c r="V111" s="462"/>
      <c r="W111" s="464">
        <v>580.5</v>
      </c>
      <c r="X111" s="475">
        <f t="shared" si="5"/>
        <v>9539494.6400000006</v>
      </c>
      <c r="Y111" s="483">
        <v>85553.8</v>
      </c>
      <c r="Z111" s="462"/>
      <c r="AA111" s="462">
        <v>1407240.2</v>
      </c>
      <c r="AB111" s="462"/>
      <c r="AC111" s="462">
        <v>1007209.61</v>
      </c>
      <c r="AD111" s="462">
        <v>96845</v>
      </c>
      <c r="AE111" s="462"/>
      <c r="AF111" s="462"/>
      <c r="AG111" s="462">
        <v>49002.45</v>
      </c>
      <c r="AH111" s="462"/>
      <c r="AI111" s="462"/>
      <c r="AJ111" s="462">
        <v>80341.850000000006</v>
      </c>
      <c r="AK111" s="462"/>
      <c r="AL111" s="465">
        <f t="shared" si="4"/>
        <v>2726192.91</v>
      </c>
      <c r="AM111" s="489">
        <v>70</v>
      </c>
      <c r="AN111" s="462">
        <v>4851</v>
      </c>
      <c r="AO111" s="450">
        <v>-206111.56</v>
      </c>
      <c r="AP111" s="462"/>
      <c r="AQ111" s="450">
        <v>-2237.85</v>
      </c>
      <c r="AR111" s="466">
        <v>1</v>
      </c>
    </row>
    <row r="112" spans="1:44" x14ac:dyDescent="0.25">
      <c r="A112" s="460">
        <v>5571</v>
      </c>
      <c r="B112" s="461" t="s">
        <v>487</v>
      </c>
      <c r="C112" s="462">
        <v>1242106.52</v>
      </c>
      <c r="D112" s="464">
        <v>121591.88</v>
      </c>
      <c r="E112" s="462"/>
      <c r="F112" s="464"/>
      <c r="G112" s="462">
        <v>4793.45</v>
      </c>
      <c r="H112" s="464">
        <v>166</v>
      </c>
      <c r="I112" s="462"/>
      <c r="J112" s="464">
        <v>30121.83</v>
      </c>
      <c r="K112" s="462">
        <v>3834</v>
      </c>
      <c r="L112" s="464">
        <v>160758.70000000001</v>
      </c>
      <c r="M112" s="479">
        <f t="shared" si="3"/>
        <v>1563372.38</v>
      </c>
      <c r="N112" s="462">
        <v>60704.55</v>
      </c>
      <c r="O112" s="464">
        <v>92910.3</v>
      </c>
      <c r="P112" s="462">
        <v>87698.8</v>
      </c>
      <c r="Q112" s="464">
        <v>7593.38</v>
      </c>
      <c r="R112" s="462">
        <v>179292.55</v>
      </c>
      <c r="S112" s="464">
        <v>257.25</v>
      </c>
      <c r="T112" s="462"/>
      <c r="U112" s="464">
        <v>10400</v>
      </c>
      <c r="V112" s="462"/>
      <c r="W112" s="464"/>
      <c r="X112" s="475">
        <f t="shared" si="5"/>
        <v>2002229.21</v>
      </c>
      <c r="Y112" s="483">
        <v>11373.6</v>
      </c>
      <c r="Z112" s="462"/>
      <c r="AA112" s="462">
        <v>105373.85</v>
      </c>
      <c r="AB112" s="462">
        <v>24853.65</v>
      </c>
      <c r="AC112" s="462">
        <v>19691.099999999999</v>
      </c>
      <c r="AD112" s="462">
        <v>19868.900000000001</v>
      </c>
      <c r="AE112" s="462"/>
      <c r="AF112" s="462"/>
      <c r="AG112" s="462">
        <v>15558.95</v>
      </c>
      <c r="AH112" s="462">
        <v>24699.4</v>
      </c>
      <c r="AI112" s="462"/>
      <c r="AJ112" s="462"/>
      <c r="AK112" s="462"/>
      <c r="AL112" s="465">
        <f t="shared" si="4"/>
        <v>221419.45</v>
      </c>
      <c r="AM112" s="489">
        <v>73</v>
      </c>
      <c r="AN112" s="462">
        <v>791</v>
      </c>
      <c r="AO112" s="450">
        <v>-13839.64</v>
      </c>
      <c r="AP112" s="462"/>
      <c r="AQ112" s="450">
        <v>0</v>
      </c>
      <c r="AR112" s="466">
        <v>1.2</v>
      </c>
    </row>
    <row r="113" spans="1:44" x14ac:dyDescent="0.25">
      <c r="A113" s="460">
        <v>5581</v>
      </c>
      <c r="B113" s="461" t="s">
        <v>433</v>
      </c>
      <c r="C113" s="462">
        <v>10113747.57</v>
      </c>
      <c r="D113" s="464">
        <v>1614140.06</v>
      </c>
      <c r="E113" s="462"/>
      <c r="F113" s="464"/>
      <c r="G113" s="462">
        <v>231483.6</v>
      </c>
      <c r="H113" s="464">
        <v>5373.9</v>
      </c>
      <c r="I113" s="462">
        <v>108732.05</v>
      </c>
      <c r="J113" s="464">
        <v>122391.82</v>
      </c>
      <c r="K113" s="462">
        <v>25990.5</v>
      </c>
      <c r="L113" s="464">
        <v>1329110.5</v>
      </c>
      <c r="M113" s="479">
        <f t="shared" si="3"/>
        <v>13550970.000000002</v>
      </c>
      <c r="N113" s="462"/>
      <c r="O113" s="464">
        <v>48882.5</v>
      </c>
      <c r="P113" s="462">
        <v>358353.5</v>
      </c>
      <c r="Q113" s="464">
        <v>54867.66</v>
      </c>
      <c r="R113" s="462">
        <v>239311.6</v>
      </c>
      <c r="S113" s="464"/>
      <c r="T113" s="462"/>
      <c r="U113" s="464">
        <v>16970</v>
      </c>
      <c r="V113" s="462"/>
      <c r="W113" s="464"/>
      <c r="X113" s="475">
        <f t="shared" si="5"/>
        <v>14269355.260000002</v>
      </c>
      <c r="Y113" s="483">
        <v>142377.06</v>
      </c>
      <c r="Z113" s="462"/>
      <c r="AA113" s="462">
        <v>677237.56</v>
      </c>
      <c r="AB113" s="462"/>
      <c r="AC113" s="462">
        <v>539844.94999999995</v>
      </c>
      <c r="AD113" s="462">
        <v>238735.22</v>
      </c>
      <c r="AE113" s="462"/>
      <c r="AF113" s="462"/>
      <c r="AG113" s="462">
        <v>9821.6</v>
      </c>
      <c r="AH113" s="462"/>
      <c r="AI113" s="462">
        <v>72206.55</v>
      </c>
      <c r="AJ113" s="462"/>
      <c r="AK113" s="462"/>
      <c r="AL113" s="465">
        <f t="shared" si="4"/>
        <v>1680222.9400000002</v>
      </c>
      <c r="AM113" s="489">
        <v>69.5</v>
      </c>
      <c r="AN113" s="462">
        <v>3564</v>
      </c>
      <c r="AO113" s="450">
        <v>-158806.78</v>
      </c>
      <c r="AP113" s="462"/>
      <c r="AQ113" s="450">
        <v>-4511.16</v>
      </c>
      <c r="AR113" s="466">
        <v>1.5</v>
      </c>
    </row>
    <row r="114" spans="1:44" x14ac:dyDescent="0.25">
      <c r="A114" s="460">
        <v>5582</v>
      </c>
      <c r="B114" s="461" t="s">
        <v>434</v>
      </c>
      <c r="C114" s="462">
        <v>8894517.3300000001</v>
      </c>
      <c r="D114" s="464">
        <v>943786.42</v>
      </c>
      <c r="E114" s="462"/>
      <c r="F114" s="464"/>
      <c r="G114" s="462">
        <v>3875529.8</v>
      </c>
      <c r="H114" s="464">
        <v>408801.1</v>
      </c>
      <c r="I114" s="462">
        <v>31389.35</v>
      </c>
      <c r="J114" s="464">
        <v>313167.74</v>
      </c>
      <c r="K114" s="462">
        <v>60429.5</v>
      </c>
      <c r="L114" s="464">
        <v>826247.7</v>
      </c>
      <c r="M114" s="479">
        <f t="shared" si="3"/>
        <v>15353868.939999999</v>
      </c>
      <c r="N114" s="462">
        <v>594174.44999999995</v>
      </c>
      <c r="O114" s="464">
        <v>135075.1</v>
      </c>
      <c r="P114" s="462">
        <v>229217.15</v>
      </c>
      <c r="Q114" s="464">
        <v>-1252.8499999999999</v>
      </c>
      <c r="R114" s="462">
        <v>180234.7</v>
      </c>
      <c r="S114" s="464"/>
      <c r="T114" s="462">
        <v>8535.15</v>
      </c>
      <c r="U114" s="464">
        <v>15750</v>
      </c>
      <c r="V114" s="462"/>
      <c r="W114" s="464"/>
      <c r="X114" s="475">
        <f t="shared" si="5"/>
        <v>16515602.639999999</v>
      </c>
      <c r="Y114" s="483">
        <v>-36026.449999999997</v>
      </c>
      <c r="Z114" s="462">
        <v>44897.35</v>
      </c>
      <c r="AA114" s="462">
        <v>742769.74</v>
      </c>
      <c r="AB114" s="462"/>
      <c r="AC114" s="462">
        <v>468963.45</v>
      </c>
      <c r="AD114" s="462"/>
      <c r="AE114" s="462"/>
      <c r="AF114" s="462"/>
      <c r="AG114" s="462"/>
      <c r="AH114" s="462">
        <v>231911.25</v>
      </c>
      <c r="AI114" s="462"/>
      <c r="AJ114" s="462"/>
      <c r="AK114" s="462"/>
      <c r="AL114" s="465">
        <f t="shared" si="4"/>
        <v>1452515.34</v>
      </c>
      <c r="AM114" s="489">
        <v>74.5</v>
      </c>
      <c r="AN114" s="462">
        <v>4347</v>
      </c>
      <c r="AO114" s="450">
        <v>-182778.36</v>
      </c>
      <c r="AP114" s="462"/>
      <c r="AQ114" s="450">
        <v>-357.5</v>
      </c>
      <c r="AR114" s="466">
        <v>1</v>
      </c>
    </row>
    <row r="115" spans="1:44" x14ac:dyDescent="0.25">
      <c r="A115" s="460">
        <v>5583</v>
      </c>
      <c r="B115" s="461" t="s">
        <v>435</v>
      </c>
      <c r="C115" s="462">
        <v>11024725.52</v>
      </c>
      <c r="D115" s="464">
        <v>1429256.51</v>
      </c>
      <c r="E115" s="462"/>
      <c r="F115" s="464"/>
      <c r="G115" s="462">
        <v>4462318.4000000004</v>
      </c>
      <c r="H115" s="464">
        <v>268463.65000000002</v>
      </c>
      <c r="I115" s="462"/>
      <c r="J115" s="464">
        <v>810423.92</v>
      </c>
      <c r="K115" s="462">
        <v>330036.5</v>
      </c>
      <c r="L115" s="464">
        <v>2140589.4</v>
      </c>
      <c r="M115" s="479">
        <f t="shared" si="3"/>
        <v>20465813.899999999</v>
      </c>
      <c r="N115" s="462">
        <v>1524139.45</v>
      </c>
      <c r="O115" s="464">
        <v>119082</v>
      </c>
      <c r="P115" s="462">
        <v>325479</v>
      </c>
      <c r="Q115" s="464">
        <v>119685.05</v>
      </c>
      <c r="R115" s="462">
        <v>322741.15000000002</v>
      </c>
      <c r="S115" s="464"/>
      <c r="T115" s="462"/>
      <c r="U115" s="464">
        <v>51375</v>
      </c>
      <c r="V115" s="462">
        <v>2250</v>
      </c>
      <c r="W115" s="464">
        <v>160113.4</v>
      </c>
      <c r="X115" s="475">
        <f t="shared" si="5"/>
        <v>23090678.949999996</v>
      </c>
      <c r="Y115" s="483">
        <v>706956.7</v>
      </c>
      <c r="Z115" s="462">
        <v>26351</v>
      </c>
      <c r="AA115" s="462"/>
      <c r="AB115" s="462"/>
      <c r="AC115" s="462">
        <v>922727.95</v>
      </c>
      <c r="AD115" s="462">
        <v>1030536</v>
      </c>
      <c r="AE115" s="462">
        <v>1042713</v>
      </c>
      <c r="AF115" s="462">
        <v>1363.05</v>
      </c>
      <c r="AG115" s="462">
        <v>203584.4</v>
      </c>
      <c r="AH115" s="462">
        <v>581548.85</v>
      </c>
      <c r="AI115" s="462"/>
      <c r="AJ115" s="462">
        <v>59194.05</v>
      </c>
      <c r="AK115" s="462"/>
      <c r="AL115" s="465">
        <f t="shared" si="4"/>
        <v>4574974.9999999991</v>
      </c>
      <c r="AM115" s="489">
        <v>65</v>
      </c>
      <c r="AN115" s="462">
        <v>7636</v>
      </c>
      <c r="AO115" s="450">
        <v>-321213.89</v>
      </c>
      <c r="AP115" s="462"/>
      <c r="AQ115" s="450">
        <v>-1105.7</v>
      </c>
      <c r="AR115" s="466">
        <v>1</v>
      </c>
    </row>
    <row r="116" spans="1:44" x14ac:dyDescent="0.25">
      <c r="A116" s="460">
        <v>5584</v>
      </c>
      <c r="B116" s="461" t="s">
        <v>436</v>
      </c>
      <c r="C116" s="462">
        <v>21003743.48</v>
      </c>
      <c r="D116" s="464">
        <v>3566385.54</v>
      </c>
      <c r="E116" s="462"/>
      <c r="F116" s="464"/>
      <c r="G116" s="462">
        <v>1384147.8</v>
      </c>
      <c r="H116" s="464">
        <v>817186.05</v>
      </c>
      <c r="I116" s="462">
        <v>452949.9</v>
      </c>
      <c r="J116" s="464">
        <v>738290.91</v>
      </c>
      <c r="K116" s="462">
        <v>187148.5</v>
      </c>
      <c r="L116" s="464">
        <v>2008204.7</v>
      </c>
      <c r="M116" s="479">
        <f t="shared" si="3"/>
        <v>30158056.879999999</v>
      </c>
      <c r="N116" s="462">
        <v>192165.8</v>
      </c>
      <c r="O116" s="464">
        <v>2477979.5499999998</v>
      </c>
      <c r="P116" s="462">
        <v>1068041.8999999999</v>
      </c>
      <c r="Q116" s="464">
        <v>102824.18</v>
      </c>
      <c r="R116" s="462">
        <v>865144.2</v>
      </c>
      <c r="S116" s="464"/>
      <c r="T116" s="462">
        <v>35402.550000000003</v>
      </c>
      <c r="U116" s="464">
        <v>34680</v>
      </c>
      <c r="V116" s="462">
        <v>396.2</v>
      </c>
      <c r="W116" s="464"/>
      <c r="X116" s="475">
        <f t="shared" si="5"/>
        <v>34934691.260000005</v>
      </c>
      <c r="Y116" s="483">
        <v>631175.71</v>
      </c>
      <c r="Z116" s="462"/>
      <c r="AA116" s="462">
        <v>517403.84</v>
      </c>
      <c r="AB116" s="462"/>
      <c r="AC116" s="462">
        <v>700202.49</v>
      </c>
      <c r="AD116" s="462"/>
      <c r="AE116" s="462"/>
      <c r="AF116" s="462"/>
      <c r="AG116" s="462"/>
      <c r="AH116" s="462">
        <v>259464.14</v>
      </c>
      <c r="AI116" s="462"/>
      <c r="AJ116" s="462"/>
      <c r="AK116" s="462"/>
      <c r="AL116" s="465">
        <f t="shared" si="4"/>
        <v>2108246.1800000002</v>
      </c>
      <c r="AM116" s="489">
        <v>66</v>
      </c>
      <c r="AN116" s="462">
        <v>9297</v>
      </c>
      <c r="AO116" s="450">
        <v>-173912.38</v>
      </c>
      <c r="AP116" s="462"/>
      <c r="AQ116" s="450">
        <v>-11263.02</v>
      </c>
      <c r="AR116" s="466">
        <v>1</v>
      </c>
    </row>
    <row r="117" spans="1:44" x14ac:dyDescent="0.25">
      <c r="A117" s="460">
        <v>5585</v>
      </c>
      <c r="B117" s="461" t="s">
        <v>437</v>
      </c>
      <c r="C117" s="462">
        <v>6083707.6200000001</v>
      </c>
      <c r="D117" s="464">
        <v>3795828.97</v>
      </c>
      <c r="E117" s="462"/>
      <c r="F117" s="464"/>
      <c r="G117" s="462">
        <v>-37735.449999999997</v>
      </c>
      <c r="H117" s="464">
        <v>953.35</v>
      </c>
      <c r="I117" s="462">
        <v>295190.77</v>
      </c>
      <c r="J117" s="464">
        <v>68448.28</v>
      </c>
      <c r="K117" s="462">
        <v>7547.5</v>
      </c>
      <c r="L117" s="487">
        <v>480750</v>
      </c>
      <c r="M117" s="479">
        <f t="shared" si="3"/>
        <v>10694691.039999999</v>
      </c>
      <c r="N117" s="462">
        <v>2901.35</v>
      </c>
      <c r="O117" s="464">
        <v>352886.1</v>
      </c>
      <c r="P117" s="462">
        <v>369119.4</v>
      </c>
      <c r="Q117" s="464">
        <v>7968.23</v>
      </c>
      <c r="R117" s="462">
        <v>503149.05</v>
      </c>
      <c r="S117" s="464"/>
      <c r="T117" s="462"/>
      <c r="U117" s="464">
        <v>6870</v>
      </c>
      <c r="V117" s="462"/>
      <c r="W117" s="464"/>
      <c r="X117" s="475">
        <f t="shared" si="5"/>
        <v>11937585.17</v>
      </c>
      <c r="Y117" s="483">
        <v>122362.6</v>
      </c>
      <c r="Z117" s="462"/>
      <c r="AA117" s="462">
        <v>362431.6</v>
      </c>
      <c r="AB117" s="462"/>
      <c r="AC117" s="462">
        <v>176897.8</v>
      </c>
      <c r="AD117" s="462"/>
      <c r="AE117" s="462"/>
      <c r="AF117" s="462"/>
      <c r="AG117" s="462"/>
      <c r="AH117" s="462"/>
      <c r="AI117" s="462"/>
      <c r="AJ117" s="462"/>
      <c r="AK117" s="462"/>
      <c r="AL117" s="465">
        <f t="shared" si="4"/>
        <v>661692</v>
      </c>
      <c r="AM117" s="489">
        <v>53</v>
      </c>
      <c r="AN117" s="462">
        <v>1448</v>
      </c>
      <c r="AO117" s="450">
        <v>-13169.96</v>
      </c>
      <c r="AP117" s="462"/>
      <c r="AQ117" s="450">
        <v>-7542.65</v>
      </c>
      <c r="AR117" s="493">
        <v>1</v>
      </c>
    </row>
    <row r="118" spans="1:44" x14ac:dyDescent="0.25">
      <c r="A118" s="460">
        <v>5586</v>
      </c>
      <c r="B118" s="461" t="s">
        <v>153</v>
      </c>
      <c r="C118" s="462">
        <v>285089584.47000003</v>
      </c>
      <c r="D118" s="464">
        <v>36770174.090000004</v>
      </c>
      <c r="E118" s="462"/>
      <c r="F118" s="464"/>
      <c r="G118" s="462">
        <v>95388881.200000003</v>
      </c>
      <c r="H118" s="464">
        <v>7505598.0499999998</v>
      </c>
      <c r="I118" s="462">
        <v>4712879.03</v>
      </c>
      <c r="J118" s="464">
        <v>27949815.609999999</v>
      </c>
      <c r="K118" s="462">
        <v>4994475.5</v>
      </c>
      <c r="L118" s="464">
        <v>34774069.850000001</v>
      </c>
      <c r="M118" s="479">
        <f t="shared" si="3"/>
        <v>497185477.80000007</v>
      </c>
      <c r="N118" s="462">
        <v>10836314.949999999</v>
      </c>
      <c r="O118" s="464">
        <v>11758751.1</v>
      </c>
      <c r="P118" s="462">
        <v>7847212.2999999998</v>
      </c>
      <c r="Q118" s="464">
        <v>2110351.9700000002</v>
      </c>
      <c r="R118" s="462">
        <v>5276908.05</v>
      </c>
      <c r="S118" s="464"/>
      <c r="T118" s="462"/>
      <c r="U118" s="464">
        <v>309490</v>
      </c>
      <c r="V118" s="462">
        <v>5840690.5499999998</v>
      </c>
      <c r="W118" s="464"/>
      <c r="X118" s="475">
        <f t="shared" si="5"/>
        <v>541165196.72000015</v>
      </c>
      <c r="Y118" s="483">
        <v>3182696.35</v>
      </c>
      <c r="Z118" s="462"/>
      <c r="AA118" s="462">
        <v>14499876.380000001</v>
      </c>
      <c r="AB118" s="462"/>
      <c r="AC118" s="462">
        <v>21202478.129999999</v>
      </c>
      <c r="AD118" s="462">
        <v>6005295.0999999996</v>
      </c>
      <c r="AE118" s="462"/>
      <c r="AF118" s="462"/>
      <c r="AG118" s="462">
        <v>3683582.35</v>
      </c>
      <c r="AH118" s="462">
        <v>7697863.7800000003</v>
      </c>
      <c r="AI118" s="462">
        <v>7378313.04</v>
      </c>
      <c r="AJ118" s="462">
        <v>1677011.62</v>
      </c>
      <c r="AK118" s="462">
        <v>1677030.22</v>
      </c>
      <c r="AL118" s="465">
        <f t="shared" si="4"/>
        <v>67004146.969999999</v>
      </c>
      <c r="AM118" s="489">
        <v>79</v>
      </c>
      <c r="AN118" s="462">
        <v>137053</v>
      </c>
      <c r="AO118" s="450">
        <v>-7526201.9299999997</v>
      </c>
      <c r="AP118" s="462"/>
      <c r="AQ118" s="450">
        <v>-219351.42</v>
      </c>
      <c r="AR118" s="466">
        <v>1.5</v>
      </c>
    </row>
    <row r="119" spans="1:44" x14ac:dyDescent="0.25">
      <c r="A119" s="460">
        <v>5587</v>
      </c>
      <c r="B119" s="461" t="s">
        <v>154</v>
      </c>
      <c r="C119" s="462">
        <v>21245673.300000001</v>
      </c>
      <c r="D119" s="464">
        <v>3108304.33</v>
      </c>
      <c r="E119" s="462"/>
      <c r="F119" s="464"/>
      <c r="G119" s="462">
        <v>2891698.75</v>
      </c>
      <c r="H119" s="464">
        <v>535367.4</v>
      </c>
      <c r="I119" s="462">
        <v>489915.45</v>
      </c>
      <c r="J119" s="464">
        <v>777442.22</v>
      </c>
      <c r="K119" s="462">
        <v>182070.5</v>
      </c>
      <c r="L119" s="464">
        <v>2391190.0499999998</v>
      </c>
      <c r="M119" s="479">
        <f t="shared" si="3"/>
        <v>31621662</v>
      </c>
      <c r="N119" s="462">
        <v>462043.85</v>
      </c>
      <c r="O119" s="464">
        <v>471083</v>
      </c>
      <c r="P119" s="462">
        <v>1089369.95</v>
      </c>
      <c r="Q119" s="464">
        <v>72598.78</v>
      </c>
      <c r="R119" s="462">
        <v>362440.8</v>
      </c>
      <c r="S119" s="464"/>
      <c r="T119" s="462">
        <v>25809.5</v>
      </c>
      <c r="U119" s="464">
        <v>34250</v>
      </c>
      <c r="V119" s="462"/>
      <c r="W119" s="464"/>
      <c r="X119" s="475">
        <f t="shared" si="5"/>
        <v>34139257.880000003</v>
      </c>
      <c r="Y119" s="483">
        <v>813082</v>
      </c>
      <c r="Z119" s="462"/>
      <c r="AA119" s="462">
        <v>1494286.25</v>
      </c>
      <c r="AB119" s="462"/>
      <c r="AC119" s="462">
        <v>646140.36</v>
      </c>
      <c r="AD119" s="462"/>
      <c r="AE119" s="462"/>
      <c r="AF119" s="462"/>
      <c r="AG119" s="462"/>
      <c r="AH119" s="462">
        <v>288692.78000000003</v>
      </c>
      <c r="AI119" s="462"/>
      <c r="AJ119" s="462"/>
      <c r="AK119" s="462"/>
      <c r="AL119" s="465">
        <f t="shared" si="4"/>
        <v>3242201.3899999997</v>
      </c>
      <c r="AM119" s="489">
        <v>75</v>
      </c>
      <c r="AN119" s="462">
        <v>7881</v>
      </c>
      <c r="AO119" s="450">
        <v>-283461.99</v>
      </c>
      <c r="AP119" s="462"/>
      <c r="AQ119" s="450">
        <v>-11481.91</v>
      </c>
      <c r="AR119" s="466">
        <v>1.2</v>
      </c>
    </row>
    <row r="120" spans="1:44" x14ac:dyDescent="0.25">
      <c r="A120" s="460">
        <v>5588</v>
      </c>
      <c r="B120" s="461" t="s">
        <v>155</v>
      </c>
      <c r="C120" s="462">
        <v>5395474.71</v>
      </c>
      <c r="D120" s="464">
        <v>1779506.57</v>
      </c>
      <c r="E120" s="462"/>
      <c r="F120" s="464"/>
      <c r="G120" s="462">
        <v>1039184.6</v>
      </c>
      <c r="H120" s="464">
        <v>221847.4</v>
      </c>
      <c r="I120" s="462">
        <v>558615.4</v>
      </c>
      <c r="J120" s="464">
        <v>317263.40000000002</v>
      </c>
      <c r="K120" s="462">
        <v>37323.5</v>
      </c>
      <c r="L120" s="464">
        <v>387675.6</v>
      </c>
      <c r="M120" s="479">
        <f t="shared" si="3"/>
        <v>9736891.1799999997</v>
      </c>
      <c r="N120" s="462">
        <v>20109.5</v>
      </c>
      <c r="O120" s="464">
        <v>379750</v>
      </c>
      <c r="P120" s="462">
        <v>77181.5</v>
      </c>
      <c r="Q120" s="464">
        <v>9168.6200000000008</v>
      </c>
      <c r="R120" s="462">
        <v>91613.45</v>
      </c>
      <c r="S120" s="464">
        <v>575</v>
      </c>
      <c r="T120" s="462">
        <v>14032.1</v>
      </c>
      <c r="U120" s="464">
        <v>5475</v>
      </c>
      <c r="V120" s="462"/>
      <c r="W120" s="464"/>
      <c r="X120" s="475">
        <f t="shared" si="5"/>
        <v>10334796.349999998</v>
      </c>
      <c r="Y120" s="483">
        <v>64186.400000000001</v>
      </c>
      <c r="Z120" s="462">
        <v>14736.72</v>
      </c>
      <c r="AA120" s="462">
        <v>113337.56</v>
      </c>
      <c r="AB120" s="462"/>
      <c r="AC120" s="462">
        <v>132765.79999999999</v>
      </c>
      <c r="AD120" s="462">
        <v>62674.26</v>
      </c>
      <c r="AE120" s="462">
        <v>14389.5</v>
      </c>
      <c r="AF120" s="462"/>
      <c r="AG120" s="462"/>
      <c r="AH120" s="462"/>
      <c r="AI120" s="462">
        <v>30559.200000000001</v>
      </c>
      <c r="AJ120" s="462"/>
      <c r="AK120" s="462">
        <v>15279.58</v>
      </c>
      <c r="AL120" s="465">
        <f t="shared" si="4"/>
        <v>447929.02</v>
      </c>
      <c r="AM120" s="489">
        <v>61.5</v>
      </c>
      <c r="AN120" s="462">
        <v>1473</v>
      </c>
      <c r="AO120" s="450">
        <v>-49562.78</v>
      </c>
      <c r="AP120" s="462"/>
      <c r="AQ120" s="450">
        <v>-22608.21</v>
      </c>
      <c r="AR120" s="466">
        <v>0.7</v>
      </c>
    </row>
    <row r="121" spans="1:44" x14ac:dyDescent="0.25">
      <c r="A121" s="460">
        <v>5589</v>
      </c>
      <c r="B121" s="461" t="s">
        <v>156</v>
      </c>
      <c r="C121" s="462">
        <v>17599214.210000001</v>
      </c>
      <c r="D121" s="464">
        <v>1817721.94</v>
      </c>
      <c r="E121" s="462"/>
      <c r="F121" s="464"/>
      <c r="G121" s="462">
        <v>8844078.25</v>
      </c>
      <c r="H121" s="464">
        <v>357710.4</v>
      </c>
      <c r="I121" s="462">
        <v>52862.85</v>
      </c>
      <c r="J121" s="464">
        <v>1751051.54</v>
      </c>
      <c r="K121" s="462">
        <v>349960.5</v>
      </c>
      <c r="L121" s="464">
        <v>1897495.35</v>
      </c>
      <c r="M121" s="479">
        <f t="shared" si="3"/>
        <v>32670095.040000003</v>
      </c>
      <c r="N121" s="462">
        <v>1188811.95</v>
      </c>
      <c r="O121" s="464">
        <v>643056.19999999995</v>
      </c>
      <c r="P121" s="462">
        <v>997131.55</v>
      </c>
      <c r="Q121" s="464">
        <v>94233.13</v>
      </c>
      <c r="R121" s="462">
        <v>822062.6</v>
      </c>
      <c r="S121" s="464">
        <v>38330.25</v>
      </c>
      <c r="T121" s="462"/>
      <c r="U121" s="464">
        <v>37620</v>
      </c>
      <c r="V121" s="462"/>
      <c r="W121" s="464">
        <v>15183.7</v>
      </c>
      <c r="X121" s="475">
        <f t="shared" si="5"/>
        <v>36506524.420000009</v>
      </c>
      <c r="Y121" s="483">
        <v>709649.35</v>
      </c>
      <c r="Z121" s="462"/>
      <c r="AA121" s="462">
        <v>1299100</v>
      </c>
      <c r="AB121" s="462"/>
      <c r="AC121" s="462">
        <v>788122.45</v>
      </c>
      <c r="AD121" s="462"/>
      <c r="AE121" s="462"/>
      <c r="AF121" s="462"/>
      <c r="AG121" s="462"/>
      <c r="AH121" s="462">
        <v>354296.21</v>
      </c>
      <c r="AI121" s="462"/>
      <c r="AJ121" s="462"/>
      <c r="AK121" s="462">
        <v>91104.75</v>
      </c>
      <c r="AL121" s="465">
        <f t="shared" si="4"/>
        <v>3242272.76</v>
      </c>
      <c r="AM121" s="489">
        <v>73.5</v>
      </c>
      <c r="AN121" s="462">
        <v>11871</v>
      </c>
      <c r="AO121" s="450">
        <v>-587908.07999999996</v>
      </c>
      <c r="AP121" s="462"/>
      <c r="AQ121" s="450">
        <v>-14714.01</v>
      </c>
      <c r="AR121" s="466">
        <v>1</v>
      </c>
    </row>
    <row r="122" spans="1:44" x14ac:dyDescent="0.25">
      <c r="A122" s="460">
        <v>5590</v>
      </c>
      <c r="B122" s="461" t="s">
        <v>157</v>
      </c>
      <c r="C122" s="462">
        <v>54343375.619999997</v>
      </c>
      <c r="D122" s="464">
        <v>16237303.130000001</v>
      </c>
      <c r="E122" s="462"/>
      <c r="F122" s="464"/>
      <c r="G122" s="462">
        <v>6551378.9000000004</v>
      </c>
      <c r="H122" s="464">
        <v>327855.25</v>
      </c>
      <c r="I122" s="462">
        <v>3385875.18</v>
      </c>
      <c r="J122" s="464">
        <v>1974307.36</v>
      </c>
      <c r="K122" s="462">
        <v>390224</v>
      </c>
      <c r="L122" s="464">
        <v>3144461.1</v>
      </c>
      <c r="M122" s="479">
        <f t="shared" si="3"/>
        <v>86354780.540000007</v>
      </c>
      <c r="N122" s="462">
        <v>130183.05</v>
      </c>
      <c r="O122" s="464">
        <v>3392751.3</v>
      </c>
      <c r="P122" s="462">
        <v>2938483.9</v>
      </c>
      <c r="Q122" s="464">
        <v>61780.91</v>
      </c>
      <c r="R122" s="462">
        <v>1489359.25</v>
      </c>
      <c r="S122" s="464">
        <v>25439.4</v>
      </c>
      <c r="T122" s="462"/>
      <c r="U122" s="464">
        <v>50350</v>
      </c>
      <c r="V122" s="462"/>
      <c r="W122" s="464"/>
      <c r="X122" s="475">
        <f t="shared" si="5"/>
        <v>94443128.350000009</v>
      </c>
      <c r="Y122" s="483">
        <v>564992.74</v>
      </c>
      <c r="Z122" s="462"/>
      <c r="AA122" s="462">
        <v>3447229.21</v>
      </c>
      <c r="AB122" s="462"/>
      <c r="AC122" s="462">
        <v>2596119</v>
      </c>
      <c r="AD122" s="462">
        <v>261346.28</v>
      </c>
      <c r="AE122" s="462"/>
      <c r="AF122" s="462"/>
      <c r="AG122" s="462">
        <v>59999.1</v>
      </c>
      <c r="AH122" s="462">
        <v>361877.92</v>
      </c>
      <c r="AI122" s="462">
        <v>532468.19999999995</v>
      </c>
      <c r="AJ122" s="462"/>
      <c r="AK122" s="462"/>
      <c r="AL122" s="465">
        <f t="shared" si="4"/>
        <v>7824032.4500000002</v>
      </c>
      <c r="AM122" s="489">
        <v>61</v>
      </c>
      <c r="AN122" s="462">
        <v>17979</v>
      </c>
      <c r="AO122" s="450">
        <v>-586394.19999999995</v>
      </c>
      <c r="AP122" s="462"/>
      <c r="AQ122" s="450">
        <v>-417602.01</v>
      </c>
      <c r="AR122" s="466">
        <v>0.7</v>
      </c>
    </row>
    <row r="123" spans="1:44" x14ac:dyDescent="0.25">
      <c r="A123" s="460">
        <v>5591</v>
      </c>
      <c r="B123" s="461" t="s">
        <v>440</v>
      </c>
      <c r="C123" s="462">
        <v>28113375.739999998</v>
      </c>
      <c r="D123" s="464">
        <v>2748105.13</v>
      </c>
      <c r="E123" s="462"/>
      <c r="F123" s="464"/>
      <c r="G123" s="462">
        <v>4433183.8</v>
      </c>
      <c r="H123" s="464">
        <v>664486.9</v>
      </c>
      <c r="I123" s="462"/>
      <c r="J123" s="464">
        <v>2727847.1</v>
      </c>
      <c r="K123" s="462">
        <v>508166</v>
      </c>
      <c r="L123" s="487">
        <v>4570958.1500000004</v>
      </c>
      <c r="M123" s="479">
        <f t="shared" si="3"/>
        <v>43766122.819999993</v>
      </c>
      <c r="N123" s="462">
        <v>2005010.75</v>
      </c>
      <c r="O123" s="464">
        <v>632766.19999999995</v>
      </c>
      <c r="P123" s="462">
        <v>1307089.7</v>
      </c>
      <c r="Q123" s="464">
        <v>379904.24</v>
      </c>
      <c r="R123" s="462">
        <v>237971.15</v>
      </c>
      <c r="S123" s="464"/>
      <c r="T123" s="462"/>
      <c r="U123" s="464">
        <v>49850</v>
      </c>
      <c r="V123" s="462">
        <v>71033.45</v>
      </c>
      <c r="W123" s="464">
        <v>64466.9</v>
      </c>
      <c r="X123" s="475">
        <f t="shared" si="5"/>
        <v>48514215.210000001</v>
      </c>
      <c r="Y123" s="483">
        <v>177848.9</v>
      </c>
      <c r="Z123" s="462"/>
      <c r="AA123" s="462">
        <v>1418203.5</v>
      </c>
      <c r="AB123" s="462">
        <v>11976</v>
      </c>
      <c r="AC123" s="462">
        <v>2116956.65</v>
      </c>
      <c r="AD123" s="462"/>
      <c r="AE123" s="462"/>
      <c r="AF123" s="462"/>
      <c r="AG123" s="462">
        <v>2861.1</v>
      </c>
      <c r="AH123" s="462">
        <v>556543.78</v>
      </c>
      <c r="AI123" s="462"/>
      <c r="AJ123" s="462"/>
      <c r="AK123" s="462">
        <v>79506.38</v>
      </c>
      <c r="AL123" s="465">
        <f t="shared" si="4"/>
        <v>4363896.3099999996</v>
      </c>
      <c r="AM123" s="489">
        <v>78.5</v>
      </c>
      <c r="AN123" s="462">
        <v>20323</v>
      </c>
      <c r="AO123" s="450">
        <v>-1258865.69</v>
      </c>
      <c r="AP123" s="462"/>
      <c r="AQ123" s="450">
        <v>-3875.18</v>
      </c>
      <c r="AR123" s="466">
        <v>1.4</v>
      </c>
    </row>
    <row r="124" spans="1:44" x14ac:dyDescent="0.25">
      <c r="A124" s="460">
        <v>5592</v>
      </c>
      <c r="B124" s="461" t="s">
        <v>251</v>
      </c>
      <c r="C124" s="462">
        <v>5593234.5700000003</v>
      </c>
      <c r="D124" s="464">
        <v>647755.86</v>
      </c>
      <c r="E124" s="462"/>
      <c r="F124" s="464"/>
      <c r="G124" s="462">
        <v>838035.4</v>
      </c>
      <c r="H124" s="464">
        <v>13806.2</v>
      </c>
      <c r="I124" s="462">
        <v>55126.75</v>
      </c>
      <c r="J124" s="464">
        <v>221770.81</v>
      </c>
      <c r="K124" s="462">
        <v>155449</v>
      </c>
      <c r="L124" s="464">
        <v>734574.75</v>
      </c>
      <c r="M124" s="479">
        <f t="shared" si="3"/>
        <v>8259753.3400000008</v>
      </c>
      <c r="N124" s="462">
        <v>200675.95</v>
      </c>
      <c r="O124" s="464">
        <v>115281.60000000001</v>
      </c>
      <c r="P124" s="462">
        <v>77776.7</v>
      </c>
      <c r="Q124" s="464">
        <v>7131.66</v>
      </c>
      <c r="R124" s="462">
        <v>79314.55</v>
      </c>
      <c r="S124" s="464">
        <v>90</v>
      </c>
      <c r="T124" s="462">
        <v>1720</v>
      </c>
      <c r="U124" s="464">
        <v>17625</v>
      </c>
      <c r="V124" s="462"/>
      <c r="W124" s="464"/>
      <c r="X124" s="475">
        <f t="shared" si="5"/>
        <v>8759368.8000000007</v>
      </c>
      <c r="Y124" s="483"/>
      <c r="Z124" s="462">
        <v>1096.02</v>
      </c>
      <c r="AA124" s="462"/>
      <c r="AB124" s="462"/>
      <c r="AC124" s="462">
        <v>220195.33</v>
      </c>
      <c r="AD124" s="462"/>
      <c r="AE124" s="462">
        <v>524.04999999999995</v>
      </c>
      <c r="AF124" s="462"/>
      <c r="AG124" s="462"/>
      <c r="AH124" s="462">
        <v>97750.74</v>
      </c>
      <c r="AI124" s="462">
        <v>55870.5</v>
      </c>
      <c r="AJ124" s="462">
        <v>41895.31</v>
      </c>
      <c r="AK124" s="462"/>
      <c r="AL124" s="465">
        <f t="shared" si="4"/>
        <v>417331.94999999995</v>
      </c>
      <c r="AM124" s="489">
        <v>70</v>
      </c>
      <c r="AN124" s="462">
        <v>3352</v>
      </c>
      <c r="AO124" s="450">
        <v>-107589.08</v>
      </c>
      <c r="AP124" s="462"/>
      <c r="AQ124" s="450">
        <v>-379.9</v>
      </c>
      <c r="AR124" s="466">
        <v>1</v>
      </c>
    </row>
    <row r="125" spans="1:44" x14ac:dyDescent="0.25">
      <c r="A125" s="460">
        <v>5601</v>
      </c>
      <c r="B125" s="461" t="s">
        <v>341</v>
      </c>
      <c r="C125" s="462">
        <v>4648606.43</v>
      </c>
      <c r="D125" s="464">
        <v>957650.45</v>
      </c>
      <c r="E125" s="462"/>
      <c r="F125" s="464"/>
      <c r="G125" s="462">
        <v>109309.95</v>
      </c>
      <c r="H125" s="464">
        <v>6889</v>
      </c>
      <c r="I125" s="462">
        <v>58811.4</v>
      </c>
      <c r="J125" s="464">
        <v>201028.69</v>
      </c>
      <c r="K125" s="462">
        <v>17718</v>
      </c>
      <c r="L125" s="464">
        <v>406935.9</v>
      </c>
      <c r="M125" s="479">
        <f t="shared" si="3"/>
        <v>6406949.8200000012</v>
      </c>
      <c r="N125" s="462">
        <v>49184.1</v>
      </c>
      <c r="O125" s="464">
        <v>66138.2</v>
      </c>
      <c r="P125" s="462">
        <v>258854.85</v>
      </c>
      <c r="Q125" s="464">
        <v>15387.17</v>
      </c>
      <c r="R125" s="462">
        <v>200664.1</v>
      </c>
      <c r="S125" s="464">
        <v>5903.45</v>
      </c>
      <c r="T125" s="462"/>
      <c r="U125" s="464">
        <v>7125</v>
      </c>
      <c r="V125" s="462"/>
      <c r="W125" s="464"/>
      <c r="X125" s="475">
        <f t="shared" si="5"/>
        <v>7010206.6900000004</v>
      </c>
      <c r="Y125" s="483"/>
      <c r="Z125" s="462">
        <v>13897.87</v>
      </c>
      <c r="AA125" s="462">
        <v>274841.5</v>
      </c>
      <c r="AB125" s="462">
        <v>257103.85</v>
      </c>
      <c r="AC125" s="462">
        <v>130548.15</v>
      </c>
      <c r="AD125" s="462"/>
      <c r="AE125" s="462">
        <v>23154.83</v>
      </c>
      <c r="AF125" s="462"/>
      <c r="AG125" s="462">
        <v>77770.399999999994</v>
      </c>
      <c r="AH125" s="462">
        <v>48777.45</v>
      </c>
      <c r="AI125" s="462"/>
      <c r="AJ125" s="462"/>
      <c r="AK125" s="462"/>
      <c r="AL125" s="465">
        <f>SUM(Z125:AK125)</f>
        <v>826094.04999999993</v>
      </c>
      <c r="AM125" s="489">
        <v>64</v>
      </c>
      <c r="AN125" s="462">
        <v>2235</v>
      </c>
      <c r="AO125" s="450">
        <v>-37454.730000000003</v>
      </c>
      <c r="AP125" s="462"/>
      <c r="AQ125" s="450">
        <v>-1128.02</v>
      </c>
      <c r="AR125" s="466">
        <v>1</v>
      </c>
    </row>
    <row r="126" spans="1:44" x14ac:dyDescent="0.25">
      <c r="A126" s="460">
        <v>5604</v>
      </c>
      <c r="B126" s="461" t="s">
        <v>176</v>
      </c>
      <c r="C126" s="462">
        <v>3444673.45</v>
      </c>
      <c r="D126" s="464">
        <v>445047.56</v>
      </c>
      <c r="E126" s="462"/>
      <c r="F126" s="464"/>
      <c r="G126" s="462">
        <v>458559.9</v>
      </c>
      <c r="H126" s="464">
        <v>2456.9499999999998</v>
      </c>
      <c r="I126" s="462">
        <v>16687.75</v>
      </c>
      <c r="J126" s="464">
        <v>133055.51999999999</v>
      </c>
      <c r="K126" s="462">
        <v>21429</v>
      </c>
      <c r="L126" s="464">
        <v>346655.95</v>
      </c>
      <c r="M126" s="479">
        <f t="shared" si="3"/>
        <v>4868566.08</v>
      </c>
      <c r="N126" s="462">
        <v>17419.25</v>
      </c>
      <c r="O126" s="464">
        <v>28.4</v>
      </c>
      <c r="P126" s="462">
        <v>162588.45000000001</v>
      </c>
      <c r="Q126" s="464">
        <v>51855.24</v>
      </c>
      <c r="R126" s="462">
        <v>127580.6</v>
      </c>
      <c r="S126" s="464">
        <v>875</v>
      </c>
      <c r="T126" s="462">
        <v>3974.25</v>
      </c>
      <c r="U126" s="464">
        <v>21550</v>
      </c>
      <c r="V126" s="462">
        <v>784.4</v>
      </c>
      <c r="W126" s="464"/>
      <c r="X126" s="475">
        <f t="shared" si="5"/>
        <v>5255221.6700000009</v>
      </c>
      <c r="Y126" s="483">
        <v>47163.7</v>
      </c>
      <c r="Z126" s="462">
        <v>4999.6499999999996</v>
      </c>
      <c r="AA126" s="462">
        <v>354520.35</v>
      </c>
      <c r="AB126" s="462"/>
      <c r="AC126" s="462">
        <v>104823.15</v>
      </c>
      <c r="AD126" s="462">
        <v>25842.3</v>
      </c>
      <c r="AE126" s="462">
        <v>4999.6499999999996</v>
      </c>
      <c r="AF126" s="462"/>
      <c r="AG126" s="462">
        <v>10791.8</v>
      </c>
      <c r="AH126" s="462"/>
      <c r="AI126" s="462"/>
      <c r="AJ126" s="462"/>
      <c r="AK126" s="462"/>
      <c r="AL126" s="465">
        <f t="shared" si="4"/>
        <v>553140.60000000009</v>
      </c>
      <c r="AM126" s="489">
        <v>68</v>
      </c>
      <c r="AN126" s="462">
        <v>2066</v>
      </c>
      <c r="AO126" s="450">
        <v>-75956.44</v>
      </c>
      <c r="AP126" s="462"/>
      <c r="AQ126" s="450">
        <v>-121.26</v>
      </c>
      <c r="AR126" s="466">
        <v>1</v>
      </c>
    </row>
    <row r="127" spans="1:44" x14ac:dyDescent="0.25">
      <c r="A127" s="460">
        <v>5606</v>
      </c>
      <c r="B127" s="461" t="s">
        <v>177</v>
      </c>
      <c r="C127" s="462">
        <v>30802948.120000001</v>
      </c>
      <c r="D127" s="464">
        <v>6556985.4000000004</v>
      </c>
      <c r="E127" s="462"/>
      <c r="F127" s="464"/>
      <c r="G127" s="462">
        <v>646461.4</v>
      </c>
      <c r="H127" s="464">
        <v>59084.45</v>
      </c>
      <c r="I127" s="462">
        <v>1371555.22</v>
      </c>
      <c r="J127" s="464">
        <v>635559.05000000005</v>
      </c>
      <c r="K127" s="462">
        <v>133780.5</v>
      </c>
      <c r="L127" s="464">
        <v>1914574.7</v>
      </c>
      <c r="M127" s="479">
        <f t="shared" si="3"/>
        <v>42120948.840000004</v>
      </c>
      <c r="N127" s="462">
        <v>101231.4</v>
      </c>
      <c r="O127" s="464">
        <v>2572560.2000000002</v>
      </c>
      <c r="P127" s="462">
        <v>2027760.6</v>
      </c>
      <c r="Q127" s="464">
        <v>146531.26999999999</v>
      </c>
      <c r="R127" s="462">
        <v>1958080.9</v>
      </c>
      <c r="S127" s="464"/>
      <c r="T127" s="462"/>
      <c r="U127" s="464">
        <v>42550</v>
      </c>
      <c r="V127" s="462"/>
      <c r="W127" s="464"/>
      <c r="X127" s="475">
        <f t="shared" si="5"/>
        <v>48969663.210000008</v>
      </c>
      <c r="Y127" s="483">
        <v>232644.55</v>
      </c>
      <c r="Z127" s="462"/>
      <c r="AA127" s="462">
        <v>1186324.18</v>
      </c>
      <c r="AB127" s="462"/>
      <c r="AC127" s="462">
        <v>1422661.44</v>
      </c>
      <c r="AD127" s="462">
        <v>161900.70000000001</v>
      </c>
      <c r="AE127" s="462"/>
      <c r="AF127" s="462"/>
      <c r="AG127" s="462">
        <v>15016.85</v>
      </c>
      <c r="AH127" s="462">
        <v>279445.7</v>
      </c>
      <c r="AI127" s="462">
        <v>198957.2</v>
      </c>
      <c r="AJ127" s="462">
        <v>79582.899999999994</v>
      </c>
      <c r="AK127" s="462"/>
      <c r="AL127" s="465">
        <f t="shared" si="4"/>
        <v>3576533.5200000005</v>
      </c>
      <c r="AM127" s="489">
        <v>55.5</v>
      </c>
      <c r="AN127" s="462">
        <v>9888</v>
      </c>
      <c r="AO127" s="450">
        <v>-273991.13</v>
      </c>
      <c r="AP127" s="462"/>
      <c r="AQ127" s="450">
        <v>-43036.04</v>
      </c>
      <c r="AR127" s="466">
        <v>0.7</v>
      </c>
    </row>
    <row r="128" spans="1:44" x14ac:dyDescent="0.25">
      <c r="A128" s="460">
        <v>5607</v>
      </c>
      <c r="B128" s="461" t="s">
        <v>343</v>
      </c>
      <c r="C128" s="462">
        <v>4571393.9000000004</v>
      </c>
      <c r="D128" s="464">
        <v>707645.18</v>
      </c>
      <c r="E128" s="462"/>
      <c r="F128" s="464"/>
      <c r="G128" s="462">
        <v>716587.6</v>
      </c>
      <c r="H128" s="464">
        <v>42299.3</v>
      </c>
      <c r="I128" s="462">
        <v>15857.65</v>
      </c>
      <c r="J128" s="464">
        <v>200793.9</v>
      </c>
      <c r="K128" s="462">
        <v>40880</v>
      </c>
      <c r="L128" s="464">
        <v>648010.85</v>
      </c>
      <c r="M128" s="479">
        <f t="shared" si="3"/>
        <v>6943468.3799999999</v>
      </c>
      <c r="N128" s="462">
        <v>153618.65</v>
      </c>
      <c r="O128" s="464">
        <v>431742.6</v>
      </c>
      <c r="P128" s="462">
        <v>222072.9</v>
      </c>
      <c r="Q128" s="464">
        <v>48451.040000000001</v>
      </c>
      <c r="R128" s="462">
        <v>113316.85</v>
      </c>
      <c r="S128" s="464"/>
      <c r="T128" s="462">
        <v>12355.9</v>
      </c>
      <c r="U128" s="464">
        <v>18000</v>
      </c>
      <c r="V128" s="462"/>
      <c r="W128" s="464"/>
      <c r="X128" s="475">
        <f t="shared" si="5"/>
        <v>7943026.3200000003</v>
      </c>
      <c r="Y128" s="483">
        <v>21086.15</v>
      </c>
      <c r="Z128" s="462"/>
      <c r="AA128" s="462">
        <v>188669.95</v>
      </c>
      <c r="AB128" s="462">
        <v>370681.15</v>
      </c>
      <c r="AC128" s="462">
        <v>151344.15</v>
      </c>
      <c r="AD128" s="462">
        <v>28285.05</v>
      </c>
      <c r="AE128" s="462"/>
      <c r="AF128" s="462"/>
      <c r="AG128" s="462">
        <v>49445.599999999999</v>
      </c>
      <c r="AH128" s="462">
        <v>144532.6</v>
      </c>
      <c r="AI128" s="462"/>
      <c r="AJ128" s="462"/>
      <c r="AK128" s="462"/>
      <c r="AL128" s="465">
        <f t="shared" si="4"/>
        <v>954044.65</v>
      </c>
      <c r="AM128" s="489">
        <v>70</v>
      </c>
      <c r="AN128" s="462">
        <v>2874</v>
      </c>
      <c r="AO128" s="450">
        <v>-104323.36</v>
      </c>
      <c r="AP128" s="462"/>
      <c r="AQ128" s="450">
        <v>-2745.46</v>
      </c>
      <c r="AR128" s="466">
        <v>1.1499999999999999</v>
      </c>
    </row>
    <row r="129" spans="1:44" x14ac:dyDescent="0.25">
      <c r="A129" s="460">
        <v>5609</v>
      </c>
      <c r="B129" s="461" t="s">
        <v>161</v>
      </c>
      <c r="C129" s="462">
        <v>855603.75</v>
      </c>
      <c r="D129" s="464">
        <v>137338</v>
      </c>
      <c r="E129" s="462"/>
      <c r="F129" s="464"/>
      <c r="G129" s="462">
        <v>7432.35</v>
      </c>
      <c r="H129" s="464">
        <v>345.55</v>
      </c>
      <c r="I129" s="462"/>
      <c r="J129" s="464">
        <v>32892.160000000003</v>
      </c>
      <c r="K129" s="462">
        <v>1246.5</v>
      </c>
      <c r="L129" s="464">
        <v>48266.6</v>
      </c>
      <c r="M129" s="479">
        <f t="shared" si="3"/>
        <v>1083124.9100000001</v>
      </c>
      <c r="N129" s="462"/>
      <c r="O129" s="464">
        <v>325000</v>
      </c>
      <c r="P129" s="462">
        <v>17291.95</v>
      </c>
      <c r="Q129" s="464"/>
      <c r="R129" s="462">
        <v>33118.6</v>
      </c>
      <c r="S129" s="464"/>
      <c r="T129" s="462"/>
      <c r="U129" s="464">
        <v>350</v>
      </c>
      <c r="V129" s="462"/>
      <c r="W129" s="464"/>
      <c r="X129" s="475">
        <f t="shared" si="5"/>
        <v>1458885.4600000002</v>
      </c>
      <c r="Y129" s="483"/>
      <c r="Z129" s="462">
        <v>-2625</v>
      </c>
      <c r="AA129" s="462">
        <v>35582</v>
      </c>
      <c r="AB129" s="462">
        <v>38734.400000000001</v>
      </c>
      <c r="AC129" s="462">
        <v>21167.01</v>
      </c>
      <c r="AD129" s="462"/>
      <c r="AE129" s="462">
        <v>-4610</v>
      </c>
      <c r="AF129" s="462"/>
      <c r="AG129" s="462">
        <v>7867.5</v>
      </c>
      <c r="AH129" s="462">
        <v>6139.75</v>
      </c>
      <c r="AI129" s="462"/>
      <c r="AJ129" s="462"/>
      <c r="AK129" s="462"/>
      <c r="AL129" s="465">
        <f t="shared" si="4"/>
        <v>102255.65999999999</v>
      </c>
      <c r="AM129" s="489">
        <v>63.5</v>
      </c>
      <c r="AN129" s="462">
        <v>357</v>
      </c>
      <c r="AO129" s="450">
        <v>-10540.78</v>
      </c>
      <c r="AP129" s="462"/>
      <c r="AQ129" s="450">
        <v>-138.24</v>
      </c>
      <c r="AR129" s="466">
        <v>1</v>
      </c>
    </row>
    <row r="130" spans="1:44" x14ac:dyDescent="0.25">
      <c r="A130" s="460">
        <v>5610</v>
      </c>
      <c r="B130" s="461" t="s">
        <v>162</v>
      </c>
      <c r="C130" s="462">
        <v>883466.65</v>
      </c>
      <c r="D130" s="464">
        <v>110081.21</v>
      </c>
      <c r="E130" s="462"/>
      <c r="F130" s="464"/>
      <c r="G130" s="462">
        <v>8837.65</v>
      </c>
      <c r="H130" s="464">
        <v>4116.8</v>
      </c>
      <c r="I130" s="462">
        <v>201987.95</v>
      </c>
      <c r="J130" s="464">
        <v>23299.56</v>
      </c>
      <c r="K130" s="462">
        <v>6587.5</v>
      </c>
      <c r="L130" s="464">
        <v>77885.05</v>
      </c>
      <c r="M130" s="479">
        <f t="shared" si="3"/>
        <v>1316262.3700000001</v>
      </c>
      <c r="N130" s="462"/>
      <c r="O130" s="464">
        <v>1859.9</v>
      </c>
      <c r="P130" s="462">
        <v>98614.6</v>
      </c>
      <c r="Q130" s="464">
        <v>25045.58</v>
      </c>
      <c r="R130" s="462">
        <v>44920</v>
      </c>
      <c r="S130" s="464"/>
      <c r="T130" s="462"/>
      <c r="U130" s="464">
        <v>4350</v>
      </c>
      <c r="V130" s="462"/>
      <c r="W130" s="464"/>
      <c r="X130" s="475">
        <f t="shared" si="5"/>
        <v>1491052.4500000002</v>
      </c>
      <c r="Y130" s="483"/>
      <c r="Z130" s="462"/>
      <c r="AA130" s="462">
        <v>57080.1</v>
      </c>
      <c r="AB130" s="462"/>
      <c r="AC130" s="462"/>
      <c r="AD130" s="462">
        <v>1136.4000000000001</v>
      </c>
      <c r="AE130" s="462"/>
      <c r="AF130" s="462"/>
      <c r="AG130" s="462"/>
      <c r="AH130" s="462"/>
      <c r="AI130" s="462"/>
      <c r="AJ130" s="462"/>
      <c r="AK130" s="462"/>
      <c r="AL130" s="465">
        <f t="shared" si="4"/>
        <v>58216.5</v>
      </c>
      <c r="AM130" s="489">
        <v>67</v>
      </c>
      <c r="AN130" s="462">
        <v>398</v>
      </c>
      <c r="AO130" s="450">
        <v>-741.83</v>
      </c>
      <c r="AP130" s="462"/>
      <c r="AQ130" s="450">
        <v>-49.27</v>
      </c>
      <c r="AR130" s="466">
        <v>1</v>
      </c>
    </row>
    <row r="131" spans="1:44" x14ac:dyDescent="0.25">
      <c r="A131" s="460">
        <v>5611</v>
      </c>
      <c r="B131" s="461" t="s">
        <v>340</v>
      </c>
      <c r="C131" s="462">
        <v>6153749.8499999996</v>
      </c>
      <c r="D131" s="464">
        <v>1112504.8</v>
      </c>
      <c r="E131" s="462"/>
      <c r="F131" s="464"/>
      <c r="G131" s="462">
        <v>323166.40000000002</v>
      </c>
      <c r="H131" s="464">
        <v>8246.7000000000007</v>
      </c>
      <c r="I131" s="462">
        <v>54800.1</v>
      </c>
      <c r="J131" s="464">
        <v>205344.15</v>
      </c>
      <c r="K131" s="462">
        <v>16691</v>
      </c>
      <c r="L131" s="464">
        <v>735963.5</v>
      </c>
      <c r="M131" s="479">
        <f t="shared" si="3"/>
        <v>8610466.5</v>
      </c>
      <c r="N131" s="462">
        <v>135100.65</v>
      </c>
      <c r="O131" s="464">
        <v>75121.8</v>
      </c>
      <c r="P131" s="462">
        <v>283191.15000000002</v>
      </c>
      <c r="Q131" s="464">
        <v>306319.39</v>
      </c>
      <c r="R131" s="462">
        <v>152180.4</v>
      </c>
      <c r="S131" s="464">
        <v>800</v>
      </c>
      <c r="T131" s="462">
        <v>15522.9</v>
      </c>
      <c r="U131" s="464">
        <v>21245</v>
      </c>
      <c r="V131" s="462">
        <v>1398.7</v>
      </c>
      <c r="W131" s="464"/>
      <c r="X131" s="475">
        <f t="shared" si="5"/>
        <v>9601346.4900000021</v>
      </c>
      <c r="Y131" s="483">
        <v>124357.65</v>
      </c>
      <c r="Z131" s="462">
        <v>152</v>
      </c>
      <c r="AA131" s="462"/>
      <c r="AB131" s="462"/>
      <c r="AC131" s="462">
        <v>314915.59999999998</v>
      </c>
      <c r="AD131" s="462">
        <v>37486.050000000003</v>
      </c>
      <c r="AE131" s="462">
        <v>136.1</v>
      </c>
      <c r="AF131" s="462"/>
      <c r="AG131" s="462"/>
      <c r="AH131" s="462"/>
      <c r="AI131" s="462"/>
      <c r="AJ131" s="462"/>
      <c r="AK131" s="462"/>
      <c r="AL131" s="465">
        <f t="shared" si="4"/>
        <v>477047.39999999997</v>
      </c>
      <c r="AM131" s="489">
        <v>69</v>
      </c>
      <c r="AN131" s="462">
        <v>3276</v>
      </c>
      <c r="AO131" s="450">
        <v>-821039.16</v>
      </c>
      <c r="AP131" s="462"/>
      <c r="AQ131" s="450">
        <v>-1003.81</v>
      </c>
      <c r="AR131" s="466">
        <v>1.2</v>
      </c>
    </row>
    <row r="132" spans="1:44" x14ac:dyDescent="0.25">
      <c r="A132" s="460">
        <v>5613</v>
      </c>
      <c r="B132" s="461" t="s">
        <v>486</v>
      </c>
      <c r="C132" s="462">
        <v>13632033.65</v>
      </c>
      <c r="D132" s="464">
        <v>2916746.14</v>
      </c>
      <c r="E132" s="462"/>
      <c r="F132" s="464"/>
      <c r="G132" s="462">
        <v>206345.2</v>
      </c>
      <c r="H132" s="464">
        <v>86823.4</v>
      </c>
      <c r="I132" s="462">
        <v>186407.63</v>
      </c>
      <c r="J132" s="464">
        <v>280727.01</v>
      </c>
      <c r="K132" s="462">
        <v>10445.5</v>
      </c>
      <c r="L132" s="464">
        <v>1881970.65</v>
      </c>
      <c r="M132" s="479">
        <f t="shared" si="3"/>
        <v>19201499.18</v>
      </c>
      <c r="N132" s="462">
        <v>29017</v>
      </c>
      <c r="O132" s="464">
        <v>272737.8</v>
      </c>
      <c r="P132" s="462">
        <v>741613.55</v>
      </c>
      <c r="Q132" s="464">
        <v>29553.360000000001</v>
      </c>
      <c r="R132" s="462">
        <v>828928.2</v>
      </c>
      <c r="S132" s="464">
        <v>2387.9499999999998</v>
      </c>
      <c r="T132" s="462"/>
      <c r="U132" s="464">
        <v>25000</v>
      </c>
      <c r="V132" s="462"/>
      <c r="W132" s="464"/>
      <c r="X132" s="475">
        <f t="shared" si="5"/>
        <v>21130737.039999999</v>
      </c>
      <c r="Y132" s="483">
        <v>-18521.05</v>
      </c>
      <c r="Z132" s="462"/>
      <c r="AA132" s="462">
        <v>868889.1</v>
      </c>
      <c r="AB132" s="462"/>
      <c r="AC132" s="462">
        <v>350507.5</v>
      </c>
      <c r="AD132" s="462">
        <v>86840.45</v>
      </c>
      <c r="AE132" s="462"/>
      <c r="AF132" s="462"/>
      <c r="AG132" s="462">
        <v>167954.9</v>
      </c>
      <c r="AH132" s="462"/>
      <c r="AI132" s="462"/>
      <c r="AJ132" s="462"/>
      <c r="AK132" s="462"/>
      <c r="AL132" s="465">
        <f t="shared" si="4"/>
        <v>1455670.8999999997</v>
      </c>
      <c r="AM132" s="489">
        <v>61</v>
      </c>
      <c r="AN132" s="462">
        <v>5296</v>
      </c>
      <c r="AO132" s="450">
        <v>-183802.38</v>
      </c>
      <c r="AP132" s="462"/>
      <c r="AQ132" s="450">
        <v>-5726.49</v>
      </c>
      <c r="AR132" s="466">
        <v>1.5</v>
      </c>
    </row>
    <row r="133" spans="1:44" x14ac:dyDescent="0.25">
      <c r="A133" s="460">
        <v>5621</v>
      </c>
      <c r="B133" s="461" t="s">
        <v>449</v>
      </c>
      <c r="C133" s="462">
        <v>1058708.0900000001</v>
      </c>
      <c r="D133" s="464">
        <v>120586.77</v>
      </c>
      <c r="E133" s="462"/>
      <c r="F133" s="464"/>
      <c r="G133" s="462">
        <v>148921.79999999999</v>
      </c>
      <c r="H133" s="464">
        <v>5141.3</v>
      </c>
      <c r="I133" s="462"/>
      <c r="J133" s="464">
        <v>44051.42</v>
      </c>
      <c r="K133" s="462">
        <v>18680</v>
      </c>
      <c r="L133" s="464">
        <v>301962.40000000002</v>
      </c>
      <c r="M133" s="479">
        <f t="shared" si="3"/>
        <v>1698051.7800000003</v>
      </c>
      <c r="N133" s="462">
        <v>166682.9</v>
      </c>
      <c r="O133" s="464"/>
      <c r="P133" s="462">
        <v>36549.550000000003</v>
      </c>
      <c r="Q133" s="464"/>
      <c r="R133" s="462">
        <v>34138.400000000001</v>
      </c>
      <c r="S133" s="464"/>
      <c r="T133" s="462">
        <v>899.35</v>
      </c>
      <c r="U133" s="464">
        <v>2600</v>
      </c>
      <c r="V133" s="462"/>
      <c r="W133" s="464"/>
      <c r="X133" s="475">
        <f t="shared" si="5"/>
        <v>1938921.9800000002</v>
      </c>
      <c r="Y133" s="483">
        <v>88710.7</v>
      </c>
      <c r="Z133" s="462"/>
      <c r="AA133" s="462">
        <v>263720.65000000002</v>
      </c>
      <c r="AB133" s="462"/>
      <c r="AC133" s="462">
        <v>43452.5</v>
      </c>
      <c r="AD133" s="462">
        <v>28286.5</v>
      </c>
      <c r="AE133" s="462"/>
      <c r="AF133" s="462"/>
      <c r="AG133" s="462"/>
      <c r="AH133" s="462">
        <v>106674.25</v>
      </c>
      <c r="AI133" s="462"/>
      <c r="AJ133" s="462"/>
      <c r="AK133" s="462"/>
      <c r="AL133" s="465">
        <f t="shared" si="4"/>
        <v>530844.60000000009</v>
      </c>
      <c r="AM133" s="489">
        <v>62</v>
      </c>
      <c r="AN133" s="462">
        <v>521</v>
      </c>
      <c r="AO133" s="450">
        <v>-7752.4</v>
      </c>
      <c r="AP133" s="462"/>
      <c r="AQ133" s="450">
        <v>-1.69</v>
      </c>
      <c r="AR133" s="466">
        <v>1.1000000000000001</v>
      </c>
    </row>
    <row r="134" spans="1:44" x14ac:dyDescent="0.25">
      <c r="A134" s="460">
        <v>5622</v>
      </c>
      <c r="B134" s="461" t="s">
        <v>180</v>
      </c>
      <c r="C134" s="462">
        <v>1514795.32</v>
      </c>
      <c r="D134" s="464">
        <v>166791.39000000001</v>
      </c>
      <c r="E134" s="462"/>
      <c r="F134" s="464"/>
      <c r="G134" s="462">
        <v>326554.55</v>
      </c>
      <c r="H134" s="464">
        <v>50.1</v>
      </c>
      <c r="I134" s="462"/>
      <c r="J134" s="464">
        <v>16389.439999999999</v>
      </c>
      <c r="K134" s="462">
        <v>4789.5</v>
      </c>
      <c r="L134" s="464">
        <v>129043</v>
      </c>
      <c r="M134" s="479">
        <f t="shared" si="3"/>
        <v>2158413.2999999998</v>
      </c>
      <c r="N134" s="462">
        <v>26447.75</v>
      </c>
      <c r="O134" s="464"/>
      <c r="P134" s="462">
        <v>143003.5</v>
      </c>
      <c r="Q134" s="464"/>
      <c r="R134" s="462">
        <v>145973.4</v>
      </c>
      <c r="S134" s="464"/>
      <c r="T134" s="462"/>
      <c r="U134" s="464">
        <v>2260</v>
      </c>
      <c r="V134" s="462"/>
      <c r="W134" s="464"/>
      <c r="X134" s="475">
        <f t="shared" si="5"/>
        <v>2476097.9499999997</v>
      </c>
      <c r="Y134" s="483">
        <v>80948.800000000003</v>
      </c>
      <c r="Z134" s="462"/>
      <c r="AA134" s="462">
        <v>179310.75</v>
      </c>
      <c r="AB134" s="462"/>
      <c r="AC134" s="462">
        <v>64043</v>
      </c>
      <c r="AD134" s="462">
        <v>73880</v>
      </c>
      <c r="AE134" s="462"/>
      <c r="AF134" s="462"/>
      <c r="AG134" s="462"/>
      <c r="AH134" s="462"/>
      <c r="AI134" s="462"/>
      <c r="AJ134" s="462"/>
      <c r="AK134" s="462"/>
      <c r="AL134" s="465">
        <f t="shared" si="4"/>
        <v>398182.55</v>
      </c>
      <c r="AM134" s="489">
        <v>66</v>
      </c>
      <c r="AN134" s="462">
        <v>516</v>
      </c>
      <c r="AO134" s="450">
        <v>-1405.51</v>
      </c>
      <c r="AP134" s="462"/>
      <c r="AQ134" s="450">
        <v>-11.86</v>
      </c>
      <c r="AR134" s="466">
        <v>1</v>
      </c>
    </row>
    <row r="135" spans="1:44" x14ac:dyDescent="0.25">
      <c r="A135" s="460">
        <v>5623</v>
      </c>
      <c r="B135" s="461" t="s">
        <v>181</v>
      </c>
      <c r="C135" s="462">
        <v>2554125.1800000002</v>
      </c>
      <c r="D135" s="464">
        <v>1100832.45</v>
      </c>
      <c r="E135" s="462"/>
      <c r="F135" s="464"/>
      <c r="G135" s="462">
        <v>51682.05</v>
      </c>
      <c r="H135" s="464">
        <v>167720.20000000001</v>
      </c>
      <c r="I135" s="462">
        <v>226919</v>
      </c>
      <c r="J135" s="464">
        <v>20880.25</v>
      </c>
      <c r="K135" s="462">
        <v>-854.65</v>
      </c>
      <c r="L135" s="464">
        <v>302337.55</v>
      </c>
      <c r="M135" s="479">
        <f t="shared" si="3"/>
        <v>4423642.03</v>
      </c>
      <c r="N135" s="462">
        <v>942.3</v>
      </c>
      <c r="O135" s="464">
        <v>1726375</v>
      </c>
      <c r="P135" s="462">
        <v>172508.75</v>
      </c>
      <c r="Q135" s="464">
        <v>290.99</v>
      </c>
      <c r="R135" s="462">
        <v>36443.599999999999</v>
      </c>
      <c r="S135" s="464"/>
      <c r="T135" s="462">
        <v>700</v>
      </c>
      <c r="U135" s="464">
        <v>1250</v>
      </c>
      <c r="V135" s="462"/>
      <c r="W135" s="464"/>
      <c r="X135" s="475">
        <f t="shared" si="5"/>
        <v>6362152.6699999999</v>
      </c>
      <c r="Y135" s="483">
        <v>14018.25</v>
      </c>
      <c r="Z135" s="462"/>
      <c r="AA135" s="462">
        <v>134847.6</v>
      </c>
      <c r="AB135" s="462"/>
      <c r="AC135" s="462">
        <v>106781.2</v>
      </c>
      <c r="AD135" s="462">
        <v>6408</v>
      </c>
      <c r="AE135" s="462"/>
      <c r="AF135" s="462"/>
      <c r="AG135" s="462"/>
      <c r="AH135" s="462"/>
      <c r="AI135" s="462"/>
      <c r="AJ135" s="462"/>
      <c r="AK135" s="462"/>
      <c r="AL135" s="465">
        <f t="shared" si="4"/>
        <v>262055.05</v>
      </c>
      <c r="AM135" s="489">
        <v>53</v>
      </c>
      <c r="AN135" s="462">
        <v>609</v>
      </c>
      <c r="AO135" s="450">
        <v>-1588.75</v>
      </c>
      <c r="AP135" s="462"/>
      <c r="AQ135" s="450">
        <v>-55016.53</v>
      </c>
      <c r="AR135" s="466">
        <v>1</v>
      </c>
    </row>
    <row r="136" spans="1:44" x14ac:dyDescent="0.25">
      <c r="A136" s="460">
        <v>5624</v>
      </c>
      <c r="B136" s="461" t="s">
        <v>501</v>
      </c>
      <c r="C136" s="462">
        <v>12291574.23</v>
      </c>
      <c r="D136" s="464">
        <v>1139492.1000000001</v>
      </c>
      <c r="E136" s="462"/>
      <c r="F136" s="464"/>
      <c r="G136" s="462">
        <v>4583079.25</v>
      </c>
      <c r="H136" s="464">
        <v>97699.95</v>
      </c>
      <c r="I136" s="462"/>
      <c r="J136" s="464">
        <v>729558.58</v>
      </c>
      <c r="K136" s="462">
        <v>272502.5</v>
      </c>
      <c r="L136" s="464">
        <v>1752854.3</v>
      </c>
      <c r="M136" s="479">
        <f t="shared" ref="M136:M199" si="6">SUM(C136:L136)</f>
        <v>20866760.909999996</v>
      </c>
      <c r="N136" s="462">
        <v>1348175.55</v>
      </c>
      <c r="O136" s="464">
        <v>858</v>
      </c>
      <c r="P136" s="462">
        <v>862016.1</v>
      </c>
      <c r="Q136" s="464">
        <v>34941.82</v>
      </c>
      <c r="R136" s="462">
        <v>383787.95</v>
      </c>
      <c r="S136" s="464">
        <v>33331.550000000003</v>
      </c>
      <c r="T136" s="462"/>
      <c r="U136" s="464">
        <v>30840</v>
      </c>
      <c r="V136" s="462"/>
      <c r="W136" s="464"/>
      <c r="X136" s="475">
        <f t="shared" si="5"/>
        <v>23560711.879999999</v>
      </c>
      <c r="Y136" s="483">
        <v>155296.9</v>
      </c>
      <c r="Z136" s="462"/>
      <c r="AA136" s="462">
        <v>422385.01</v>
      </c>
      <c r="AB136" s="462"/>
      <c r="AC136" s="462">
        <v>940194.25</v>
      </c>
      <c r="AD136" s="462">
        <v>149687.9</v>
      </c>
      <c r="AE136" s="462"/>
      <c r="AF136" s="462"/>
      <c r="AG136" s="462">
        <v>309299.3</v>
      </c>
      <c r="AH136" s="462">
        <v>506793.95</v>
      </c>
      <c r="AI136" s="462"/>
      <c r="AJ136" s="462"/>
      <c r="AK136" s="462">
        <v>506800.88</v>
      </c>
      <c r="AL136" s="465">
        <f t="shared" ref="AL136:AL199" si="7">SUM(Y136:AK136)</f>
        <v>2990458.19</v>
      </c>
      <c r="AM136" s="489">
        <v>62</v>
      </c>
      <c r="AN136" s="462">
        <v>8227</v>
      </c>
      <c r="AO136" s="450">
        <v>-185577.75</v>
      </c>
      <c r="AP136" s="462"/>
      <c r="AQ136" s="450">
        <v>-56.72</v>
      </c>
      <c r="AR136" s="466">
        <v>1</v>
      </c>
    </row>
    <row r="137" spans="1:44" x14ac:dyDescent="0.25">
      <c r="A137" s="460">
        <v>5625</v>
      </c>
      <c r="B137" s="461" t="s">
        <v>344</v>
      </c>
      <c r="C137" s="462">
        <v>795427.28</v>
      </c>
      <c r="D137" s="464">
        <v>79463.649999999994</v>
      </c>
      <c r="E137" s="462"/>
      <c r="F137" s="464"/>
      <c r="G137" s="462">
        <v>10794.65</v>
      </c>
      <c r="H137" s="464">
        <v>380.75</v>
      </c>
      <c r="I137" s="462">
        <v>49537.55</v>
      </c>
      <c r="J137" s="464">
        <v>49269.29</v>
      </c>
      <c r="K137" s="462">
        <v>5795</v>
      </c>
      <c r="L137" s="464">
        <v>101720.2</v>
      </c>
      <c r="M137" s="479">
        <f t="shared" si="6"/>
        <v>1092388.3700000001</v>
      </c>
      <c r="N137" s="462"/>
      <c r="O137" s="464"/>
      <c r="P137" s="462">
        <v>83810.100000000006</v>
      </c>
      <c r="Q137" s="464">
        <v>4.8099999999999996</v>
      </c>
      <c r="R137" s="462">
        <v>30053.3</v>
      </c>
      <c r="S137" s="464">
        <v>125</v>
      </c>
      <c r="T137" s="462">
        <v>5637.05</v>
      </c>
      <c r="U137" s="464">
        <v>700</v>
      </c>
      <c r="V137" s="462"/>
      <c r="W137" s="464"/>
      <c r="X137" s="475">
        <f t="shared" ref="X137:X200" si="8">SUM(M137:W137)</f>
        <v>1212718.6300000004</v>
      </c>
      <c r="Y137" s="483">
        <v>28767.599999999999</v>
      </c>
      <c r="Z137" s="462"/>
      <c r="AA137" s="462">
        <v>60739.199999999997</v>
      </c>
      <c r="AB137" s="462"/>
      <c r="AC137" s="462">
        <v>44256.4</v>
      </c>
      <c r="AD137" s="462"/>
      <c r="AE137" s="462"/>
      <c r="AF137" s="462"/>
      <c r="AG137" s="462"/>
      <c r="AH137" s="462"/>
      <c r="AI137" s="462"/>
      <c r="AJ137" s="462"/>
      <c r="AK137" s="462"/>
      <c r="AL137" s="465">
        <f t="shared" si="7"/>
        <v>133763.19999999998</v>
      </c>
      <c r="AM137" s="489">
        <v>78</v>
      </c>
      <c r="AN137" s="462">
        <v>369</v>
      </c>
      <c r="AO137" s="450">
        <v>-3257.56</v>
      </c>
      <c r="AP137" s="462"/>
      <c r="AQ137" s="450">
        <v>0</v>
      </c>
      <c r="AR137" s="466">
        <v>1.2</v>
      </c>
    </row>
    <row r="138" spans="1:44" x14ac:dyDescent="0.25">
      <c r="A138" s="460">
        <v>5627</v>
      </c>
      <c r="B138" s="461" t="s">
        <v>291</v>
      </c>
      <c r="C138" s="462">
        <v>9300799.5800000001</v>
      </c>
      <c r="D138" s="464">
        <v>594542.61</v>
      </c>
      <c r="E138" s="462"/>
      <c r="F138" s="464"/>
      <c r="G138" s="462">
        <v>1772536.95</v>
      </c>
      <c r="H138" s="464">
        <v>162305.79999999999</v>
      </c>
      <c r="I138" s="462"/>
      <c r="J138" s="464">
        <v>999779.97</v>
      </c>
      <c r="K138" s="462">
        <v>205091.20000000001</v>
      </c>
      <c r="L138" s="464">
        <v>1247151.8500000001</v>
      </c>
      <c r="M138" s="479">
        <f t="shared" si="6"/>
        <v>14282207.959999999</v>
      </c>
      <c r="N138" s="462">
        <v>464106.9</v>
      </c>
      <c r="O138" s="464">
        <v>16446.3</v>
      </c>
      <c r="P138" s="462">
        <v>369187.9</v>
      </c>
      <c r="Q138" s="464">
        <v>30588.2</v>
      </c>
      <c r="R138" s="462">
        <v>134238.65</v>
      </c>
      <c r="S138" s="464"/>
      <c r="T138" s="462">
        <v>68647.05</v>
      </c>
      <c r="U138" s="464">
        <v>28050</v>
      </c>
      <c r="V138" s="462">
        <v>1801.8</v>
      </c>
      <c r="W138" s="464">
        <v>666.7</v>
      </c>
      <c r="X138" s="475">
        <f t="shared" si="8"/>
        <v>15395941.460000001</v>
      </c>
      <c r="Y138" s="483">
        <v>336284.55</v>
      </c>
      <c r="Z138" s="462"/>
      <c r="AA138" s="462">
        <v>615453.25</v>
      </c>
      <c r="AB138" s="462"/>
      <c r="AC138" s="462">
        <v>346002.7</v>
      </c>
      <c r="AD138" s="462"/>
      <c r="AE138" s="462"/>
      <c r="AF138" s="462"/>
      <c r="AG138" s="462">
        <v>25586.65</v>
      </c>
      <c r="AH138" s="462"/>
      <c r="AI138" s="462"/>
      <c r="AJ138" s="462"/>
      <c r="AK138" s="462"/>
      <c r="AL138" s="465">
        <f t="shared" si="7"/>
        <v>1323327.1499999999</v>
      </c>
      <c r="AM138" s="489">
        <v>79</v>
      </c>
      <c r="AN138" s="462">
        <v>7543</v>
      </c>
      <c r="AO138" s="450">
        <v>-326890.31</v>
      </c>
      <c r="AP138" s="462"/>
      <c r="AQ138" s="450">
        <v>-290.58999999999997</v>
      </c>
      <c r="AR138" s="466">
        <v>1.5</v>
      </c>
    </row>
    <row r="139" spans="1:44" x14ac:dyDescent="0.25">
      <c r="A139" s="460">
        <v>5628</v>
      </c>
      <c r="B139" s="461" t="s">
        <v>292</v>
      </c>
      <c r="C139" s="462">
        <v>1074883.5</v>
      </c>
      <c r="D139" s="464"/>
      <c r="E139" s="462"/>
      <c r="F139" s="464"/>
      <c r="G139" s="462">
        <v>6881.7</v>
      </c>
      <c r="H139" s="464">
        <v>398.75</v>
      </c>
      <c r="I139" s="462"/>
      <c r="J139" s="464">
        <v>38803.410000000003</v>
      </c>
      <c r="K139" s="462">
        <v>859.5</v>
      </c>
      <c r="L139" s="464">
        <v>65092.55</v>
      </c>
      <c r="M139" s="479">
        <f t="shared" si="6"/>
        <v>1186919.4099999999</v>
      </c>
      <c r="N139" s="462">
        <v>18046</v>
      </c>
      <c r="O139" s="464">
        <v>73843</v>
      </c>
      <c r="P139" s="462">
        <v>631.29999999999995</v>
      </c>
      <c r="Q139" s="464"/>
      <c r="R139" s="462"/>
      <c r="S139" s="464"/>
      <c r="T139" s="462"/>
      <c r="U139" s="464"/>
      <c r="V139" s="462"/>
      <c r="W139" s="464"/>
      <c r="X139" s="475">
        <f t="shared" si="8"/>
        <v>1279439.71</v>
      </c>
      <c r="Y139" s="483">
        <v>10197</v>
      </c>
      <c r="Z139" s="462"/>
      <c r="AA139" s="462">
        <v>66407.8</v>
      </c>
      <c r="AB139" s="462"/>
      <c r="AC139" s="462">
        <v>20583.2</v>
      </c>
      <c r="AD139" s="462"/>
      <c r="AE139" s="462"/>
      <c r="AF139" s="462"/>
      <c r="AG139" s="462"/>
      <c r="AH139" s="462">
        <v>8786.2999999999993</v>
      </c>
      <c r="AI139" s="462"/>
      <c r="AJ139" s="462"/>
      <c r="AK139" s="462"/>
      <c r="AL139" s="465">
        <f t="shared" si="7"/>
        <v>105974.3</v>
      </c>
      <c r="AM139" s="489">
        <v>62</v>
      </c>
      <c r="AN139" s="462">
        <v>343</v>
      </c>
      <c r="AO139" s="450">
        <v>-2769.21</v>
      </c>
      <c r="AP139" s="462"/>
      <c r="AQ139" s="450">
        <v>0</v>
      </c>
      <c r="AR139" s="466">
        <v>0.8</v>
      </c>
    </row>
    <row r="140" spans="1:44" x14ac:dyDescent="0.25">
      <c r="A140" s="460">
        <v>5629</v>
      </c>
      <c r="B140" s="461" t="s">
        <v>184</v>
      </c>
      <c r="C140" s="462">
        <v>482928.5</v>
      </c>
      <c r="D140" s="464">
        <v>49402.1</v>
      </c>
      <c r="E140" s="462"/>
      <c r="F140" s="464"/>
      <c r="G140" s="462">
        <v>8345.5499999999993</v>
      </c>
      <c r="H140" s="464">
        <v>-15.05</v>
      </c>
      <c r="I140" s="462"/>
      <c r="J140" s="464">
        <v>-15100.26</v>
      </c>
      <c r="K140" s="462">
        <v>1599</v>
      </c>
      <c r="L140" s="464">
        <v>34557.1</v>
      </c>
      <c r="M140" s="479">
        <f t="shared" si="6"/>
        <v>561716.93999999994</v>
      </c>
      <c r="N140" s="462"/>
      <c r="O140" s="464">
        <v>51981.1</v>
      </c>
      <c r="P140" s="462">
        <v>19002.95</v>
      </c>
      <c r="Q140" s="464">
        <v>3515.15</v>
      </c>
      <c r="R140" s="462">
        <v>11161.7</v>
      </c>
      <c r="S140" s="464"/>
      <c r="T140" s="462"/>
      <c r="U140" s="464">
        <v>500</v>
      </c>
      <c r="V140" s="462"/>
      <c r="W140" s="464"/>
      <c r="X140" s="475">
        <f t="shared" si="8"/>
        <v>647877.83999999985</v>
      </c>
      <c r="Y140" s="483">
        <v>-1345.45</v>
      </c>
      <c r="Z140" s="462"/>
      <c r="AA140" s="462">
        <v>37191.85</v>
      </c>
      <c r="AB140" s="462"/>
      <c r="AC140" s="462">
        <v>14877.5</v>
      </c>
      <c r="AD140" s="462">
        <v>-699.05</v>
      </c>
      <c r="AE140" s="462"/>
      <c r="AF140" s="462"/>
      <c r="AG140" s="462"/>
      <c r="AH140" s="462"/>
      <c r="AI140" s="462"/>
      <c r="AJ140" s="462"/>
      <c r="AK140" s="462"/>
      <c r="AL140" s="465">
        <f t="shared" si="7"/>
        <v>50024.85</v>
      </c>
      <c r="AM140" s="489">
        <v>75</v>
      </c>
      <c r="AN140" s="462">
        <v>175</v>
      </c>
      <c r="AO140" s="450">
        <v>-18.649999999999999</v>
      </c>
      <c r="AP140" s="462"/>
      <c r="AQ140" s="450">
        <v>0</v>
      </c>
      <c r="AR140" s="466">
        <v>1</v>
      </c>
    </row>
    <row r="141" spans="1:44" x14ac:dyDescent="0.25">
      <c r="A141" s="460">
        <v>5631</v>
      </c>
      <c r="B141" s="461" t="s">
        <v>185</v>
      </c>
      <c r="C141" s="462">
        <v>1980352.39</v>
      </c>
      <c r="D141" s="464">
        <v>479150.99</v>
      </c>
      <c r="E141" s="462"/>
      <c r="F141" s="464"/>
      <c r="G141" s="462">
        <v>67960.95</v>
      </c>
      <c r="H141" s="464">
        <v>-3708.8</v>
      </c>
      <c r="I141" s="462">
        <v>107078.8</v>
      </c>
      <c r="J141" s="464">
        <v>68197.55</v>
      </c>
      <c r="K141" s="462">
        <v>2398</v>
      </c>
      <c r="L141" s="464">
        <v>182669.5</v>
      </c>
      <c r="M141" s="479">
        <f t="shared" si="6"/>
        <v>2884099.38</v>
      </c>
      <c r="N141" s="462"/>
      <c r="O141" s="464">
        <v>181576.7</v>
      </c>
      <c r="P141" s="462">
        <v>340629.6</v>
      </c>
      <c r="Q141" s="464">
        <v>2586.31</v>
      </c>
      <c r="R141" s="462">
        <v>83935.85</v>
      </c>
      <c r="S141" s="464"/>
      <c r="T141" s="462">
        <v>859.75</v>
      </c>
      <c r="U141" s="464">
        <v>1612.5</v>
      </c>
      <c r="V141" s="462"/>
      <c r="W141" s="464"/>
      <c r="X141" s="475">
        <f t="shared" si="8"/>
        <v>3495300.0900000003</v>
      </c>
      <c r="Y141" s="483">
        <v>5320.1</v>
      </c>
      <c r="Z141" s="462"/>
      <c r="AA141" s="462">
        <v>116717</v>
      </c>
      <c r="AB141" s="462"/>
      <c r="AC141" s="462">
        <v>49376.6</v>
      </c>
      <c r="AD141" s="462"/>
      <c r="AE141" s="462"/>
      <c r="AF141" s="462"/>
      <c r="AG141" s="462"/>
      <c r="AH141" s="462"/>
      <c r="AI141" s="462"/>
      <c r="AJ141" s="462"/>
      <c r="AK141" s="462"/>
      <c r="AL141" s="465">
        <f t="shared" si="7"/>
        <v>171413.7</v>
      </c>
      <c r="AM141" s="489">
        <v>68</v>
      </c>
      <c r="AN141" s="462">
        <v>769</v>
      </c>
      <c r="AO141" s="450">
        <v>-14055.28</v>
      </c>
      <c r="AP141" s="462"/>
      <c r="AQ141" s="450">
        <v>-1538.75</v>
      </c>
      <c r="AR141" s="466">
        <v>1</v>
      </c>
    </row>
    <row r="142" spans="1:44" x14ac:dyDescent="0.25">
      <c r="A142" s="460">
        <v>5632</v>
      </c>
      <c r="B142" s="461" t="s">
        <v>186</v>
      </c>
      <c r="C142" s="462">
        <v>3206888.95</v>
      </c>
      <c r="D142" s="464">
        <v>359550.24</v>
      </c>
      <c r="E142" s="462"/>
      <c r="F142" s="464"/>
      <c r="G142" s="462">
        <v>172866.7</v>
      </c>
      <c r="H142" s="464">
        <v>9431.75</v>
      </c>
      <c r="I142" s="462"/>
      <c r="J142" s="464">
        <v>118799.66</v>
      </c>
      <c r="K142" s="462">
        <v>34477</v>
      </c>
      <c r="L142" s="464">
        <v>323937.40000000002</v>
      </c>
      <c r="M142" s="479">
        <f t="shared" si="6"/>
        <v>4225951.7000000011</v>
      </c>
      <c r="N142" s="462">
        <v>120436.9</v>
      </c>
      <c r="O142" s="464">
        <v>230083.20000000001</v>
      </c>
      <c r="P142" s="462">
        <v>68039.05</v>
      </c>
      <c r="Q142" s="464">
        <v>6790.74</v>
      </c>
      <c r="R142" s="462">
        <v>5525.4</v>
      </c>
      <c r="S142" s="464"/>
      <c r="T142" s="462">
        <v>650</v>
      </c>
      <c r="U142" s="464">
        <v>4850</v>
      </c>
      <c r="V142" s="462"/>
      <c r="W142" s="464"/>
      <c r="X142" s="475">
        <f t="shared" si="8"/>
        <v>4662326.9900000021</v>
      </c>
      <c r="Y142" s="483">
        <v>33600</v>
      </c>
      <c r="Z142" s="462">
        <v>13020.4</v>
      </c>
      <c r="AA142" s="462">
        <v>223694.95</v>
      </c>
      <c r="AB142" s="462">
        <v>88576.45</v>
      </c>
      <c r="AC142" s="462">
        <v>112880</v>
      </c>
      <c r="AD142" s="462"/>
      <c r="AE142" s="462"/>
      <c r="AF142" s="462"/>
      <c r="AG142" s="462"/>
      <c r="AH142" s="462">
        <v>52556</v>
      </c>
      <c r="AI142" s="462"/>
      <c r="AJ142" s="462"/>
      <c r="AK142" s="462"/>
      <c r="AL142" s="465">
        <f t="shared" si="7"/>
        <v>524327.80000000005</v>
      </c>
      <c r="AM142" s="489">
        <v>62</v>
      </c>
      <c r="AN142" s="462">
        <v>1624</v>
      </c>
      <c r="AO142" s="450">
        <v>-58960.34</v>
      </c>
      <c r="AP142" s="462"/>
      <c r="AQ142" s="450">
        <v>-557.97</v>
      </c>
      <c r="AR142" s="466">
        <v>1</v>
      </c>
    </row>
    <row r="143" spans="1:44" x14ac:dyDescent="0.25">
      <c r="A143" s="460">
        <v>5633</v>
      </c>
      <c r="B143" s="461" t="s">
        <v>187</v>
      </c>
      <c r="C143" s="462">
        <v>5910692.54</v>
      </c>
      <c r="D143" s="464">
        <v>1214187.43</v>
      </c>
      <c r="E143" s="462"/>
      <c r="F143" s="464"/>
      <c r="G143" s="462">
        <v>670598.66</v>
      </c>
      <c r="H143" s="464">
        <v>156863.70000000001</v>
      </c>
      <c r="I143" s="462"/>
      <c r="J143" s="464">
        <v>218703.02</v>
      </c>
      <c r="K143" s="462">
        <v>21092</v>
      </c>
      <c r="L143" s="464">
        <v>569240.1</v>
      </c>
      <c r="M143" s="479">
        <f t="shared" si="6"/>
        <v>8761377.4499999993</v>
      </c>
      <c r="N143" s="462">
        <v>134469</v>
      </c>
      <c r="O143" s="464">
        <v>54125.3</v>
      </c>
      <c r="P143" s="462">
        <v>280536.7</v>
      </c>
      <c r="Q143" s="464">
        <v>14158.32</v>
      </c>
      <c r="R143" s="462">
        <v>185024.5</v>
      </c>
      <c r="S143" s="464"/>
      <c r="T143" s="462">
        <v>11118.65</v>
      </c>
      <c r="U143" s="464">
        <v>8370</v>
      </c>
      <c r="V143" s="462"/>
      <c r="W143" s="464"/>
      <c r="X143" s="475">
        <f t="shared" si="8"/>
        <v>9449179.9199999999</v>
      </c>
      <c r="Y143" s="483">
        <v>104250</v>
      </c>
      <c r="Z143" s="462"/>
      <c r="AA143" s="462">
        <v>433913.59999999998</v>
      </c>
      <c r="AB143" s="462"/>
      <c r="AC143" s="462">
        <v>165120.19</v>
      </c>
      <c r="AD143" s="462"/>
      <c r="AE143" s="462"/>
      <c r="AF143" s="462"/>
      <c r="AG143" s="462"/>
      <c r="AH143" s="462"/>
      <c r="AI143" s="462"/>
      <c r="AJ143" s="462"/>
      <c r="AK143" s="462"/>
      <c r="AL143" s="465">
        <f t="shared" si="7"/>
        <v>703283.79</v>
      </c>
      <c r="AM143" s="489">
        <v>62</v>
      </c>
      <c r="AN143" s="462">
        <v>2731</v>
      </c>
      <c r="AO143" s="450">
        <v>-123160.11</v>
      </c>
      <c r="AP143" s="485"/>
      <c r="AQ143" s="450">
        <v>0</v>
      </c>
      <c r="AR143" s="466">
        <v>1</v>
      </c>
    </row>
    <row r="144" spans="1:44" x14ac:dyDescent="0.25">
      <c r="A144" s="460">
        <v>5634</v>
      </c>
      <c r="B144" s="461" t="s">
        <v>188</v>
      </c>
      <c r="C144" s="462">
        <v>6652798.4500000002</v>
      </c>
      <c r="D144" s="464">
        <v>1103208.6100000001</v>
      </c>
      <c r="E144" s="462"/>
      <c r="F144" s="464"/>
      <c r="G144" s="462">
        <v>105032.05</v>
      </c>
      <c r="H144" s="464">
        <v>5172.7</v>
      </c>
      <c r="I144" s="462">
        <v>84657.2</v>
      </c>
      <c r="J144" s="464">
        <v>167717.95000000001</v>
      </c>
      <c r="K144" s="462">
        <v>17888.5</v>
      </c>
      <c r="L144" s="464">
        <v>492329.15</v>
      </c>
      <c r="M144" s="479">
        <f t="shared" si="6"/>
        <v>8628804.6100000013</v>
      </c>
      <c r="N144" s="462">
        <v>20791.55</v>
      </c>
      <c r="O144" s="464">
        <v>129027</v>
      </c>
      <c r="P144" s="462">
        <v>605312.1</v>
      </c>
      <c r="Q144" s="464">
        <v>31972.2</v>
      </c>
      <c r="R144" s="462">
        <v>274942.5</v>
      </c>
      <c r="S144" s="464"/>
      <c r="T144" s="462">
        <v>1250</v>
      </c>
      <c r="U144" s="464">
        <v>7400</v>
      </c>
      <c r="V144" s="462"/>
      <c r="W144" s="464"/>
      <c r="X144" s="475">
        <f t="shared" si="8"/>
        <v>9699499.9600000009</v>
      </c>
      <c r="Y144" s="483">
        <v>938719.2</v>
      </c>
      <c r="Z144" s="462"/>
      <c r="AA144" s="462">
        <v>545278.75</v>
      </c>
      <c r="AB144" s="462"/>
      <c r="AC144" s="462">
        <v>175890.15</v>
      </c>
      <c r="AD144" s="462">
        <v>93756.95</v>
      </c>
      <c r="AE144" s="462"/>
      <c r="AF144" s="462"/>
      <c r="AG144" s="462"/>
      <c r="AH144" s="462"/>
      <c r="AI144" s="462"/>
      <c r="AJ144" s="462"/>
      <c r="AK144" s="462"/>
      <c r="AL144" s="465">
        <f t="shared" si="7"/>
        <v>1753645.0499999998</v>
      </c>
      <c r="AM144" s="489">
        <v>68</v>
      </c>
      <c r="AN144" s="462">
        <v>2639</v>
      </c>
      <c r="AO144" s="450">
        <v>-109600.94</v>
      </c>
      <c r="AP144" s="462"/>
      <c r="AQ144" s="450">
        <v>-3629.23</v>
      </c>
      <c r="AR144" s="466">
        <v>1</v>
      </c>
    </row>
    <row r="145" spans="1:44" x14ac:dyDescent="0.25">
      <c r="A145" s="460">
        <v>5635</v>
      </c>
      <c r="B145" s="461" t="s">
        <v>189</v>
      </c>
      <c r="C145" s="462">
        <v>17782239.48</v>
      </c>
      <c r="D145" s="464">
        <v>2466703.25</v>
      </c>
      <c r="E145" s="462"/>
      <c r="F145" s="464"/>
      <c r="G145" s="462">
        <v>3583021.75</v>
      </c>
      <c r="H145" s="464">
        <v>454175.6</v>
      </c>
      <c r="I145" s="462">
        <v>19068.849999999999</v>
      </c>
      <c r="J145" s="464">
        <v>1559861.06</v>
      </c>
      <c r="K145" s="462">
        <v>402579.5</v>
      </c>
      <c r="L145" s="464">
        <v>2037638.45</v>
      </c>
      <c r="M145" s="479">
        <f t="shared" si="6"/>
        <v>28305287.940000001</v>
      </c>
      <c r="N145" s="462">
        <v>1718415.3</v>
      </c>
      <c r="O145" s="464">
        <v>770721.3</v>
      </c>
      <c r="P145" s="462">
        <v>666547.75</v>
      </c>
      <c r="Q145" s="464">
        <v>139320.39000000001</v>
      </c>
      <c r="R145" s="462">
        <v>490704</v>
      </c>
      <c r="S145" s="464"/>
      <c r="T145" s="462">
        <v>61858.2</v>
      </c>
      <c r="U145" s="464">
        <v>42950</v>
      </c>
      <c r="V145" s="462">
        <v>100749.77</v>
      </c>
      <c r="W145" s="464"/>
      <c r="X145" s="475">
        <f t="shared" si="8"/>
        <v>32296554.650000002</v>
      </c>
      <c r="Y145" s="483">
        <v>454969</v>
      </c>
      <c r="Z145" s="462"/>
      <c r="AA145" s="462">
        <v>1422175.2</v>
      </c>
      <c r="AB145" s="462"/>
      <c r="AC145" s="462">
        <v>1286947.1499999999</v>
      </c>
      <c r="AD145" s="462"/>
      <c r="AE145" s="462"/>
      <c r="AF145" s="462"/>
      <c r="AG145" s="462">
        <v>377245.2</v>
      </c>
      <c r="AH145" s="462">
        <v>1200619.1499999999</v>
      </c>
      <c r="AI145" s="462"/>
      <c r="AJ145" s="462"/>
      <c r="AK145" s="462">
        <v>171517.2</v>
      </c>
      <c r="AL145" s="465">
        <f t="shared" si="7"/>
        <v>4913472.8999999994</v>
      </c>
      <c r="AM145" s="489">
        <v>62</v>
      </c>
      <c r="AN145" s="462">
        <v>12340</v>
      </c>
      <c r="AO145" s="450">
        <v>-2224727.37</v>
      </c>
      <c r="AP145" s="462"/>
      <c r="AQ145" s="450">
        <v>-5439.77</v>
      </c>
      <c r="AR145" s="466">
        <v>0.95</v>
      </c>
    </row>
    <row r="146" spans="1:44" x14ac:dyDescent="0.25">
      <c r="A146" s="460">
        <v>5636</v>
      </c>
      <c r="B146" s="461" t="s">
        <v>190</v>
      </c>
      <c r="C146" s="462">
        <v>5367363</v>
      </c>
      <c r="D146" s="464">
        <v>758515.72</v>
      </c>
      <c r="E146" s="462"/>
      <c r="F146" s="464"/>
      <c r="G146" s="462">
        <v>1573486.95</v>
      </c>
      <c r="H146" s="464">
        <v>96282.95</v>
      </c>
      <c r="I146" s="462">
        <v>75875.600000000006</v>
      </c>
      <c r="J146" s="464">
        <v>339228.27</v>
      </c>
      <c r="K146" s="462">
        <v>158075.5</v>
      </c>
      <c r="L146" s="464">
        <v>982625.5</v>
      </c>
      <c r="M146" s="479">
        <f t="shared" si="6"/>
        <v>9351453.4900000002</v>
      </c>
      <c r="N146" s="462">
        <v>521446.40000000002</v>
      </c>
      <c r="O146" s="464">
        <v>4455438.8499999996</v>
      </c>
      <c r="P146" s="462">
        <v>379384.8</v>
      </c>
      <c r="Q146" s="464">
        <v>24754.65</v>
      </c>
      <c r="R146" s="462">
        <v>167571.25</v>
      </c>
      <c r="S146" s="464"/>
      <c r="T146" s="462">
        <v>36318.65</v>
      </c>
      <c r="U146" s="464">
        <v>7050</v>
      </c>
      <c r="V146" s="462"/>
      <c r="W146" s="464"/>
      <c r="X146" s="475">
        <f t="shared" si="8"/>
        <v>14943418.090000002</v>
      </c>
      <c r="Y146" s="483">
        <v>143682.70000000001</v>
      </c>
      <c r="Z146" s="462"/>
      <c r="AA146" s="462">
        <v>487420</v>
      </c>
      <c r="AB146" s="462"/>
      <c r="AC146" s="462">
        <v>117523.15</v>
      </c>
      <c r="AD146" s="462">
        <v>139147</v>
      </c>
      <c r="AE146" s="462"/>
      <c r="AF146" s="462"/>
      <c r="AG146" s="462"/>
      <c r="AH146" s="462">
        <v>172854.6</v>
      </c>
      <c r="AI146" s="462"/>
      <c r="AJ146" s="462"/>
      <c r="AK146" s="462"/>
      <c r="AL146" s="465">
        <f t="shared" si="7"/>
        <v>1060627.45</v>
      </c>
      <c r="AM146" s="489">
        <v>61</v>
      </c>
      <c r="AN146" s="462">
        <v>2906</v>
      </c>
      <c r="AO146" s="450">
        <v>-173716.56</v>
      </c>
      <c r="AP146" s="462"/>
      <c r="AQ146" s="450">
        <v>-346.66</v>
      </c>
      <c r="AR146" s="466">
        <v>1</v>
      </c>
    </row>
    <row r="147" spans="1:44" x14ac:dyDescent="0.25">
      <c r="A147" s="460">
        <v>5637</v>
      </c>
      <c r="B147" s="461" t="s">
        <v>191</v>
      </c>
      <c r="C147" s="462">
        <v>2055782.51</v>
      </c>
      <c r="D147" s="464">
        <v>249147.21</v>
      </c>
      <c r="E147" s="462"/>
      <c r="F147" s="464"/>
      <c r="G147" s="462">
        <v>81554.8</v>
      </c>
      <c r="H147" s="464">
        <v>193.05</v>
      </c>
      <c r="I147" s="462"/>
      <c r="J147" s="464">
        <v>109806.95</v>
      </c>
      <c r="K147" s="462">
        <v>4183.5</v>
      </c>
      <c r="L147" s="464">
        <v>261976.6</v>
      </c>
      <c r="M147" s="479">
        <f t="shared" si="6"/>
        <v>2762644.62</v>
      </c>
      <c r="N147" s="462">
        <v>265599.65000000002</v>
      </c>
      <c r="O147" s="464">
        <v>0</v>
      </c>
      <c r="P147" s="462">
        <v>70531.25</v>
      </c>
      <c r="Q147" s="464"/>
      <c r="R147" s="462">
        <v>47470.2</v>
      </c>
      <c r="S147" s="464"/>
      <c r="T147" s="462">
        <v>972.25</v>
      </c>
      <c r="U147" s="464">
        <v>4080</v>
      </c>
      <c r="V147" s="462"/>
      <c r="W147" s="464"/>
      <c r="X147" s="475">
        <f t="shared" si="8"/>
        <v>3151297.97</v>
      </c>
      <c r="Y147" s="483">
        <v>21976.05</v>
      </c>
      <c r="Z147" s="462"/>
      <c r="AA147" s="462">
        <v>167123.04999999999</v>
      </c>
      <c r="AB147" s="462"/>
      <c r="AC147" s="462">
        <v>107427.3</v>
      </c>
      <c r="AD147" s="462">
        <v>23713.25</v>
      </c>
      <c r="AE147" s="462"/>
      <c r="AF147" s="462"/>
      <c r="AG147" s="462"/>
      <c r="AH147" s="462">
        <v>36939.9</v>
      </c>
      <c r="AI147" s="462"/>
      <c r="AJ147" s="462"/>
      <c r="AK147" s="462"/>
      <c r="AL147" s="465">
        <f t="shared" si="7"/>
        <v>357179.55</v>
      </c>
      <c r="AM147" s="489">
        <v>74.5</v>
      </c>
      <c r="AN147" s="462">
        <v>1006</v>
      </c>
      <c r="AO147" s="450">
        <v>-8888.19</v>
      </c>
      <c r="AP147" s="462"/>
      <c r="AQ147" s="450">
        <v>-164.58</v>
      </c>
      <c r="AR147" s="466">
        <v>1.5</v>
      </c>
    </row>
    <row r="148" spans="1:44" x14ac:dyDescent="0.25">
      <c r="A148" s="460">
        <v>5638</v>
      </c>
      <c r="B148" s="461" t="s">
        <v>192</v>
      </c>
      <c r="C148" s="462">
        <v>4733149.12</v>
      </c>
      <c r="D148" s="464">
        <v>1118529.48</v>
      </c>
      <c r="E148" s="462"/>
      <c r="F148" s="464"/>
      <c r="G148" s="462">
        <v>1354059.4</v>
      </c>
      <c r="H148" s="464">
        <v>100004.3</v>
      </c>
      <c r="I148" s="462">
        <v>184173.85</v>
      </c>
      <c r="J148" s="464">
        <v>182171.58</v>
      </c>
      <c r="K148" s="462">
        <v>28415</v>
      </c>
      <c r="L148" s="464">
        <v>605283.15</v>
      </c>
      <c r="M148" s="479">
        <f t="shared" si="6"/>
        <v>8305785.8799999999</v>
      </c>
      <c r="N148" s="462">
        <v>173908.2</v>
      </c>
      <c r="O148" s="464">
        <v>2138901.2999999998</v>
      </c>
      <c r="P148" s="462">
        <v>467534.2</v>
      </c>
      <c r="Q148" s="464">
        <v>9260.57</v>
      </c>
      <c r="R148" s="462">
        <v>87471.05</v>
      </c>
      <c r="S148" s="464"/>
      <c r="T148" s="462">
        <v>5481.7</v>
      </c>
      <c r="U148" s="464">
        <v>11400</v>
      </c>
      <c r="V148" s="462"/>
      <c r="W148" s="464"/>
      <c r="X148" s="475">
        <f t="shared" si="8"/>
        <v>11199742.899999999</v>
      </c>
      <c r="Y148" s="483">
        <v>110118.6</v>
      </c>
      <c r="Z148" s="462"/>
      <c r="AA148" s="462"/>
      <c r="AB148" s="462">
        <v>513922.15</v>
      </c>
      <c r="AC148" s="462">
        <v>286565.5</v>
      </c>
      <c r="AD148" s="462"/>
      <c r="AE148" s="462"/>
      <c r="AF148" s="462"/>
      <c r="AG148" s="462"/>
      <c r="AH148" s="462"/>
      <c r="AI148" s="462"/>
      <c r="AJ148" s="462"/>
      <c r="AK148" s="462"/>
      <c r="AL148" s="465">
        <f t="shared" si="7"/>
        <v>910606.25</v>
      </c>
      <c r="AM148" s="489">
        <v>55</v>
      </c>
      <c r="AN148" s="462">
        <v>2530</v>
      </c>
      <c r="AO148" s="450">
        <v>-4570.74</v>
      </c>
      <c r="AP148" s="462"/>
      <c r="AQ148" s="450">
        <v>-12389.09</v>
      </c>
      <c r="AR148" s="466">
        <v>1</v>
      </c>
    </row>
    <row r="149" spans="1:44" x14ac:dyDescent="0.25">
      <c r="A149" s="460">
        <v>5639</v>
      </c>
      <c r="B149" s="461" t="s">
        <v>193</v>
      </c>
      <c r="C149" s="462">
        <v>2045451.81</v>
      </c>
      <c r="D149" s="464">
        <v>363815.05</v>
      </c>
      <c r="E149" s="462"/>
      <c r="F149" s="464"/>
      <c r="G149" s="462">
        <v>82099.5</v>
      </c>
      <c r="H149" s="464">
        <v>3521.5</v>
      </c>
      <c r="I149" s="462"/>
      <c r="J149" s="464">
        <v>10707.99</v>
      </c>
      <c r="K149" s="462">
        <v>2965</v>
      </c>
      <c r="L149" s="464">
        <v>225862.35</v>
      </c>
      <c r="M149" s="479">
        <f t="shared" si="6"/>
        <v>2734423.2</v>
      </c>
      <c r="N149" s="462"/>
      <c r="O149" s="464">
        <v>26672.2</v>
      </c>
      <c r="P149" s="462">
        <v>71985.95</v>
      </c>
      <c r="Q149" s="464"/>
      <c r="R149" s="462">
        <v>49166.45</v>
      </c>
      <c r="S149" s="464"/>
      <c r="T149" s="462">
        <v>97.25</v>
      </c>
      <c r="U149" s="464">
        <v>2375</v>
      </c>
      <c r="V149" s="462"/>
      <c r="W149" s="464"/>
      <c r="X149" s="475">
        <f t="shared" si="8"/>
        <v>2884720.0500000007</v>
      </c>
      <c r="Y149" s="483">
        <v>1058.25</v>
      </c>
      <c r="Z149" s="462"/>
      <c r="AA149" s="462">
        <v>109080.05</v>
      </c>
      <c r="AB149" s="462"/>
      <c r="AC149" s="462">
        <v>61975</v>
      </c>
      <c r="AD149" s="462"/>
      <c r="AE149" s="462"/>
      <c r="AF149" s="462"/>
      <c r="AG149" s="462"/>
      <c r="AH149" s="462"/>
      <c r="AI149" s="462"/>
      <c r="AJ149" s="462"/>
      <c r="AK149" s="462"/>
      <c r="AL149" s="465">
        <f t="shared" si="7"/>
        <v>172113.3</v>
      </c>
      <c r="AM149" s="489">
        <v>61</v>
      </c>
      <c r="AN149" s="462">
        <v>785</v>
      </c>
      <c r="AO149" s="450">
        <v>-144104.69</v>
      </c>
      <c r="AP149" s="462"/>
      <c r="AQ149" s="450">
        <v>0</v>
      </c>
      <c r="AR149" s="466">
        <v>1.25</v>
      </c>
    </row>
    <row r="150" spans="1:44" x14ac:dyDescent="0.25">
      <c r="A150" s="460">
        <v>5640</v>
      </c>
      <c r="B150" s="461" t="s">
        <v>194</v>
      </c>
      <c r="C150" s="462">
        <v>2470460.0099999998</v>
      </c>
      <c r="D150" s="464">
        <v>442352.74</v>
      </c>
      <c r="E150" s="462"/>
      <c r="F150" s="464"/>
      <c r="G150" s="462">
        <v>295462.05</v>
      </c>
      <c r="H150" s="464">
        <v>3610.75</v>
      </c>
      <c r="I150" s="462">
        <v>172769.75</v>
      </c>
      <c r="J150" s="464">
        <v>20946.87</v>
      </c>
      <c r="K150" s="462">
        <v>3465.5</v>
      </c>
      <c r="L150" s="464">
        <v>173800.65</v>
      </c>
      <c r="M150" s="479">
        <f t="shared" si="6"/>
        <v>3582868.32</v>
      </c>
      <c r="N150" s="462">
        <v>20362.95</v>
      </c>
      <c r="O150" s="464">
        <v>109938.2</v>
      </c>
      <c r="P150" s="462">
        <v>126017.05</v>
      </c>
      <c r="Q150" s="464"/>
      <c r="R150" s="462">
        <v>138804.5</v>
      </c>
      <c r="S150" s="464"/>
      <c r="T150" s="462"/>
      <c r="U150" s="464">
        <v>4100</v>
      </c>
      <c r="V150" s="462"/>
      <c r="W150" s="464"/>
      <c r="X150" s="475">
        <f t="shared" si="8"/>
        <v>3982091.02</v>
      </c>
      <c r="Y150" s="483">
        <v>20244.55</v>
      </c>
      <c r="Z150" s="462"/>
      <c r="AA150" s="462">
        <v>66938.05</v>
      </c>
      <c r="AB150" s="462"/>
      <c r="AC150" s="462">
        <v>37163.5</v>
      </c>
      <c r="AD150" s="462"/>
      <c r="AE150" s="462"/>
      <c r="AF150" s="462"/>
      <c r="AG150" s="462"/>
      <c r="AH150" s="462"/>
      <c r="AI150" s="462"/>
      <c r="AJ150" s="462"/>
      <c r="AK150" s="462"/>
      <c r="AL150" s="465">
        <f t="shared" si="7"/>
        <v>124346.1</v>
      </c>
      <c r="AM150" s="489">
        <v>66</v>
      </c>
      <c r="AN150" s="462">
        <v>644</v>
      </c>
      <c r="AO150" s="450">
        <v>-5232.91</v>
      </c>
      <c r="AP150" s="462"/>
      <c r="AQ150" s="450">
        <v>-2047.95</v>
      </c>
      <c r="AR150" s="466">
        <v>1</v>
      </c>
    </row>
    <row r="151" spans="1:44" x14ac:dyDescent="0.25">
      <c r="A151" s="460">
        <v>5642</v>
      </c>
      <c r="B151" s="461" t="s">
        <v>195</v>
      </c>
      <c r="C151" s="462">
        <v>33462717.93</v>
      </c>
      <c r="D151" s="464">
        <v>5053552.82</v>
      </c>
      <c r="E151" s="462"/>
      <c r="F151" s="464"/>
      <c r="G151" s="462">
        <v>8906469.8000000007</v>
      </c>
      <c r="H151" s="464">
        <v>549511.6</v>
      </c>
      <c r="I151" s="462">
        <v>604864.14</v>
      </c>
      <c r="J151" s="464">
        <v>2122272.9</v>
      </c>
      <c r="K151" s="462">
        <v>382545.5</v>
      </c>
      <c r="L151" s="464">
        <v>3036282.15</v>
      </c>
      <c r="M151" s="479">
        <f t="shared" si="6"/>
        <v>54118216.839999996</v>
      </c>
      <c r="N151" s="462">
        <v>1269504.8500000001</v>
      </c>
      <c r="O151" s="464">
        <v>1658467.8</v>
      </c>
      <c r="P151" s="462">
        <v>1251388.55</v>
      </c>
      <c r="Q151" s="464">
        <v>130637.43</v>
      </c>
      <c r="R151" s="462">
        <v>1318625.05</v>
      </c>
      <c r="S151" s="464">
        <v>86075</v>
      </c>
      <c r="T151" s="462"/>
      <c r="U151" s="464">
        <v>42120</v>
      </c>
      <c r="V151" s="462"/>
      <c r="W151" s="464"/>
      <c r="X151" s="475">
        <f t="shared" si="8"/>
        <v>59875035.519999988</v>
      </c>
      <c r="Y151" s="483">
        <v>369148.4</v>
      </c>
      <c r="Z151" s="462"/>
      <c r="AA151" s="462">
        <v>2808921.15</v>
      </c>
      <c r="AB151" s="462"/>
      <c r="AC151" s="462">
        <v>1062930</v>
      </c>
      <c r="AD151" s="462">
        <v>380621.6</v>
      </c>
      <c r="AE151" s="462"/>
      <c r="AF151" s="462"/>
      <c r="AG151" s="462">
        <v>227680</v>
      </c>
      <c r="AH151" s="462"/>
      <c r="AI151" s="462"/>
      <c r="AJ151" s="462"/>
      <c r="AK151" s="462"/>
      <c r="AL151" s="465">
        <f t="shared" si="7"/>
        <v>4849301.1499999994</v>
      </c>
      <c r="AM151" s="489">
        <v>68.5</v>
      </c>
      <c r="AN151" s="462">
        <v>15819</v>
      </c>
      <c r="AO151" s="450">
        <v>-659973.52</v>
      </c>
      <c r="AP151" s="462"/>
      <c r="AQ151" s="450">
        <v>-37045.53</v>
      </c>
      <c r="AR151" s="466">
        <v>1</v>
      </c>
    </row>
    <row r="152" spans="1:44" x14ac:dyDescent="0.25">
      <c r="A152" s="460">
        <v>5643</v>
      </c>
      <c r="B152" s="461" t="s">
        <v>196</v>
      </c>
      <c r="C152" s="462">
        <v>12076865.27</v>
      </c>
      <c r="D152" s="464">
        <v>1975697.7</v>
      </c>
      <c r="E152" s="462"/>
      <c r="F152" s="464"/>
      <c r="G152" s="462">
        <v>887391.7</v>
      </c>
      <c r="H152" s="464">
        <v>23605.35</v>
      </c>
      <c r="I152" s="462">
        <v>329188.25</v>
      </c>
      <c r="J152" s="464">
        <v>479795.29</v>
      </c>
      <c r="K152" s="462">
        <v>107756.5</v>
      </c>
      <c r="L152" s="464">
        <v>1059050.1499999999</v>
      </c>
      <c r="M152" s="479">
        <f t="shared" si="6"/>
        <v>16939350.209999997</v>
      </c>
      <c r="N152" s="462">
        <v>204178.25</v>
      </c>
      <c r="O152" s="464">
        <v>4785</v>
      </c>
      <c r="P152" s="462">
        <v>587553.85</v>
      </c>
      <c r="Q152" s="464">
        <v>34630.67</v>
      </c>
      <c r="R152" s="462">
        <v>381651.1</v>
      </c>
      <c r="S152" s="464">
        <v>425</v>
      </c>
      <c r="T152" s="462">
        <v>4970</v>
      </c>
      <c r="U152" s="464">
        <v>18135</v>
      </c>
      <c r="V152" s="462"/>
      <c r="W152" s="464"/>
      <c r="X152" s="475">
        <f t="shared" si="8"/>
        <v>18175679.080000002</v>
      </c>
      <c r="Y152" s="483">
        <v>115985.65</v>
      </c>
      <c r="Z152" s="462"/>
      <c r="AA152" s="462">
        <v>874423.23</v>
      </c>
      <c r="AB152" s="462"/>
      <c r="AC152" s="462">
        <v>404011.65</v>
      </c>
      <c r="AD152" s="462"/>
      <c r="AE152" s="462"/>
      <c r="AF152" s="462"/>
      <c r="AG152" s="462"/>
      <c r="AH152" s="462">
        <v>120112</v>
      </c>
      <c r="AI152" s="462"/>
      <c r="AJ152" s="462"/>
      <c r="AK152" s="462"/>
      <c r="AL152" s="465">
        <f t="shared" si="7"/>
        <v>1514532.53</v>
      </c>
      <c r="AM152" s="489">
        <v>64</v>
      </c>
      <c r="AN152" s="462">
        <v>5276</v>
      </c>
      <c r="AO152" s="450">
        <v>-148667.34</v>
      </c>
      <c r="AP152" s="462"/>
      <c r="AQ152" s="450">
        <v>-7398.71</v>
      </c>
      <c r="AR152" s="466">
        <v>1</v>
      </c>
    </row>
    <row r="153" spans="1:44" x14ac:dyDescent="0.25">
      <c r="A153" s="460">
        <v>5644</v>
      </c>
      <c r="B153" s="461" t="s">
        <v>355</v>
      </c>
      <c r="C153" s="462">
        <v>833553.2</v>
      </c>
      <c r="D153" s="464">
        <v>103997.88</v>
      </c>
      <c r="E153" s="462"/>
      <c r="F153" s="464"/>
      <c r="G153" s="462">
        <v>54806.400000000001</v>
      </c>
      <c r="H153" s="464">
        <v>121.85</v>
      </c>
      <c r="I153" s="462"/>
      <c r="J153" s="464">
        <v>16885.34</v>
      </c>
      <c r="K153" s="462">
        <v>-389.5</v>
      </c>
      <c r="L153" s="464">
        <v>65769.25</v>
      </c>
      <c r="M153" s="479">
        <f t="shared" si="6"/>
        <v>1074744.42</v>
      </c>
      <c r="N153" s="462">
        <v>10960.05</v>
      </c>
      <c r="O153" s="464">
        <v>4842</v>
      </c>
      <c r="P153" s="462">
        <v>30664.1</v>
      </c>
      <c r="Q153" s="464"/>
      <c r="R153" s="462">
        <v>21084.25</v>
      </c>
      <c r="S153" s="464"/>
      <c r="T153" s="462">
        <v>610</v>
      </c>
      <c r="U153" s="464">
        <v>2750</v>
      </c>
      <c r="V153" s="462"/>
      <c r="W153" s="464"/>
      <c r="X153" s="475">
        <f t="shared" si="8"/>
        <v>1145654.82</v>
      </c>
      <c r="Y153" s="483">
        <v>22161</v>
      </c>
      <c r="Z153" s="462"/>
      <c r="AA153" s="462">
        <v>61520.55</v>
      </c>
      <c r="AB153" s="462"/>
      <c r="AC153" s="462">
        <v>34800</v>
      </c>
      <c r="AD153" s="462">
        <v>15906</v>
      </c>
      <c r="AE153" s="462"/>
      <c r="AF153" s="462"/>
      <c r="AG153" s="462"/>
      <c r="AH153" s="462">
        <v>6511.15</v>
      </c>
      <c r="AI153" s="462"/>
      <c r="AJ153" s="462"/>
      <c r="AK153" s="462"/>
      <c r="AL153" s="465">
        <f t="shared" si="7"/>
        <v>140898.69999999998</v>
      </c>
      <c r="AM153" s="489">
        <v>76</v>
      </c>
      <c r="AN153" s="462">
        <v>368</v>
      </c>
      <c r="AO153" s="450">
        <v>-950.83</v>
      </c>
      <c r="AP153" s="462"/>
      <c r="AQ153" s="450">
        <v>-0.21</v>
      </c>
      <c r="AR153" s="466">
        <v>1</v>
      </c>
    </row>
    <row r="154" spans="1:44" x14ac:dyDescent="0.25">
      <c r="A154" s="460">
        <v>5645</v>
      </c>
      <c r="B154" s="461" t="s">
        <v>356</v>
      </c>
      <c r="C154" s="462">
        <v>1015093.68</v>
      </c>
      <c r="D154" s="464">
        <v>158788.49</v>
      </c>
      <c r="E154" s="462"/>
      <c r="F154" s="464"/>
      <c r="G154" s="462">
        <v>105662.55</v>
      </c>
      <c r="H154" s="464">
        <v>4824.05</v>
      </c>
      <c r="I154" s="462"/>
      <c r="J154" s="464">
        <v>46624.55</v>
      </c>
      <c r="K154" s="462">
        <v>13999.5</v>
      </c>
      <c r="L154" s="464">
        <v>110774.15</v>
      </c>
      <c r="M154" s="479">
        <f t="shared" si="6"/>
        <v>1455766.97</v>
      </c>
      <c r="N154" s="462">
        <v>61686.3</v>
      </c>
      <c r="O154" s="464">
        <v>57205</v>
      </c>
      <c r="P154" s="462">
        <v>26722.45</v>
      </c>
      <c r="Q154" s="464">
        <v>1320.96</v>
      </c>
      <c r="R154" s="462">
        <v>20603.400000000001</v>
      </c>
      <c r="S154" s="464"/>
      <c r="T154" s="462"/>
      <c r="U154" s="464">
        <v>975</v>
      </c>
      <c r="V154" s="462"/>
      <c r="W154" s="464"/>
      <c r="X154" s="475">
        <f t="shared" si="8"/>
        <v>1624280.0799999998</v>
      </c>
      <c r="Y154" s="483">
        <v>2007.7</v>
      </c>
      <c r="Z154" s="462"/>
      <c r="AA154" s="462">
        <v>113540.7</v>
      </c>
      <c r="AB154" s="462"/>
      <c r="AC154" s="462">
        <v>59860.65</v>
      </c>
      <c r="AD154" s="462">
        <v>2007.7</v>
      </c>
      <c r="AE154" s="462"/>
      <c r="AF154" s="462"/>
      <c r="AG154" s="462"/>
      <c r="AH154" s="462">
        <v>27600.5</v>
      </c>
      <c r="AI154" s="462"/>
      <c r="AJ154" s="462"/>
      <c r="AK154" s="462"/>
      <c r="AL154" s="465">
        <f t="shared" si="7"/>
        <v>205017.25</v>
      </c>
      <c r="AM154" s="489">
        <v>56</v>
      </c>
      <c r="AN154" s="462">
        <v>477</v>
      </c>
      <c r="AO154" s="450">
        <v>-8590.99</v>
      </c>
      <c r="AP154" s="462"/>
      <c r="AQ154" s="450">
        <v>-260.94</v>
      </c>
      <c r="AR154" s="466">
        <v>0.8</v>
      </c>
    </row>
    <row r="155" spans="1:44" x14ac:dyDescent="0.25">
      <c r="A155" s="460">
        <v>5646</v>
      </c>
      <c r="B155" s="461" t="s">
        <v>357</v>
      </c>
      <c r="C155" s="462">
        <v>10385932.970000001</v>
      </c>
      <c r="D155" s="464">
        <v>2648913.96</v>
      </c>
      <c r="E155" s="462"/>
      <c r="F155" s="464"/>
      <c r="G155" s="462">
        <v>2555284.65</v>
      </c>
      <c r="H155" s="464">
        <v>10622903.199999999</v>
      </c>
      <c r="I155" s="462">
        <v>983317.82</v>
      </c>
      <c r="J155" s="464">
        <v>638533.88</v>
      </c>
      <c r="K155" s="462">
        <v>93413.5</v>
      </c>
      <c r="L155" s="464">
        <v>1481196.2</v>
      </c>
      <c r="M155" s="479">
        <f t="shared" si="6"/>
        <v>29409496.18</v>
      </c>
      <c r="N155" s="462">
        <v>610213.05000000005</v>
      </c>
      <c r="O155" s="464">
        <v>-77260.600000000006</v>
      </c>
      <c r="P155" s="462">
        <v>888125.65</v>
      </c>
      <c r="Q155" s="464">
        <v>22443.78</v>
      </c>
      <c r="R155" s="462">
        <v>584799</v>
      </c>
      <c r="S155" s="464"/>
      <c r="T155" s="462">
        <v>17860.099999999999</v>
      </c>
      <c r="U155" s="464">
        <v>45150</v>
      </c>
      <c r="V155" s="462"/>
      <c r="W155" s="464"/>
      <c r="X155" s="475">
        <f t="shared" si="8"/>
        <v>31500827.16</v>
      </c>
      <c r="Y155" s="483">
        <v>136913.71</v>
      </c>
      <c r="Z155" s="462"/>
      <c r="AA155" s="462">
        <v>858593.52</v>
      </c>
      <c r="AB155" s="462"/>
      <c r="AC155" s="462">
        <v>536760</v>
      </c>
      <c r="AD155" s="462">
        <v>97425.54</v>
      </c>
      <c r="AE155" s="462"/>
      <c r="AF155" s="462"/>
      <c r="AG155" s="462"/>
      <c r="AH155" s="462"/>
      <c r="AI155" s="462"/>
      <c r="AJ155" s="462"/>
      <c r="AK155" s="462"/>
      <c r="AL155" s="465">
        <f t="shared" si="7"/>
        <v>1629692.77</v>
      </c>
      <c r="AM155" s="489">
        <v>55</v>
      </c>
      <c r="AN155" s="462">
        <v>5661</v>
      </c>
      <c r="AO155" s="450">
        <v>-288226.26</v>
      </c>
      <c r="AP155" s="462"/>
      <c r="AQ155" s="450">
        <v>-6001.43</v>
      </c>
      <c r="AR155" s="466">
        <v>1</v>
      </c>
    </row>
    <row r="156" spans="1:44" x14ac:dyDescent="0.25">
      <c r="A156" s="460">
        <v>5648</v>
      </c>
      <c r="B156" s="461" t="s">
        <v>358</v>
      </c>
      <c r="C156" s="462">
        <v>10866770.09</v>
      </c>
      <c r="D156" s="464">
        <v>2832044.07</v>
      </c>
      <c r="E156" s="462"/>
      <c r="F156" s="464"/>
      <c r="G156" s="462">
        <v>1415159.7</v>
      </c>
      <c r="H156" s="464">
        <v>279634.25</v>
      </c>
      <c r="I156" s="462">
        <v>404476.6</v>
      </c>
      <c r="J156" s="464">
        <v>504771.25</v>
      </c>
      <c r="K156" s="462">
        <v>115737.5</v>
      </c>
      <c r="L156" s="464">
        <v>1016224.35</v>
      </c>
      <c r="M156" s="479">
        <f t="shared" si="6"/>
        <v>17434817.809999999</v>
      </c>
      <c r="N156" s="462">
        <v>50581.9</v>
      </c>
      <c r="O156" s="464">
        <v>1374595.3</v>
      </c>
      <c r="P156" s="462">
        <v>1114570.8</v>
      </c>
      <c r="Q156" s="464">
        <v>93835.9</v>
      </c>
      <c r="R156" s="462">
        <v>290681.40000000002</v>
      </c>
      <c r="S156" s="464"/>
      <c r="T156" s="462">
        <v>999.75</v>
      </c>
      <c r="U156" s="464">
        <v>16400</v>
      </c>
      <c r="V156" s="462">
        <v>185.5</v>
      </c>
      <c r="W156" s="464"/>
      <c r="X156" s="475">
        <f t="shared" si="8"/>
        <v>20376668.359999996</v>
      </c>
      <c r="Y156" s="483">
        <v>234283.15</v>
      </c>
      <c r="Z156" s="462"/>
      <c r="AA156" s="462">
        <v>978767.4</v>
      </c>
      <c r="AB156" s="462"/>
      <c r="AC156" s="462">
        <v>318513.93</v>
      </c>
      <c r="AD156" s="462"/>
      <c r="AE156" s="462"/>
      <c r="AF156" s="462"/>
      <c r="AG156" s="462">
        <v>155434.4</v>
      </c>
      <c r="AH156" s="462">
        <v>134384.75</v>
      </c>
      <c r="AI156" s="462"/>
      <c r="AJ156" s="462"/>
      <c r="AK156" s="462"/>
      <c r="AL156" s="465">
        <f t="shared" si="7"/>
        <v>1821383.63</v>
      </c>
      <c r="AM156" s="489">
        <v>55</v>
      </c>
      <c r="AN156" s="462">
        <v>4148</v>
      </c>
      <c r="AO156" s="450">
        <v>-137107.69</v>
      </c>
      <c r="AP156" s="462"/>
      <c r="AQ156" s="450">
        <v>-15923.17</v>
      </c>
      <c r="AR156" s="466">
        <v>0.8</v>
      </c>
    </row>
    <row r="157" spans="1:44" x14ac:dyDescent="0.25">
      <c r="A157" s="460">
        <v>5649</v>
      </c>
      <c r="B157" s="461" t="s">
        <v>359</v>
      </c>
      <c r="C157" s="462">
        <v>3694684.75</v>
      </c>
      <c r="D157" s="464">
        <v>663765.67000000004</v>
      </c>
      <c r="E157" s="462"/>
      <c r="F157" s="464"/>
      <c r="G157" s="462">
        <v>-1663129.35</v>
      </c>
      <c r="H157" s="464">
        <v>1152744.5</v>
      </c>
      <c r="I157" s="462">
        <v>116515</v>
      </c>
      <c r="J157" s="464">
        <v>641666.52</v>
      </c>
      <c r="K157" s="462">
        <v>62562.5</v>
      </c>
      <c r="L157" s="464">
        <v>522191.45</v>
      </c>
      <c r="M157" s="479">
        <f t="shared" si="6"/>
        <v>5191001.04</v>
      </c>
      <c r="N157" s="462">
        <v>470084</v>
      </c>
      <c r="O157" s="464">
        <v>261199.4</v>
      </c>
      <c r="P157" s="462">
        <v>269132.7</v>
      </c>
      <c r="Q157" s="464">
        <v>-4902.84</v>
      </c>
      <c r="R157" s="462">
        <v>87002.25</v>
      </c>
      <c r="S157" s="464"/>
      <c r="T157" s="462">
        <v>2068.15</v>
      </c>
      <c r="U157" s="464">
        <v>3750</v>
      </c>
      <c r="V157" s="462"/>
      <c r="W157" s="464"/>
      <c r="X157" s="475">
        <f t="shared" si="8"/>
        <v>6279334.7000000011</v>
      </c>
      <c r="Y157" s="483">
        <v>6408.75</v>
      </c>
      <c r="Z157" s="462"/>
      <c r="AA157" s="462">
        <v>470621.05</v>
      </c>
      <c r="AB157" s="462"/>
      <c r="AC157" s="462">
        <v>95780.2</v>
      </c>
      <c r="AD157" s="462"/>
      <c r="AE157" s="462"/>
      <c r="AF157" s="462"/>
      <c r="AG157" s="462"/>
      <c r="AH157" s="462">
        <v>127115.85</v>
      </c>
      <c r="AI157" s="462"/>
      <c r="AJ157" s="462"/>
      <c r="AK157" s="462"/>
      <c r="AL157" s="465">
        <f t="shared" si="7"/>
        <v>699925.85</v>
      </c>
      <c r="AM157" s="489">
        <v>65</v>
      </c>
      <c r="AN157" s="462">
        <v>1865</v>
      </c>
      <c r="AO157" s="450">
        <v>-67967.240000000005</v>
      </c>
      <c r="AP157" s="462"/>
      <c r="AQ157" s="450">
        <v>-828.46</v>
      </c>
      <c r="AR157" s="466">
        <v>1</v>
      </c>
    </row>
    <row r="158" spans="1:44" x14ac:dyDescent="0.25">
      <c r="A158" s="460">
        <v>5650</v>
      </c>
      <c r="B158" s="461" t="s">
        <v>360</v>
      </c>
      <c r="C158" s="462">
        <v>4745963.88</v>
      </c>
      <c r="D158" s="464">
        <v>5250847.05</v>
      </c>
      <c r="E158" s="462"/>
      <c r="F158" s="464"/>
      <c r="G158" s="462">
        <v>19566.95</v>
      </c>
      <c r="H158" s="464">
        <v>4.75</v>
      </c>
      <c r="I158" s="462"/>
      <c r="J158" s="464">
        <v>9331.68</v>
      </c>
      <c r="K158" s="462"/>
      <c r="L158" s="464">
        <v>52788.800000000003</v>
      </c>
      <c r="M158" s="479">
        <f t="shared" si="6"/>
        <v>10078503.109999999</v>
      </c>
      <c r="N158" s="462"/>
      <c r="O158" s="464"/>
      <c r="P158" s="462">
        <v>2238.1999999999998</v>
      </c>
      <c r="Q158" s="464"/>
      <c r="R158" s="462"/>
      <c r="S158" s="464"/>
      <c r="T158" s="462"/>
      <c r="U158" s="464">
        <v>480</v>
      </c>
      <c r="V158" s="462"/>
      <c r="W158" s="464"/>
      <c r="X158" s="475">
        <f t="shared" si="8"/>
        <v>10081221.309999999</v>
      </c>
      <c r="Y158" s="483">
        <v>2037.55</v>
      </c>
      <c r="Z158" s="462"/>
      <c r="AA158" s="462">
        <v>27368.15</v>
      </c>
      <c r="AB158" s="462"/>
      <c r="AC158" s="462">
        <v>26447.15</v>
      </c>
      <c r="AD158" s="462"/>
      <c r="AE158" s="462"/>
      <c r="AF158" s="462"/>
      <c r="AG158" s="462"/>
      <c r="AH158" s="462"/>
      <c r="AI158" s="462"/>
      <c r="AJ158" s="462"/>
      <c r="AK158" s="462"/>
      <c r="AL158" s="465">
        <f t="shared" si="7"/>
        <v>55852.850000000006</v>
      </c>
      <c r="AM158" s="489">
        <v>39</v>
      </c>
      <c r="AN158" s="462">
        <v>200</v>
      </c>
      <c r="AO158" s="450">
        <v>-10.26</v>
      </c>
      <c r="AP158" s="462"/>
      <c r="AQ158" s="450">
        <v>0</v>
      </c>
      <c r="AR158" s="466">
        <v>1.25</v>
      </c>
    </row>
    <row r="159" spans="1:44" x14ac:dyDescent="0.25">
      <c r="A159" s="460">
        <v>5651</v>
      </c>
      <c r="B159" s="461" t="s">
        <v>361</v>
      </c>
      <c r="C159" s="462">
        <v>1539768.55</v>
      </c>
      <c r="D159" s="464">
        <v>201947.02</v>
      </c>
      <c r="E159" s="462"/>
      <c r="F159" s="464"/>
      <c r="G159" s="462">
        <v>246932.1</v>
      </c>
      <c r="H159" s="464">
        <v>7712.25</v>
      </c>
      <c r="I159" s="462"/>
      <c r="J159" s="464">
        <v>50326.52</v>
      </c>
      <c r="K159" s="462">
        <v>23305.5</v>
      </c>
      <c r="L159" s="464">
        <v>249576</v>
      </c>
      <c r="M159" s="479">
        <f t="shared" si="6"/>
        <v>2319567.9400000004</v>
      </c>
      <c r="N159" s="462">
        <v>185736.05</v>
      </c>
      <c r="O159" s="464"/>
      <c r="P159" s="462">
        <v>282336.84999999998</v>
      </c>
      <c r="Q159" s="464">
        <v>5023.6499999999996</v>
      </c>
      <c r="R159" s="462">
        <v>56587.6</v>
      </c>
      <c r="S159" s="464"/>
      <c r="T159" s="462"/>
      <c r="U159" s="464">
        <v>3680</v>
      </c>
      <c r="V159" s="462"/>
      <c r="W159" s="464"/>
      <c r="X159" s="475">
        <f t="shared" si="8"/>
        <v>2852932.0900000003</v>
      </c>
      <c r="Y159" s="483">
        <v>38872.400000000001</v>
      </c>
      <c r="Z159" s="462"/>
      <c r="AA159" s="462">
        <v>99712.7</v>
      </c>
      <c r="AB159" s="462"/>
      <c r="AC159" s="462">
        <v>108657.44</v>
      </c>
      <c r="AD159" s="462">
        <v>32612.75</v>
      </c>
      <c r="AE159" s="462"/>
      <c r="AF159" s="462"/>
      <c r="AG159" s="462"/>
      <c r="AH159" s="462">
        <v>43797.15</v>
      </c>
      <c r="AI159" s="462"/>
      <c r="AJ159" s="462"/>
      <c r="AK159" s="462"/>
      <c r="AL159" s="465">
        <f t="shared" si="7"/>
        <v>323652.44000000006</v>
      </c>
      <c r="AM159" s="489">
        <v>59</v>
      </c>
      <c r="AN159" s="462">
        <v>841</v>
      </c>
      <c r="AO159" s="450">
        <v>-18096.36</v>
      </c>
      <c r="AP159" s="462"/>
      <c r="AQ159" s="450">
        <v>-12.34</v>
      </c>
      <c r="AR159" s="466">
        <v>1</v>
      </c>
    </row>
    <row r="160" spans="1:44" x14ac:dyDescent="0.25">
      <c r="A160" s="460">
        <v>5652</v>
      </c>
      <c r="B160" s="461" t="s">
        <v>232</v>
      </c>
      <c r="C160" s="462">
        <v>1264322.8899999999</v>
      </c>
      <c r="D160" s="464">
        <v>249892.54</v>
      </c>
      <c r="E160" s="462"/>
      <c r="F160" s="464"/>
      <c r="G160" s="462">
        <v>26184.05</v>
      </c>
      <c r="H160" s="464">
        <v>467.35</v>
      </c>
      <c r="I160" s="462"/>
      <c r="J160" s="464">
        <v>37005.360000000001</v>
      </c>
      <c r="K160" s="462">
        <v>850</v>
      </c>
      <c r="L160" s="464">
        <v>114335.4</v>
      </c>
      <c r="M160" s="479">
        <f t="shared" si="6"/>
        <v>1693057.59</v>
      </c>
      <c r="N160" s="462">
        <v>2656.2</v>
      </c>
      <c r="O160" s="464">
        <v>53248</v>
      </c>
      <c r="P160" s="462">
        <v>60796.35</v>
      </c>
      <c r="Q160" s="464">
        <v>3604.55</v>
      </c>
      <c r="R160" s="462">
        <v>13199.1</v>
      </c>
      <c r="S160" s="464">
        <v>602.85</v>
      </c>
      <c r="T160" s="462"/>
      <c r="U160" s="464">
        <v>3250</v>
      </c>
      <c r="V160" s="462"/>
      <c r="W160" s="464"/>
      <c r="X160" s="475">
        <f t="shared" si="8"/>
        <v>1830414.6400000004</v>
      </c>
      <c r="Y160" s="483"/>
      <c r="Z160" s="462">
        <v>6233.7</v>
      </c>
      <c r="AA160" s="462">
        <v>77340.649999999994</v>
      </c>
      <c r="AB160" s="462"/>
      <c r="AC160" s="462">
        <v>36849.1</v>
      </c>
      <c r="AD160" s="462"/>
      <c r="AE160" s="462"/>
      <c r="AF160" s="462"/>
      <c r="AG160" s="462"/>
      <c r="AH160" s="462"/>
      <c r="AI160" s="462"/>
      <c r="AJ160" s="462"/>
      <c r="AK160" s="462"/>
      <c r="AL160" s="465">
        <f t="shared" si="7"/>
        <v>120423.44999999998</v>
      </c>
      <c r="AM160" s="489">
        <v>76</v>
      </c>
      <c r="AN160" s="462">
        <v>598</v>
      </c>
      <c r="AO160" s="450">
        <v>-11477.47</v>
      </c>
      <c r="AP160" s="462"/>
      <c r="AQ160" s="450">
        <v>-98.18</v>
      </c>
      <c r="AR160" s="466">
        <v>1.2</v>
      </c>
    </row>
    <row r="161" spans="1:44" x14ac:dyDescent="0.25">
      <c r="A161" s="460">
        <v>5653</v>
      </c>
      <c r="B161" s="461" t="s">
        <v>233</v>
      </c>
      <c r="C161" s="462">
        <v>2458375.42</v>
      </c>
      <c r="D161" s="464">
        <v>550022.51</v>
      </c>
      <c r="E161" s="462"/>
      <c r="F161" s="464"/>
      <c r="G161" s="462">
        <v>-16996.849999999999</v>
      </c>
      <c r="H161" s="464">
        <v>2062.6</v>
      </c>
      <c r="I161" s="462">
        <v>120500.85</v>
      </c>
      <c r="J161" s="464">
        <v>32826.33</v>
      </c>
      <c r="K161" s="462">
        <v>2764.5</v>
      </c>
      <c r="L161" s="464">
        <v>177413.15</v>
      </c>
      <c r="M161" s="479">
        <f t="shared" si="6"/>
        <v>3326968.51</v>
      </c>
      <c r="N161" s="462">
        <v>1378.1</v>
      </c>
      <c r="O161" s="464"/>
      <c r="P161" s="462">
        <v>100975.45</v>
      </c>
      <c r="Q161" s="464"/>
      <c r="R161" s="462">
        <v>104910</v>
      </c>
      <c r="S161" s="464"/>
      <c r="T161" s="462"/>
      <c r="U161" s="464">
        <v>5350</v>
      </c>
      <c r="V161" s="462"/>
      <c r="W161" s="464"/>
      <c r="X161" s="475">
        <f t="shared" si="8"/>
        <v>3539582.06</v>
      </c>
      <c r="Y161" s="483">
        <v>23446.3</v>
      </c>
      <c r="Z161" s="462"/>
      <c r="AA161" s="462">
        <v>101452.3</v>
      </c>
      <c r="AB161" s="462"/>
      <c r="AC161" s="462">
        <v>46711.55</v>
      </c>
      <c r="AD161" s="462"/>
      <c r="AE161" s="462"/>
      <c r="AF161" s="462"/>
      <c r="AG161" s="462"/>
      <c r="AH161" s="462"/>
      <c r="AI161" s="462"/>
      <c r="AJ161" s="462"/>
      <c r="AK161" s="462"/>
      <c r="AL161" s="465">
        <f t="shared" si="7"/>
        <v>171610.15000000002</v>
      </c>
      <c r="AM161" s="489">
        <v>55</v>
      </c>
      <c r="AN161" s="462">
        <v>841</v>
      </c>
      <c r="AO161" s="450">
        <v>-9879.5499999999993</v>
      </c>
      <c r="AP161" s="485"/>
      <c r="AQ161" s="450">
        <v>-658.49</v>
      </c>
      <c r="AR161" s="466">
        <v>0.8</v>
      </c>
    </row>
    <row r="162" spans="1:44" x14ac:dyDescent="0.25">
      <c r="A162" s="460">
        <v>5654</v>
      </c>
      <c r="B162" s="461" t="s">
        <v>234</v>
      </c>
      <c r="C162" s="462">
        <v>996316.67</v>
      </c>
      <c r="D162" s="464">
        <v>156144.85</v>
      </c>
      <c r="E162" s="462"/>
      <c r="F162" s="464"/>
      <c r="G162" s="462">
        <v>25409.25</v>
      </c>
      <c r="H162" s="464">
        <v>629.35</v>
      </c>
      <c r="I162" s="462"/>
      <c r="J162" s="464">
        <v>42400.21</v>
      </c>
      <c r="K162" s="462">
        <v>1254</v>
      </c>
      <c r="L162" s="464">
        <v>86495.35</v>
      </c>
      <c r="M162" s="479">
        <f t="shared" si="6"/>
        <v>1308649.6800000002</v>
      </c>
      <c r="N162" s="462">
        <v>1924.35</v>
      </c>
      <c r="O162" s="464">
        <v>2346</v>
      </c>
      <c r="P162" s="462">
        <v>51545.45</v>
      </c>
      <c r="Q162" s="464">
        <v>1927.75</v>
      </c>
      <c r="R162" s="462">
        <v>42146.2</v>
      </c>
      <c r="S162" s="464"/>
      <c r="T162" s="462">
        <v>1533.1</v>
      </c>
      <c r="U162" s="464">
        <v>3300</v>
      </c>
      <c r="V162" s="462"/>
      <c r="W162" s="464"/>
      <c r="X162" s="475">
        <f t="shared" si="8"/>
        <v>1413372.5300000003</v>
      </c>
      <c r="Y162" s="483">
        <v>52099.8</v>
      </c>
      <c r="Z162" s="462"/>
      <c r="AA162" s="462">
        <v>139435.54999999999</v>
      </c>
      <c r="AB162" s="462"/>
      <c r="AC162" s="462">
        <v>21875</v>
      </c>
      <c r="AD162" s="462">
        <v>8000</v>
      </c>
      <c r="AE162" s="462"/>
      <c r="AF162" s="462"/>
      <c r="AG162" s="462"/>
      <c r="AH162" s="462">
        <v>12271.1</v>
      </c>
      <c r="AI162" s="462"/>
      <c r="AJ162" s="462"/>
      <c r="AK162" s="462"/>
      <c r="AL162" s="465">
        <f t="shared" si="7"/>
        <v>233681.44999999998</v>
      </c>
      <c r="AM162" s="489">
        <v>76</v>
      </c>
      <c r="AN162" s="462">
        <v>461</v>
      </c>
      <c r="AO162" s="450">
        <v>-7192.05</v>
      </c>
      <c r="AP162" s="462"/>
      <c r="AQ162" s="450">
        <v>-613.52</v>
      </c>
      <c r="AR162" s="466">
        <v>1</v>
      </c>
    </row>
    <row r="163" spans="1:44" x14ac:dyDescent="0.25">
      <c r="A163" s="460">
        <v>5655</v>
      </c>
      <c r="B163" s="461" t="s">
        <v>235</v>
      </c>
      <c r="C163" s="462">
        <v>4681391.3099999996</v>
      </c>
      <c r="D163" s="464">
        <v>606033.68000000005</v>
      </c>
      <c r="E163" s="462"/>
      <c r="F163" s="464"/>
      <c r="G163" s="462">
        <v>250226.15</v>
      </c>
      <c r="H163" s="464">
        <v>467.3</v>
      </c>
      <c r="I163" s="462">
        <v>61299.01</v>
      </c>
      <c r="J163" s="464">
        <v>51791.519999999997</v>
      </c>
      <c r="K163" s="462">
        <v>5513.5</v>
      </c>
      <c r="L163" s="464">
        <v>456784.45</v>
      </c>
      <c r="M163" s="479">
        <f t="shared" si="6"/>
        <v>6113506.919999999</v>
      </c>
      <c r="N163" s="462">
        <v>67540.800000000003</v>
      </c>
      <c r="O163" s="464">
        <v>4143</v>
      </c>
      <c r="P163" s="462">
        <v>90982.15</v>
      </c>
      <c r="Q163" s="464">
        <v>5725.36</v>
      </c>
      <c r="R163" s="462">
        <v>104074.2</v>
      </c>
      <c r="S163" s="464">
        <v>1050</v>
      </c>
      <c r="T163" s="462"/>
      <c r="U163" s="464">
        <v>7800</v>
      </c>
      <c r="V163" s="462">
        <v>1600</v>
      </c>
      <c r="W163" s="464"/>
      <c r="X163" s="475">
        <f t="shared" si="8"/>
        <v>6396422.4299999997</v>
      </c>
      <c r="Y163" s="483">
        <v>68495</v>
      </c>
      <c r="Z163" s="462"/>
      <c r="AA163" s="462">
        <v>182868.2</v>
      </c>
      <c r="AB163" s="462"/>
      <c r="AC163" s="462">
        <v>72383.5</v>
      </c>
      <c r="AD163" s="462">
        <v>105936.4</v>
      </c>
      <c r="AE163" s="462"/>
      <c r="AF163" s="462"/>
      <c r="AG163" s="462"/>
      <c r="AH163" s="462"/>
      <c r="AI163" s="462"/>
      <c r="AJ163" s="462"/>
      <c r="AK163" s="462"/>
      <c r="AL163" s="465">
        <f t="shared" si="7"/>
        <v>429683.1</v>
      </c>
      <c r="AM163" s="489">
        <v>73</v>
      </c>
      <c r="AN163" s="462">
        <v>1388</v>
      </c>
      <c r="AO163" s="450">
        <v>-16979.07</v>
      </c>
      <c r="AP163" s="462"/>
      <c r="AQ163" s="450">
        <v>-872.03</v>
      </c>
      <c r="AR163" s="466">
        <v>1</v>
      </c>
    </row>
    <row r="164" spans="1:44" x14ac:dyDescent="0.25">
      <c r="A164" s="460">
        <v>5661</v>
      </c>
      <c r="B164" s="461" t="s">
        <v>236</v>
      </c>
      <c r="C164" s="462">
        <v>632455.48</v>
      </c>
      <c r="D164" s="464">
        <v>38064</v>
      </c>
      <c r="E164" s="462"/>
      <c r="F164" s="464">
        <v>1800</v>
      </c>
      <c r="G164" s="462">
        <v>6564.2</v>
      </c>
      <c r="H164" s="464">
        <v>36954.519999999997</v>
      </c>
      <c r="I164" s="462"/>
      <c r="J164" s="464">
        <v>1490.82</v>
      </c>
      <c r="K164" s="462">
        <v>317.5</v>
      </c>
      <c r="L164" s="464">
        <v>40049.75</v>
      </c>
      <c r="M164" s="479">
        <f t="shared" si="6"/>
        <v>757696.2699999999</v>
      </c>
      <c r="N164" s="462">
        <v>13441.35</v>
      </c>
      <c r="O164" s="464"/>
      <c r="P164" s="462">
        <v>33333.199999999997</v>
      </c>
      <c r="Q164" s="464">
        <v>148.44999999999999</v>
      </c>
      <c r="R164" s="462">
        <v>6125</v>
      </c>
      <c r="S164" s="464"/>
      <c r="T164" s="462"/>
      <c r="U164" s="464">
        <v>4000</v>
      </c>
      <c r="V164" s="462"/>
      <c r="W164" s="464"/>
      <c r="X164" s="475">
        <f t="shared" si="8"/>
        <v>814744.26999999979</v>
      </c>
      <c r="Y164" s="483">
        <v>27000</v>
      </c>
      <c r="Z164" s="462"/>
      <c r="AA164" s="462">
        <v>32734</v>
      </c>
      <c r="AB164" s="462"/>
      <c r="AC164" s="462">
        <v>24941</v>
      </c>
      <c r="AD164" s="462"/>
      <c r="AE164" s="462"/>
      <c r="AF164" s="462"/>
      <c r="AG164" s="462"/>
      <c r="AH164" s="462"/>
      <c r="AI164" s="462"/>
      <c r="AJ164" s="462"/>
      <c r="AK164" s="462"/>
      <c r="AL164" s="465">
        <f t="shared" si="7"/>
        <v>84675</v>
      </c>
      <c r="AM164" s="489">
        <v>79</v>
      </c>
      <c r="AN164" s="462">
        <v>368</v>
      </c>
      <c r="AO164" s="450">
        <v>0</v>
      </c>
      <c r="AP164" s="485"/>
      <c r="AQ164" s="450">
        <v>0</v>
      </c>
      <c r="AR164" s="466">
        <v>1</v>
      </c>
    </row>
    <row r="165" spans="1:44" x14ac:dyDescent="0.25">
      <c r="A165" s="460">
        <v>5662</v>
      </c>
      <c r="B165" s="461" t="s">
        <v>237</v>
      </c>
      <c r="C165" s="462">
        <v>357893.41</v>
      </c>
      <c r="D165" s="464">
        <v>28751.22</v>
      </c>
      <c r="E165" s="462"/>
      <c r="F165" s="464"/>
      <c r="G165" s="462">
        <v>2837.3</v>
      </c>
      <c r="H165" s="464">
        <v>-12</v>
      </c>
      <c r="I165" s="462"/>
      <c r="J165" s="464">
        <v>436.33</v>
      </c>
      <c r="K165" s="462"/>
      <c r="L165" s="464">
        <v>17283</v>
      </c>
      <c r="M165" s="479">
        <f t="shared" si="6"/>
        <v>407189.26</v>
      </c>
      <c r="N165" s="462"/>
      <c r="O165" s="464">
        <v>1145.5</v>
      </c>
      <c r="P165" s="462">
        <v>12774.05</v>
      </c>
      <c r="Q165" s="464"/>
      <c r="R165" s="462">
        <v>35647.199999999997</v>
      </c>
      <c r="S165" s="464"/>
      <c r="T165" s="462"/>
      <c r="U165" s="464">
        <v>600</v>
      </c>
      <c r="V165" s="462"/>
      <c r="W165" s="464"/>
      <c r="X165" s="475">
        <f t="shared" si="8"/>
        <v>457356.01</v>
      </c>
      <c r="Y165" s="483"/>
      <c r="Z165" s="462"/>
      <c r="AA165" s="462">
        <v>20622</v>
      </c>
      <c r="AB165" s="462"/>
      <c r="AC165" s="462">
        <v>10592.4</v>
      </c>
      <c r="AD165" s="462"/>
      <c r="AE165" s="462"/>
      <c r="AF165" s="462"/>
      <c r="AG165" s="462"/>
      <c r="AH165" s="462"/>
      <c r="AI165" s="462"/>
      <c r="AJ165" s="462"/>
      <c r="AK165" s="462"/>
      <c r="AL165" s="465">
        <f t="shared" si="7"/>
        <v>31214.400000000001</v>
      </c>
      <c r="AM165" s="489">
        <v>78</v>
      </c>
      <c r="AN165" s="462">
        <v>138</v>
      </c>
      <c r="AO165" s="450">
        <v>-9276.25</v>
      </c>
      <c r="AP165" s="462"/>
      <c r="AQ165" s="450">
        <v>0</v>
      </c>
      <c r="AR165" s="466">
        <v>0.9</v>
      </c>
    </row>
    <row r="166" spans="1:44" x14ac:dyDescent="0.25">
      <c r="A166" s="460">
        <v>5663</v>
      </c>
      <c r="B166" s="461" t="s">
        <v>238</v>
      </c>
      <c r="C166" s="462">
        <v>352805.18</v>
      </c>
      <c r="D166" s="464">
        <v>33367.94</v>
      </c>
      <c r="E166" s="462"/>
      <c r="F166" s="464">
        <v>1290</v>
      </c>
      <c r="G166" s="462">
        <v>27812.05</v>
      </c>
      <c r="H166" s="464">
        <v>116.15</v>
      </c>
      <c r="I166" s="462"/>
      <c r="J166" s="464">
        <v>4027.44</v>
      </c>
      <c r="K166" s="462">
        <v>460.5</v>
      </c>
      <c r="L166" s="464">
        <v>27932.3</v>
      </c>
      <c r="M166" s="479">
        <f t="shared" si="6"/>
        <v>447811.56</v>
      </c>
      <c r="N166" s="462"/>
      <c r="O166" s="464"/>
      <c r="P166" s="462">
        <v>9625</v>
      </c>
      <c r="Q166" s="464">
        <v>108.81</v>
      </c>
      <c r="R166" s="462">
        <v>11074.7</v>
      </c>
      <c r="S166" s="464"/>
      <c r="T166" s="462"/>
      <c r="U166" s="464">
        <v>1680</v>
      </c>
      <c r="V166" s="462"/>
      <c r="W166" s="464"/>
      <c r="X166" s="475">
        <f t="shared" si="8"/>
        <v>470300.07</v>
      </c>
      <c r="Y166" s="483">
        <v>6655.4</v>
      </c>
      <c r="Z166" s="462"/>
      <c r="AA166" s="462">
        <v>25843.25</v>
      </c>
      <c r="AB166" s="462"/>
      <c r="AC166" s="462">
        <v>18286</v>
      </c>
      <c r="AD166" s="462"/>
      <c r="AE166" s="462"/>
      <c r="AF166" s="462"/>
      <c r="AG166" s="462"/>
      <c r="AH166" s="462"/>
      <c r="AI166" s="462"/>
      <c r="AJ166" s="462"/>
      <c r="AK166" s="462"/>
      <c r="AL166" s="465">
        <f t="shared" si="7"/>
        <v>50784.65</v>
      </c>
      <c r="AM166" s="489">
        <v>80</v>
      </c>
      <c r="AN166" s="462">
        <v>208</v>
      </c>
      <c r="AO166" s="450">
        <v>-10445.549999999999</v>
      </c>
      <c r="AP166" s="462"/>
      <c r="AQ166" s="450">
        <v>-1.76</v>
      </c>
      <c r="AR166" s="466">
        <v>1</v>
      </c>
    </row>
    <row r="167" spans="1:44" x14ac:dyDescent="0.25">
      <c r="A167" s="460">
        <v>5665</v>
      </c>
      <c r="B167" s="461" t="s">
        <v>126</v>
      </c>
      <c r="C167" s="462">
        <v>285298.65999999997</v>
      </c>
      <c r="D167" s="464">
        <v>47433.87</v>
      </c>
      <c r="E167" s="462"/>
      <c r="F167" s="464"/>
      <c r="G167" s="462">
        <v>6668.55</v>
      </c>
      <c r="H167" s="464">
        <v>-4</v>
      </c>
      <c r="I167" s="462"/>
      <c r="J167" s="464">
        <v>1566.97</v>
      </c>
      <c r="K167" s="462">
        <v>4.5</v>
      </c>
      <c r="L167" s="464">
        <v>23553.8</v>
      </c>
      <c r="M167" s="479">
        <f t="shared" si="6"/>
        <v>364522.34999999992</v>
      </c>
      <c r="N167" s="462"/>
      <c r="O167" s="464"/>
      <c r="P167" s="462">
        <v>2420</v>
      </c>
      <c r="Q167" s="464">
        <v>426.01</v>
      </c>
      <c r="R167" s="462"/>
      <c r="S167" s="464"/>
      <c r="T167" s="462">
        <v>300</v>
      </c>
      <c r="U167" s="464">
        <v>720</v>
      </c>
      <c r="V167" s="462"/>
      <c r="W167" s="464"/>
      <c r="X167" s="475">
        <f t="shared" si="8"/>
        <v>368388.35999999993</v>
      </c>
      <c r="Y167" s="483"/>
      <c r="Z167" s="462"/>
      <c r="AA167" s="462">
        <v>14163.15</v>
      </c>
      <c r="AB167" s="462"/>
      <c r="AC167" s="462">
        <v>20415.900000000001</v>
      </c>
      <c r="AD167" s="462"/>
      <c r="AE167" s="462"/>
      <c r="AF167" s="462"/>
      <c r="AG167" s="462"/>
      <c r="AH167" s="462"/>
      <c r="AI167" s="462"/>
      <c r="AJ167" s="462"/>
      <c r="AK167" s="462"/>
      <c r="AL167" s="465">
        <f t="shared" si="7"/>
        <v>34579.050000000003</v>
      </c>
      <c r="AM167" s="489">
        <v>73</v>
      </c>
      <c r="AN167" s="462">
        <v>224</v>
      </c>
      <c r="AO167" s="450">
        <v>-1198.19</v>
      </c>
      <c r="AP167" s="462"/>
      <c r="AQ167" s="450">
        <v>0</v>
      </c>
      <c r="AR167" s="466">
        <v>1</v>
      </c>
    </row>
    <row r="168" spans="1:44" x14ac:dyDescent="0.25">
      <c r="A168" s="460">
        <v>5666</v>
      </c>
      <c r="B168" s="461" t="s">
        <v>127</v>
      </c>
      <c r="C168" s="462">
        <v>220553.47</v>
      </c>
      <c r="D168" s="464">
        <v>18377.439999999999</v>
      </c>
      <c r="E168" s="462"/>
      <c r="F168" s="464"/>
      <c r="G168" s="462">
        <v>1988.2</v>
      </c>
      <c r="H168" s="464">
        <v>42.1</v>
      </c>
      <c r="I168" s="462"/>
      <c r="J168" s="464">
        <v>5747.92</v>
      </c>
      <c r="K168" s="462">
        <v>663</v>
      </c>
      <c r="L168" s="464">
        <v>34798.35</v>
      </c>
      <c r="M168" s="479">
        <f t="shared" si="6"/>
        <v>282170.48000000004</v>
      </c>
      <c r="N168" s="462"/>
      <c r="O168" s="464"/>
      <c r="P168" s="462"/>
      <c r="Q168" s="464">
        <v>10204.14</v>
      </c>
      <c r="R168" s="462"/>
      <c r="S168" s="464"/>
      <c r="T168" s="462"/>
      <c r="U168" s="464">
        <v>2100</v>
      </c>
      <c r="V168" s="462"/>
      <c r="W168" s="464"/>
      <c r="X168" s="475">
        <f t="shared" si="8"/>
        <v>294474.62000000005</v>
      </c>
      <c r="Y168" s="483"/>
      <c r="Z168" s="462"/>
      <c r="AA168" s="462">
        <v>19270.900000000001</v>
      </c>
      <c r="AB168" s="462"/>
      <c r="AC168" s="462">
        <v>15030.25</v>
      </c>
      <c r="AD168" s="462"/>
      <c r="AE168" s="462"/>
      <c r="AF168" s="462"/>
      <c r="AG168" s="462"/>
      <c r="AH168" s="462"/>
      <c r="AI168" s="462"/>
      <c r="AJ168" s="462"/>
      <c r="AK168" s="462"/>
      <c r="AL168" s="465">
        <f t="shared" si="7"/>
        <v>34301.15</v>
      </c>
      <c r="AM168" s="489">
        <v>75</v>
      </c>
      <c r="AN168" s="462">
        <v>196</v>
      </c>
      <c r="AO168" s="450">
        <v>-635.96</v>
      </c>
      <c r="AP168" s="462"/>
      <c r="AQ168" s="450">
        <v>0</v>
      </c>
      <c r="AR168" s="466">
        <v>1.25</v>
      </c>
    </row>
    <row r="169" spans="1:44" x14ac:dyDescent="0.25">
      <c r="A169" s="460">
        <v>5668</v>
      </c>
      <c r="B169" s="461" t="s">
        <v>128</v>
      </c>
      <c r="C169" s="462">
        <v>63897.91</v>
      </c>
      <c r="D169" s="464">
        <v>8114.23</v>
      </c>
      <c r="E169" s="462"/>
      <c r="F169" s="464"/>
      <c r="G169" s="462">
        <v>145.19999999999999</v>
      </c>
      <c r="H169" s="464">
        <v>8.65</v>
      </c>
      <c r="I169" s="462"/>
      <c r="J169" s="464">
        <v>183.35</v>
      </c>
      <c r="K169" s="462">
        <v>20</v>
      </c>
      <c r="L169" s="464">
        <v>5921.55</v>
      </c>
      <c r="M169" s="479">
        <f t="shared" si="6"/>
        <v>78290.89</v>
      </c>
      <c r="N169" s="462"/>
      <c r="O169" s="464"/>
      <c r="P169" s="462">
        <v>5658.85</v>
      </c>
      <c r="Q169" s="464"/>
      <c r="R169" s="462"/>
      <c r="S169" s="464"/>
      <c r="T169" s="462"/>
      <c r="U169" s="464">
        <v>300</v>
      </c>
      <c r="V169" s="462"/>
      <c r="W169" s="464"/>
      <c r="X169" s="475">
        <f t="shared" si="8"/>
        <v>84249.74</v>
      </c>
      <c r="Y169" s="483"/>
      <c r="Z169" s="462"/>
      <c r="AA169" s="462">
        <v>3214.4</v>
      </c>
      <c r="AB169" s="462"/>
      <c r="AC169" s="462">
        <v>7087.5</v>
      </c>
      <c r="AD169" s="462"/>
      <c r="AE169" s="462"/>
      <c r="AF169" s="462"/>
      <c r="AG169" s="462"/>
      <c r="AH169" s="462">
        <v>1587.45</v>
      </c>
      <c r="AI169" s="462"/>
      <c r="AJ169" s="462"/>
      <c r="AK169" s="462"/>
      <c r="AL169" s="465">
        <f t="shared" si="7"/>
        <v>11889.35</v>
      </c>
      <c r="AM169" s="489">
        <v>77</v>
      </c>
      <c r="AN169" s="462">
        <v>59</v>
      </c>
      <c r="AO169" s="450">
        <v>-33.56</v>
      </c>
      <c r="AP169" s="462"/>
      <c r="AQ169" s="450">
        <v>0</v>
      </c>
      <c r="AR169" s="466">
        <v>1</v>
      </c>
    </row>
    <row r="170" spans="1:44" x14ac:dyDescent="0.25">
      <c r="A170" s="460">
        <v>5669</v>
      </c>
      <c r="B170" s="461" t="s">
        <v>129</v>
      </c>
      <c r="C170" s="462">
        <v>449324.9</v>
      </c>
      <c r="D170" s="464">
        <v>75769.399999999994</v>
      </c>
      <c r="E170" s="462"/>
      <c r="F170" s="464"/>
      <c r="G170" s="462">
        <v>29487.85</v>
      </c>
      <c r="H170" s="464">
        <v>-14.9</v>
      </c>
      <c r="I170" s="462"/>
      <c r="J170" s="464">
        <v>12607.58</v>
      </c>
      <c r="K170" s="462">
        <v>337</v>
      </c>
      <c r="L170" s="464">
        <v>21620</v>
      </c>
      <c r="M170" s="479">
        <f t="shared" si="6"/>
        <v>589131.82999999996</v>
      </c>
      <c r="N170" s="462"/>
      <c r="O170" s="464">
        <v>184.7</v>
      </c>
      <c r="P170" s="462">
        <v>5881.7</v>
      </c>
      <c r="Q170" s="464"/>
      <c r="R170" s="462"/>
      <c r="S170" s="464"/>
      <c r="T170" s="462">
        <v>85</v>
      </c>
      <c r="U170" s="464">
        <v>3600</v>
      </c>
      <c r="V170" s="462"/>
      <c r="W170" s="464"/>
      <c r="X170" s="475">
        <f t="shared" si="8"/>
        <v>598883.22999999986</v>
      </c>
      <c r="Y170" s="483">
        <v>4500</v>
      </c>
      <c r="Z170" s="462"/>
      <c r="AA170" s="462">
        <v>20793.349999999999</v>
      </c>
      <c r="AB170" s="462"/>
      <c r="AC170" s="462">
        <v>29339.8</v>
      </c>
      <c r="AD170" s="462"/>
      <c r="AE170" s="462"/>
      <c r="AF170" s="462"/>
      <c r="AG170" s="462"/>
      <c r="AH170" s="462"/>
      <c r="AI170" s="462"/>
      <c r="AJ170" s="462"/>
      <c r="AK170" s="462"/>
      <c r="AL170" s="465">
        <f t="shared" si="7"/>
        <v>54633.149999999994</v>
      </c>
      <c r="AM170" s="489">
        <v>72</v>
      </c>
      <c r="AN170" s="462">
        <v>309</v>
      </c>
      <c r="AO170" s="450">
        <v>-14651.18</v>
      </c>
      <c r="AP170" s="462"/>
      <c r="AQ170" s="450">
        <v>-0.12</v>
      </c>
      <c r="AR170" s="466">
        <v>0.5</v>
      </c>
    </row>
    <row r="171" spans="1:44" x14ac:dyDescent="0.25">
      <c r="A171" s="460">
        <v>5671</v>
      </c>
      <c r="B171" s="461" t="s">
        <v>130</v>
      </c>
      <c r="C171" s="462">
        <v>398994.78</v>
      </c>
      <c r="D171" s="464">
        <v>59736.44</v>
      </c>
      <c r="E171" s="462"/>
      <c r="F171" s="464">
        <v>1580</v>
      </c>
      <c r="G171" s="462">
        <v>17308.25</v>
      </c>
      <c r="H171" s="464">
        <v>59.4</v>
      </c>
      <c r="I171" s="462"/>
      <c r="J171" s="464">
        <v>22427.35</v>
      </c>
      <c r="K171" s="462">
        <v>223.5</v>
      </c>
      <c r="L171" s="464">
        <v>33765.4</v>
      </c>
      <c r="M171" s="479">
        <f t="shared" si="6"/>
        <v>534095.12</v>
      </c>
      <c r="N171" s="462"/>
      <c r="O171" s="464"/>
      <c r="P171" s="462"/>
      <c r="Q171" s="464"/>
      <c r="R171" s="462"/>
      <c r="S171" s="464"/>
      <c r="T171" s="462">
        <v>200</v>
      </c>
      <c r="U171" s="464">
        <v>2520</v>
      </c>
      <c r="V171" s="462"/>
      <c r="W171" s="464"/>
      <c r="X171" s="475">
        <f t="shared" si="8"/>
        <v>536815.12</v>
      </c>
      <c r="Y171" s="483"/>
      <c r="Z171" s="462"/>
      <c r="AA171" s="462">
        <v>15114.2</v>
      </c>
      <c r="AB171" s="462"/>
      <c r="AC171" s="462">
        <v>17274.2</v>
      </c>
      <c r="AD171" s="462"/>
      <c r="AE171" s="462"/>
      <c r="AF171" s="462"/>
      <c r="AG171" s="462"/>
      <c r="AH171" s="462"/>
      <c r="AI171" s="462"/>
      <c r="AJ171" s="462"/>
      <c r="AK171" s="462"/>
      <c r="AL171" s="465">
        <f t="shared" si="7"/>
        <v>32388.400000000001</v>
      </c>
      <c r="AM171" s="489">
        <v>80</v>
      </c>
      <c r="AN171" s="462">
        <v>242</v>
      </c>
      <c r="AO171" s="450">
        <v>-271.35000000000002</v>
      </c>
      <c r="AP171" s="462"/>
      <c r="AQ171" s="450">
        <v>0</v>
      </c>
      <c r="AR171" s="466">
        <v>1</v>
      </c>
    </row>
    <row r="172" spans="1:44" x14ac:dyDescent="0.25">
      <c r="A172" s="460">
        <v>5672</v>
      </c>
      <c r="B172" s="461" t="s">
        <v>131</v>
      </c>
      <c r="C172" s="462">
        <v>251994.28</v>
      </c>
      <c r="D172" s="464">
        <v>32497.07</v>
      </c>
      <c r="E172" s="462"/>
      <c r="F172" s="464"/>
      <c r="G172" s="462">
        <v>8015.6</v>
      </c>
      <c r="H172" s="464">
        <v>21.65</v>
      </c>
      <c r="I172" s="462"/>
      <c r="J172" s="464">
        <v>4522.57</v>
      </c>
      <c r="K172" s="462"/>
      <c r="L172" s="487">
        <v>13075.85</v>
      </c>
      <c r="M172" s="479">
        <f t="shared" si="6"/>
        <v>310127.01999999996</v>
      </c>
      <c r="N172" s="462"/>
      <c r="O172" s="464"/>
      <c r="P172" s="462">
        <v>2200</v>
      </c>
      <c r="Q172" s="464">
        <v>3534.78</v>
      </c>
      <c r="R172" s="462"/>
      <c r="S172" s="464"/>
      <c r="T172" s="462"/>
      <c r="U172" s="464">
        <v>1012.5</v>
      </c>
      <c r="V172" s="462"/>
      <c r="W172" s="464"/>
      <c r="X172" s="475">
        <f t="shared" si="8"/>
        <v>316874.3</v>
      </c>
      <c r="Y172" s="483">
        <v>0</v>
      </c>
      <c r="Z172" s="462"/>
      <c r="AA172" s="462">
        <v>4620</v>
      </c>
      <c r="AB172" s="462"/>
      <c r="AC172" s="462">
        <v>6510</v>
      </c>
      <c r="AD172" s="462">
        <v>7200</v>
      </c>
      <c r="AE172" s="462"/>
      <c r="AF172" s="462"/>
      <c r="AG172" s="462"/>
      <c r="AH172" s="462"/>
      <c r="AI172" s="462"/>
      <c r="AJ172" s="462"/>
      <c r="AK172" s="462"/>
      <c r="AL172" s="465">
        <f t="shared" si="7"/>
        <v>18330</v>
      </c>
      <c r="AM172" s="489">
        <v>75</v>
      </c>
      <c r="AN172" s="462">
        <v>154</v>
      </c>
      <c r="AO172" s="450">
        <v>-9702.68</v>
      </c>
      <c r="AP172" s="462"/>
      <c r="AQ172" s="450">
        <v>-0.37</v>
      </c>
      <c r="AR172" s="466">
        <v>0.8</v>
      </c>
    </row>
    <row r="173" spans="1:44" x14ac:dyDescent="0.25">
      <c r="A173" s="460">
        <v>5673</v>
      </c>
      <c r="B173" s="461" t="s">
        <v>132</v>
      </c>
      <c r="C173" s="462">
        <v>484600.03</v>
      </c>
      <c r="D173" s="464">
        <v>64071.67</v>
      </c>
      <c r="E173" s="462"/>
      <c r="F173" s="464">
        <v>1960</v>
      </c>
      <c r="G173" s="462">
        <v>613.45000000000005</v>
      </c>
      <c r="H173" s="464">
        <v>174.05</v>
      </c>
      <c r="I173" s="462"/>
      <c r="J173" s="464">
        <v>8666.73</v>
      </c>
      <c r="K173" s="462">
        <v>7.5</v>
      </c>
      <c r="L173" s="464">
        <v>26343.4</v>
      </c>
      <c r="M173" s="479">
        <f t="shared" si="6"/>
        <v>586436.83000000007</v>
      </c>
      <c r="N173" s="462">
        <v>17541.400000000001</v>
      </c>
      <c r="O173" s="464"/>
      <c r="P173" s="462">
        <v>9460</v>
      </c>
      <c r="Q173" s="464">
        <v>15882.3</v>
      </c>
      <c r="R173" s="462">
        <v>5558.15</v>
      </c>
      <c r="S173" s="464"/>
      <c r="T173" s="462"/>
      <c r="U173" s="464">
        <v>1400</v>
      </c>
      <c r="V173" s="462"/>
      <c r="W173" s="464"/>
      <c r="X173" s="475">
        <f t="shared" si="8"/>
        <v>636278.68000000017</v>
      </c>
      <c r="Y173" s="483">
        <v>7000</v>
      </c>
      <c r="Z173" s="462"/>
      <c r="AA173" s="462">
        <v>63966.65</v>
      </c>
      <c r="AB173" s="462"/>
      <c r="AC173" s="462">
        <v>23129.15</v>
      </c>
      <c r="AD173" s="462">
        <v>5920</v>
      </c>
      <c r="AE173" s="462">
        <v>591.45000000000005</v>
      </c>
      <c r="AF173" s="462"/>
      <c r="AG173" s="462"/>
      <c r="AH173" s="462"/>
      <c r="AI173" s="462"/>
      <c r="AJ173" s="462"/>
      <c r="AK173" s="462"/>
      <c r="AL173" s="465">
        <f t="shared" si="7"/>
        <v>100607.24999999999</v>
      </c>
      <c r="AM173" s="489">
        <v>75</v>
      </c>
      <c r="AN173" s="462">
        <v>379</v>
      </c>
      <c r="AO173" s="450">
        <v>-29358.080000000002</v>
      </c>
      <c r="AP173" s="462"/>
      <c r="AQ173" s="450">
        <v>-23.39</v>
      </c>
      <c r="AR173" s="466">
        <v>0.6</v>
      </c>
    </row>
    <row r="174" spans="1:44" x14ac:dyDescent="0.25">
      <c r="A174" s="460">
        <v>5674</v>
      </c>
      <c r="B174" s="461" t="s">
        <v>133</v>
      </c>
      <c r="C174" s="462">
        <v>274628.15000000002</v>
      </c>
      <c r="D174" s="464"/>
      <c r="E174" s="462"/>
      <c r="F174" s="464"/>
      <c r="G174" s="462">
        <v>2237.35</v>
      </c>
      <c r="H174" s="464"/>
      <c r="I174" s="462"/>
      <c r="J174" s="464">
        <v>3084.51</v>
      </c>
      <c r="K174" s="462"/>
      <c r="L174" s="464">
        <v>11401.2</v>
      </c>
      <c r="M174" s="479">
        <f t="shared" si="6"/>
        <v>291351.21000000002</v>
      </c>
      <c r="N174" s="462"/>
      <c r="O174" s="464">
        <v>55216.3</v>
      </c>
      <c r="P174" s="462"/>
      <c r="Q174" s="464"/>
      <c r="R174" s="462"/>
      <c r="S174" s="464"/>
      <c r="T174" s="462"/>
      <c r="U174" s="464">
        <v>940</v>
      </c>
      <c r="V174" s="462">
        <v>151.44999999999999</v>
      </c>
      <c r="W174" s="464"/>
      <c r="X174" s="475">
        <f t="shared" si="8"/>
        <v>347658.96</v>
      </c>
      <c r="Y174" s="483"/>
      <c r="Z174" s="462">
        <v>7931.3</v>
      </c>
      <c r="AA174" s="462"/>
      <c r="AB174" s="462">
        <v>11346.4</v>
      </c>
      <c r="AC174" s="462"/>
      <c r="AD174" s="462"/>
      <c r="AE174" s="462"/>
      <c r="AF174" s="462"/>
      <c r="AG174" s="462"/>
      <c r="AH174" s="462">
        <v>3452.35</v>
      </c>
      <c r="AI174" s="462"/>
      <c r="AJ174" s="462"/>
      <c r="AK174" s="462"/>
      <c r="AL174" s="465">
        <f t="shared" si="7"/>
        <v>22730.05</v>
      </c>
      <c r="AM174" s="489">
        <v>75</v>
      </c>
      <c r="AN174" s="462">
        <v>143</v>
      </c>
      <c r="AP174" s="462">
        <v>-12974.5</v>
      </c>
      <c r="AQ174" s="450">
        <v>0</v>
      </c>
      <c r="AR174" s="466">
        <v>0.7</v>
      </c>
    </row>
    <row r="175" spans="1:44" x14ac:dyDescent="0.25">
      <c r="A175" s="460">
        <v>5675</v>
      </c>
      <c r="B175" s="461" t="s">
        <v>134</v>
      </c>
      <c r="C175" s="462">
        <v>3400794.43</v>
      </c>
      <c r="D175" s="464">
        <v>395887.02</v>
      </c>
      <c r="E175" s="462"/>
      <c r="F175" s="464"/>
      <c r="G175" s="462">
        <v>698906.75</v>
      </c>
      <c r="H175" s="464">
        <v>7444.65</v>
      </c>
      <c r="I175" s="462"/>
      <c r="J175" s="464">
        <v>289852.40000000002</v>
      </c>
      <c r="K175" s="462">
        <v>18872.5</v>
      </c>
      <c r="L175" s="464">
        <v>524708.4</v>
      </c>
      <c r="M175" s="479">
        <f t="shared" si="6"/>
        <v>5336466.1500000013</v>
      </c>
      <c r="N175" s="462">
        <v>31958.400000000001</v>
      </c>
      <c r="O175" s="464">
        <v>37641.300000000003</v>
      </c>
      <c r="P175" s="462">
        <v>188260.65</v>
      </c>
      <c r="Q175" s="464">
        <v>31675.55</v>
      </c>
      <c r="R175" s="462">
        <v>125606.85</v>
      </c>
      <c r="S175" s="464"/>
      <c r="T175" s="462">
        <v>15196.55</v>
      </c>
      <c r="U175" s="464">
        <v>22200</v>
      </c>
      <c r="V175" s="462">
        <v>425</v>
      </c>
      <c r="W175" s="464"/>
      <c r="X175" s="475">
        <f t="shared" si="8"/>
        <v>5789430.4500000011</v>
      </c>
      <c r="Y175" s="483">
        <v>188030.85</v>
      </c>
      <c r="Z175" s="462"/>
      <c r="AA175" s="462">
        <v>226204.45</v>
      </c>
      <c r="AB175" s="462"/>
      <c r="AC175" s="462">
        <v>349288.56</v>
      </c>
      <c r="AD175" s="462">
        <v>113334.05</v>
      </c>
      <c r="AE175" s="462"/>
      <c r="AF175" s="462"/>
      <c r="AG175" s="462"/>
      <c r="AH175" s="462">
        <v>381100</v>
      </c>
      <c r="AI175" s="462"/>
      <c r="AJ175" s="462"/>
      <c r="AK175" s="462"/>
      <c r="AL175" s="465">
        <f t="shared" si="7"/>
        <v>1257957.9100000001</v>
      </c>
      <c r="AM175" s="489">
        <v>66</v>
      </c>
      <c r="AN175" s="462">
        <v>3380</v>
      </c>
      <c r="AO175" s="450">
        <v>-206215.88</v>
      </c>
      <c r="AP175" s="462"/>
      <c r="AQ175" s="450">
        <v>-565.05999999999995</v>
      </c>
      <c r="AR175" s="466">
        <v>1.1000000000000001</v>
      </c>
    </row>
    <row r="176" spans="1:44" x14ac:dyDescent="0.25">
      <c r="A176" s="460">
        <v>5678</v>
      </c>
      <c r="B176" s="461" t="s">
        <v>135</v>
      </c>
      <c r="C176" s="462">
        <v>6645473.3899999997</v>
      </c>
      <c r="D176" s="464">
        <v>700185.63</v>
      </c>
      <c r="E176" s="462"/>
      <c r="F176" s="464">
        <v>31651.95</v>
      </c>
      <c r="G176" s="462">
        <v>878057.2</v>
      </c>
      <c r="H176" s="464">
        <v>13182.35</v>
      </c>
      <c r="I176" s="462"/>
      <c r="J176" s="464">
        <v>539477.31999999995</v>
      </c>
      <c r="K176" s="462">
        <v>43408.5</v>
      </c>
      <c r="L176" s="464">
        <v>723218.05</v>
      </c>
      <c r="M176" s="479">
        <f t="shared" si="6"/>
        <v>9574654.3900000006</v>
      </c>
      <c r="N176" s="462">
        <v>174981.1</v>
      </c>
      <c r="O176" s="464">
        <v>164003.4</v>
      </c>
      <c r="P176" s="462">
        <v>354202.6</v>
      </c>
      <c r="Q176" s="464">
        <v>92575.84</v>
      </c>
      <c r="R176" s="462">
        <v>180094.4</v>
      </c>
      <c r="S176" s="464">
        <v>58972.95</v>
      </c>
      <c r="T176" s="462"/>
      <c r="U176" s="464">
        <v>51420</v>
      </c>
      <c r="V176" s="462">
        <v>42803.65</v>
      </c>
      <c r="W176" s="464">
        <v>2379</v>
      </c>
      <c r="X176" s="475">
        <f t="shared" si="8"/>
        <v>10696087.33</v>
      </c>
      <c r="Y176" s="483">
        <v>108317.4</v>
      </c>
      <c r="Z176" s="462"/>
      <c r="AA176" s="462">
        <v>872232.35</v>
      </c>
      <c r="AB176" s="462"/>
      <c r="AC176" s="462">
        <v>622870.9</v>
      </c>
      <c r="AD176" s="462">
        <v>54896.7</v>
      </c>
      <c r="AE176" s="462"/>
      <c r="AF176" s="462"/>
      <c r="AG176" s="462">
        <v>5399.8</v>
      </c>
      <c r="AH176" s="462">
        <v>213893.6</v>
      </c>
      <c r="AI176" s="462"/>
      <c r="AJ176" s="462"/>
      <c r="AK176" s="462"/>
      <c r="AL176" s="465">
        <f t="shared" si="7"/>
        <v>1877610.75</v>
      </c>
      <c r="AM176" s="489">
        <v>75</v>
      </c>
      <c r="AN176" s="462">
        <v>6003</v>
      </c>
      <c r="AO176" s="450">
        <v>-433206.72</v>
      </c>
      <c r="AP176" s="462"/>
      <c r="AQ176" s="450">
        <v>-287.72000000000003</v>
      </c>
      <c r="AR176" s="466">
        <v>1</v>
      </c>
    </row>
    <row r="177" spans="1:44" x14ac:dyDescent="0.25">
      <c r="A177" s="460">
        <v>5680</v>
      </c>
      <c r="B177" s="461" t="s">
        <v>136</v>
      </c>
      <c r="C177" s="462">
        <v>568809.56000000006</v>
      </c>
      <c r="D177" s="464">
        <v>40572.26</v>
      </c>
      <c r="E177" s="462"/>
      <c r="F177" s="464"/>
      <c r="G177" s="462">
        <v>8618.7000000000007</v>
      </c>
      <c r="H177" s="464">
        <v>74.25</v>
      </c>
      <c r="I177" s="462"/>
      <c r="J177" s="464">
        <v>8369.33</v>
      </c>
      <c r="K177" s="462">
        <v>55</v>
      </c>
      <c r="L177" s="464">
        <v>55387.15</v>
      </c>
      <c r="M177" s="479">
        <f t="shared" si="6"/>
        <v>681886.25</v>
      </c>
      <c r="N177" s="462"/>
      <c r="O177" s="464">
        <v>1500</v>
      </c>
      <c r="P177" s="462">
        <v>15439.9</v>
      </c>
      <c r="Q177" s="464"/>
      <c r="R177" s="462">
        <v>22530.05</v>
      </c>
      <c r="S177" s="464"/>
      <c r="T177" s="462">
        <v>30</v>
      </c>
      <c r="U177" s="464">
        <v>2300</v>
      </c>
      <c r="V177" s="462"/>
      <c r="W177" s="464"/>
      <c r="X177" s="475">
        <f t="shared" si="8"/>
        <v>723686.20000000007</v>
      </c>
      <c r="Y177" s="483">
        <v>27000</v>
      </c>
      <c r="Z177" s="462"/>
      <c r="AA177" s="462">
        <v>34189.949999999997</v>
      </c>
      <c r="AB177" s="462"/>
      <c r="AC177" s="462">
        <v>13256.5</v>
      </c>
      <c r="AD177" s="462">
        <v>10000</v>
      </c>
      <c r="AE177" s="462"/>
      <c r="AF177" s="462"/>
      <c r="AG177" s="462"/>
      <c r="AH177" s="462">
        <v>6389.5</v>
      </c>
      <c r="AI177" s="462"/>
      <c r="AJ177" s="462"/>
      <c r="AK177" s="462"/>
      <c r="AL177" s="465">
        <f t="shared" si="7"/>
        <v>90835.95</v>
      </c>
      <c r="AM177" s="489">
        <v>78</v>
      </c>
      <c r="AN177" s="462">
        <v>296</v>
      </c>
      <c r="AO177" s="450">
        <v>-82.1</v>
      </c>
      <c r="AP177" s="462"/>
      <c r="AQ177" s="450">
        <v>-2.56</v>
      </c>
      <c r="AR177" s="466">
        <v>1.5</v>
      </c>
    </row>
    <row r="178" spans="1:44" x14ac:dyDescent="0.25">
      <c r="A178" s="460">
        <v>5683</v>
      </c>
      <c r="B178" s="461" t="s">
        <v>137</v>
      </c>
      <c r="C178" s="462">
        <v>216000.02</v>
      </c>
      <c r="D178" s="464">
        <v>23620.27</v>
      </c>
      <c r="E178" s="462"/>
      <c r="F178" s="464"/>
      <c r="G178" s="462">
        <v>32598.75</v>
      </c>
      <c r="H178" s="464">
        <v>-17.05</v>
      </c>
      <c r="I178" s="462"/>
      <c r="J178" s="464">
        <v>16591.48</v>
      </c>
      <c r="K178" s="462">
        <v>93</v>
      </c>
      <c r="L178" s="487">
        <v>22195.05</v>
      </c>
      <c r="M178" s="479">
        <f t="shared" si="6"/>
        <v>311081.51999999996</v>
      </c>
      <c r="N178" s="462"/>
      <c r="O178" s="464"/>
      <c r="P178" s="462"/>
      <c r="Q178" s="464">
        <v>2938.48</v>
      </c>
      <c r="R178" s="462"/>
      <c r="S178" s="464"/>
      <c r="T178" s="462"/>
      <c r="U178" s="464">
        <v>1200</v>
      </c>
      <c r="V178" s="462"/>
      <c r="W178" s="464"/>
      <c r="X178" s="475">
        <f t="shared" si="8"/>
        <v>315219.99999999994</v>
      </c>
      <c r="Y178" s="483">
        <v>7500</v>
      </c>
      <c r="Z178" s="462"/>
      <c r="AA178" s="462">
        <v>9690.4</v>
      </c>
      <c r="AB178" s="462"/>
      <c r="AC178" s="462">
        <v>14525.75</v>
      </c>
      <c r="AD178" s="462"/>
      <c r="AE178" s="462"/>
      <c r="AF178" s="462"/>
      <c r="AG178" s="462"/>
      <c r="AH178" s="462"/>
      <c r="AI178" s="462"/>
      <c r="AJ178" s="462"/>
      <c r="AK178" s="462"/>
      <c r="AL178" s="465">
        <f t="shared" si="7"/>
        <v>31716.15</v>
      </c>
      <c r="AM178" s="489">
        <v>74</v>
      </c>
      <c r="AN178" s="462">
        <v>166</v>
      </c>
      <c r="AO178" s="450">
        <v>-8505.93</v>
      </c>
      <c r="AP178" s="462"/>
      <c r="AQ178" s="450">
        <v>0</v>
      </c>
      <c r="AR178" s="466">
        <v>1</v>
      </c>
    </row>
    <row r="179" spans="1:44" x14ac:dyDescent="0.25">
      <c r="A179" s="460">
        <v>5684</v>
      </c>
      <c r="B179" s="461" t="s">
        <v>138</v>
      </c>
      <c r="C179" s="462">
        <v>97430.78</v>
      </c>
      <c r="D179" s="464">
        <v>28183.47</v>
      </c>
      <c r="E179" s="462"/>
      <c r="F179" s="464"/>
      <c r="G179" s="462">
        <v>-1567.9</v>
      </c>
      <c r="H179" s="464">
        <v>10.8</v>
      </c>
      <c r="I179" s="462"/>
      <c r="J179" s="464"/>
      <c r="K179" s="462"/>
      <c r="L179" s="464">
        <v>6986</v>
      </c>
      <c r="M179" s="479">
        <f t="shared" si="6"/>
        <v>131043.15000000001</v>
      </c>
      <c r="N179" s="462"/>
      <c r="O179" s="464"/>
      <c r="P179" s="462"/>
      <c r="Q179" s="464"/>
      <c r="R179" s="462"/>
      <c r="S179" s="464"/>
      <c r="T179" s="462"/>
      <c r="U179" s="464"/>
      <c r="V179" s="462"/>
      <c r="W179" s="464"/>
      <c r="X179" s="475">
        <f t="shared" si="8"/>
        <v>131043.15000000001</v>
      </c>
      <c r="Y179" s="483"/>
      <c r="Z179" s="462"/>
      <c r="AA179" s="462">
        <v>3497</v>
      </c>
      <c r="AB179" s="462"/>
      <c r="AC179" s="462"/>
      <c r="AD179" s="462"/>
      <c r="AE179" s="462"/>
      <c r="AF179" s="462"/>
      <c r="AG179" s="462"/>
      <c r="AH179" s="462"/>
      <c r="AI179" s="462"/>
      <c r="AJ179" s="462"/>
      <c r="AK179" s="462"/>
      <c r="AL179" s="465">
        <f t="shared" si="7"/>
        <v>3497</v>
      </c>
      <c r="AM179" s="489">
        <v>60</v>
      </c>
      <c r="AN179" s="462">
        <v>60</v>
      </c>
      <c r="AO179" s="450">
        <v>-5592.4</v>
      </c>
      <c r="AP179" s="462"/>
      <c r="AQ179" s="450">
        <v>-0.13</v>
      </c>
      <c r="AR179" s="466">
        <v>0.8</v>
      </c>
    </row>
    <row r="180" spans="1:44" x14ac:dyDescent="0.25">
      <c r="A180" s="460">
        <v>5686</v>
      </c>
      <c r="B180" s="461" t="s">
        <v>139</v>
      </c>
      <c r="C180" s="462">
        <v>129452.19</v>
      </c>
      <c r="D180" s="464">
        <v>48909.01</v>
      </c>
      <c r="E180" s="462"/>
      <c r="F180" s="464"/>
      <c r="G180" s="462">
        <v>8447.6</v>
      </c>
      <c r="H180" s="464">
        <v>11.9</v>
      </c>
      <c r="I180" s="462"/>
      <c r="J180" s="464">
        <v>457.51</v>
      </c>
      <c r="K180" s="462"/>
      <c r="L180" s="464">
        <v>10725.75</v>
      </c>
      <c r="M180" s="479">
        <f t="shared" si="6"/>
        <v>198003.96000000002</v>
      </c>
      <c r="N180" s="462"/>
      <c r="O180" s="464"/>
      <c r="P180" s="462">
        <v>12326.9</v>
      </c>
      <c r="Q180" s="464"/>
      <c r="R180" s="462"/>
      <c r="S180" s="464"/>
      <c r="T180" s="462"/>
      <c r="U180" s="464">
        <v>125</v>
      </c>
      <c r="V180" s="462"/>
      <c r="W180" s="464"/>
      <c r="X180" s="475">
        <f t="shared" si="8"/>
        <v>210455.86000000002</v>
      </c>
      <c r="Y180" s="483"/>
      <c r="Z180" s="462"/>
      <c r="AA180" s="462">
        <v>3710.2</v>
      </c>
      <c r="AB180" s="462"/>
      <c r="AC180" s="462">
        <v>7806.55</v>
      </c>
      <c r="AD180" s="462"/>
      <c r="AE180" s="462"/>
      <c r="AF180" s="462"/>
      <c r="AG180" s="462"/>
      <c r="AH180" s="462">
        <v>2463.35</v>
      </c>
      <c r="AI180" s="462"/>
      <c r="AJ180" s="462"/>
      <c r="AK180" s="462"/>
      <c r="AL180" s="465">
        <f t="shared" si="7"/>
        <v>13980.1</v>
      </c>
      <c r="AM180" s="489">
        <v>74</v>
      </c>
      <c r="AN180" s="462">
        <v>82</v>
      </c>
      <c r="AO180" s="450">
        <v>-73809.05</v>
      </c>
      <c r="AP180" s="462"/>
      <c r="AQ180" s="450">
        <v>0</v>
      </c>
      <c r="AR180" s="466">
        <v>1</v>
      </c>
    </row>
    <row r="181" spans="1:44" x14ac:dyDescent="0.25">
      <c r="A181" s="460">
        <v>5688</v>
      </c>
      <c r="B181" s="461" t="s">
        <v>140</v>
      </c>
      <c r="C181" s="462">
        <v>279174.89</v>
      </c>
      <c r="D181" s="464">
        <v>61110.55</v>
      </c>
      <c r="E181" s="462"/>
      <c r="F181" s="464"/>
      <c r="G181" s="462">
        <v>-5784.15</v>
      </c>
      <c r="H181" s="464">
        <v>249.4</v>
      </c>
      <c r="I181" s="462"/>
      <c r="J181" s="464">
        <v>12693.46</v>
      </c>
      <c r="K181" s="462"/>
      <c r="L181" s="464">
        <v>21017.4</v>
      </c>
      <c r="M181" s="479">
        <f t="shared" si="6"/>
        <v>368461.55000000005</v>
      </c>
      <c r="N181" s="462">
        <v>115.75</v>
      </c>
      <c r="O181" s="464">
        <v>238.2</v>
      </c>
      <c r="P181" s="462">
        <v>42282.75</v>
      </c>
      <c r="Q181" s="464"/>
      <c r="R181" s="462">
        <v>515.79999999999995</v>
      </c>
      <c r="S181" s="464"/>
      <c r="T181" s="462"/>
      <c r="U181" s="464">
        <v>460</v>
      </c>
      <c r="V181" s="462"/>
      <c r="W181" s="464"/>
      <c r="X181" s="475">
        <f t="shared" si="8"/>
        <v>412074.05000000005</v>
      </c>
      <c r="Y181" s="483">
        <v>14800</v>
      </c>
      <c r="Z181" s="462"/>
      <c r="AA181" s="462">
        <v>7722</v>
      </c>
      <c r="AB181" s="462"/>
      <c r="AC181" s="462">
        <v>14401</v>
      </c>
      <c r="AD181" s="462"/>
      <c r="AE181" s="462"/>
      <c r="AF181" s="462"/>
      <c r="AG181" s="462"/>
      <c r="AH181" s="462"/>
      <c r="AI181" s="462"/>
      <c r="AJ181" s="462"/>
      <c r="AK181" s="462"/>
      <c r="AL181" s="465">
        <f t="shared" si="7"/>
        <v>36923</v>
      </c>
      <c r="AM181" s="489">
        <v>75.599999999999994</v>
      </c>
      <c r="AN181" s="462">
        <v>145</v>
      </c>
      <c r="AO181" s="450">
        <v>-2149.25</v>
      </c>
      <c r="AP181" s="462"/>
      <c r="AQ181" s="450">
        <v>0</v>
      </c>
      <c r="AR181" s="466">
        <v>1</v>
      </c>
    </row>
    <row r="182" spans="1:44" x14ac:dyDescent="0.25">
      <c r="A182" s="460">
        <v>5690</v>
      </c>
      <c r="B182" s="461" t="s">
        <v>141</v>
      </c>
      <c r="C182" s="462">
        <v>197123.11</v>
      </c>
      <c r="D182" s="464">
        <v>32713.77</v>
      </c>
      <c r="E182" s="462"/>
      <c r="F182" s="464">
        <v>900</v>
      </c>
      <c r="G182" s="462">
        <v>555.6</v>
      </c>
      <c r="H182" s="464">
        <v>462.15</v>
      </c>
      <c r="I182" s="462"/>
      <c r="J182" s="464">
        <v>8.02</v>
      </c>
      <c r="K182" s="462">
        <v>184</v>
      </c>
      <c r="L182" s="464">
        <v>28288.2</v>
      </c>
      <c r="M182" s="479">
        <f t="shared" si="6"/>
        <v>260234.84999999998</v>
      </c>
      <c r="N182" s="462"/>
      <c r="O182" s="464"/>
      <c r="P182" s="462">
        <v>1017.3</v>
      </c>
      <c r="Q182" s="464"/>
      <c r="R182" s="462">
        <v>1728.95</v>
      </c>
      <c r="S182" s="464"/>
      <c r="T182" s="462"/>
      <c r="U182" s="464">
        <v>575</v>
      </c>
      <c r="V182" s="462"/>
      <c r="W182" s="464"/>
      <c r="X182" s="475">
        <f t="shared" si="8"/>
        <v>263556.09999999998</v>
      </c>
      <c r="Y182" s="483">
        <v>2620</v>
      </c>
      <c r="Z182" s="462"/>
      <c r="AA182" s="462">
        <v>24777.200000000001</v>
      </c>
      <c r="AB182" s="462"/>
      <c r="AC182" s="462">
        <v>15093.6</v>
      </c>
      <c r="AD182" s="462"/>
      <c r="AE182" s="462"/>
      <c r="AF182" s="462"/>
      <c r="AG182" s="462"/>
      <c r="AH182" s="462"/>
      <c r="AI182" s="462"/>
      <c r="AJ182" s="462"/>
      <c r="AK182" s="462"/>
      <c r="AL182" s="465">
        <f t="shared" si="7"/>
        <v>42490.8</v>
      </c>
      <c r="AM182" s="489">
        <v>76</v>
      </c>
      <c r="AN182" s="462">
        <v>143</v>
      </c>
      <c r="AO182" s="450">
        <v>-3631.78</v>
      </c>
      <c r="AP182" s="462"/>
      <c r="AQ182" s="450">
        <v>0</v>
      </c>
      <c r="AR182" s="466">
        <v>1.5</v>
      </c>
    </row>
    <row r="183" spans="1:44" x14ac:dyDescent="0.25">
      <c r="A183" s="460">
        <v>5692</v>
      </c>
      <c r="B183" s="461" t="s">
        <v>142</v>
      </c>
      <c r="C183" s="462">
        <v>1145350.3</v>
      </c>
      <c r="D183" s="464">
        <v>89609.3</v>
      </c>
      <c r="E183" s="462"/>
      <c r="F183" s="464"/>
      <c r="G183" s="462">
        <v>16158.4</v>
      </c>
      <c r="H183" s="464">
        <v>9.1500000000000092</v>
      </c>
      <c r="I183" s="462"/>
      <c r="J183" s="464">
        <v>6440.13</v>
      </c>
      <c r="K183" s="462">
        <v>427.5</v>
      </c>
      <c r="L183" s="464">
        <v>85438</v>
      </c>
      <c r="M183" s="479">
        <f t="shared" si="6"/>
        <v>1343432.7799999998</v>
      </c>
      <c r="N183" s="462">
        <v>5328.7</v>
      </c>
      <c r="O183" s="464">
        <v>109142.39999999999</v>
      </c>
      <c r="P183" s="462">
        <v>17542.5</v>
      </c>
      <c r="Q183" s="464">
        <v>10085.540000000001</v>
      </c>
      <c r="R183" s="462">
        <v>9543.15</v>
      </c>
      <c r="S183" s="464">
        <v>125</v>
      </c>
      <c r="T183" s="462">
        <v>430</v>
      </c>
      <c r="U183" s="464">
        <v>5600</v>
      </c>
      <c r="V183" s="462"/>
      <c r="W183" s="464"/>
      <c r="X183" s="475">
        <f t="shared" si="8"/>
        <v>1501230.0699999996</v>
      </c>
      <c r="Y183" s="483">
        <v>43518</v>
      </c>
      <c r="Z183" s="462"/>
      <c r="AA183" s="462">
        <v>73823.399999999994</v>
      </c>
      <c r="AB183" s="462"/>
      <c r="AC183" s="462">
        <v>34113.199999999997</v>
      </c>
      <c r="AD183" s="462">
        <v>37009.85</v>
      </c>
      <c r="AE183" s="462"/>
      <c r="AF183" s="462"/>
      <c r="AG183" s="462"/>
      <c r="AH183" s="462"/>
      <c r="AI183" s="462"/>
      <c r="AJ183" s="462">
        <v>9635.85</v>
      </c>
      <c r="AK183" s="462"/>
      <c r="AL183" s="465">
        <f t="shared" si="7"/>
        <v>198100.3</v>
      </c>
      <c r="AM183" s="489">
        <v>79</v>
      </c>
      <c r="AN183" s="462">
        <v>557</v>
      </c>
      <c r="AO183" s="450">
        <v>-11052.96</v>
      </c>
      <c r="AP183" s="462"/>
      <c r="AQ183" s="450">
        <v>0</v>
      </c>
      <c r="AR183" s="466">
        <v>1</v>
      </c>
    </row>
    <row r="184" spans="1:44" x14ac:dyDescent="0.25">
      <c r="A184" s="460">
        <v>5693</v>
      </c>
      <c r="B184" s="461" t="s">
        <v>503</v>
      </c>
      <c r="C184" s="462">
        <v>3685170.2</v>
      </c>
      <c r="D184" s="464">
        <v>354203.93</v>
      </c>
      <c r="E184" s="462"/>
      <c r="F184" s="464"/>
      <c r="G184" s="462">
        <v>207209.7</v>
      </c>
      <c r="H184" s="464">
        <v>1647.25</v>
      </c>
      <c r="I184" s="462"/>
      <c r="J184" s="464">
        <v>100735.82</v>
      </c>
      <c r="K184" s="462">
        <v>2802</v>
      </c>
      <c r="L184" s="464">
        <v>319027.8</v>
      </c>
      <c r="M184" s="479">
        <f t="shared" si="6"/>
        <v>4670796.7</v>
      </c>
      <c r="N184" s="462">
        <v>11101.4</v>
      </c>
      <c r="O184" s="464">
        <v>53951.1</v>
      </c>
      <c r="P184" s="462">
        <v>126289.05</v>
      </c>
      <c r="Q184" s="464">
        <v>5911.01</v>
      </c>
      <c r="R184" s="462">
        <v>106443.45</v>
      </c>
      <c r="S184" s="464"/>
      <c r="T184" s="462"/>
      <c r="U184" s="464">
        <v>13530</v>
      </c>
      <c r="V184" s="462"/>
      <c r="W184" s="464"/>
      <c r="X184" s="475">
        <f t="shared" si="8"/>
        <v>4988022.71</v>
      </c>
      <c r="Y184" s="483">
        <v>110085.85</v>
      </c>
      <c r="Z184" s="462"/>
      <c r="AA184" s="462">
        <v>296821.3</v>
      </c>
      <c r="AB184" s="462"/>
      <c r="AC184" s="462">
        <v>281554.65000000002</v>
      </c>
      <c r="AD184" s="462">
        <v>39970</v>
      </c>
      <c r="AE184" s="462"/>
      <c r="AF184" s="462"/>
      <c r="AG184" s="462"/>
      <c r="AH184" s="462">
        <v>64793.7</v>
      </c>
      <c r="AI184" s="462"/>
      <c r="AJ184" s="462"/>
      <c r="AK184" s="462"/>
      <c r="AL184" s="465">
        <f t="shared" si="7"/>
        <v>793225.5</v>
      </c>
      <c r="AM184" s="489">
        <v>72</v>
      </c>
      <c r="AN184" s="462">
        <v>2500</v>
      </c>
      <c r="AO184" s="450">
        <v>-98426.97</v>
      </c>
      <c r="AP184" s="462"/>
      <c r="AQ184" s="450">
        <v>-154.87</v>
      </c>
      <c r="AR184" s="466">
        <v>1</v>
      </c>
    </row>
    <row r="185" spans="1:44" x14ac:dyDescent="0.25">
      <c r="A185" s="460">
        <v>5701</v>
      </c>
      <c r="B185" s="461" t="s">
        <v>143</v>
      </c>
      <c r="C185" s="462">
        <v>797694.36</v>
      </c>
      <c r="D185" s="464">
        <v>134528.72</v>
      </c>
      <c r="E185" s="462"/>
      <c r="F185" s="464"/>
      <c r="G185" s="462">
        <v>11071.95</v>
      </c>
      <c r="H185" s="464">
        <v>29.65</v>
      </c>
      <c r="I185" s="462">
        <v>62884.15</v>
      </c>
      <c r="J185" s="464">
        <v>12671.43</v>
      </c>
      <c r="K185" s="462">
        <v>16</v>
      </c>
      <c r="L185" s="464">
        <v>65446.400000000001</v>
      </c>
      <c r="M185" s="479">
        <f t="shared" si="6"/>
        <v>1084342.6599999999</v>
      </c>
      <c r="N185" s="462"/>
      <c r="O185" s="464"/>
      <c r="P185" s="462">
        <v>36300</v>
      </c>
      <c r="Q185" s="464"/>
      <c r="R185" s="462">
        <v>77532.350000000006</v>
      </c>
      <c r="S185" s="464"/>
      <c r="T185" s="462"/>
      <c r="U185" s="464">
        <v>900</v>
      </c>
      <c r="V185" s="462"/>
      <c r="W185" s="464"/>
      <c r="X185" s="475">
        <f t="shared" si="8"/>
        <v>1199075.01</v>
      </c>
      <c r="Y185" s="483">
        <v>23164.9</v>
      </c>
      <c r="Z185" s="462"/>
      <c r="AA185" s="462">
        <v>27306.29</v>
      </c>
      <c r="AB185" s="462"/>
      <c r="AC185" s="462">
        <v>15794.7</v>
      </c>
      <c r="AD185" s="462">
        <v>350</v>
      </c>
      <c r="AE185" s="462"/>
      <c r="AF185" s="462"/>
      <c r="AG185" s="462">
        <v>102</v>
      </c>
      <c r="AH185" s="462"/>
      <c r="AI185" s="462"/>
      <c r="AJ185" s="462"/>
      <c r="AK185" s="462"/>
      <c r="AL185" s="465">
        <f t="shared" si="7"/>
        <v>66717.89</v>
      </c>
      <c r="AM185" s="489">
        <v>70</v>
      </c>
      <c r="AN185" s="462">
        <v>214</v>
      </c>
      <c r="AO185" s="450">
        <v>-15399.91</v>
      </c>
      <c r="AP185" s="462"/>
      <c r="AQ185" s="450">
        <v>0</v>
      </c>
      <c r="AR185" s="466">
        <v>1</v>
      </c>
    </row>
    <row r="186" spans="1:44" x14ac:dyDescent="0.25">
      <c r="A186" s="460">
        <v>5702</v>
      </c>
      <c r="B186" s="461" t="s">
        <v>502</v>
      </c>
      <c r="C186" s="462">
        <v>7448077.9400000004</v>
      </c>
      <c r="D186" s="464">
        <v>1038554.64</v>
      </c>
      <c r="E186" s="462"/>
      <c r="F186" s="464"/>
      <c r="G186" s="462">
        <v>160047.6</v>
      </c>
      <c r="H186" s="464">
        <v>14400.9</v>
      </c>
      <c r="I186" s="462">
        <v>463597.88</v>
      </c>
      <c r="J186" s="464">
        <v>95044.33</v>
      </c>
      <c r="K186" s="462">
        <v>11801.5</v>
      </c>
      <c r="L186" s="464">
        <v>1023782.85</v>
      </c>
      <c r="M186" s="479">
        <f t="shared" si="6"/>
        <v>10255307.640000001</v>
      </c>
      <c r="N186" s="462">
        <v>60340.95</v>
      </c>
      <c r="O186" s="464">
        <v>136333.6</v>
      </c>
      <c r="P186" s="462">
        <v>597142.6</v>
      </c>
      <c r="Q186" s="464">
        <v>13592.12</v>
      </c>
      <c r="R186" s="462">
        <v>172600.55</v>
      </c>
      <c r="S186" s="464"/>
      <c r="T186" s="462"/>
      <c r="U186" s="464">
        <v>23400</v>
      </c>
      <c r="V186" s="462"/>
      <c r="W186" s="464"/>
      <c r="X186" s="475">
        <f t="shared" si="8"/>
        <v>11258717.459999999</v>
      </c>
      <c r="Y186" s="483">
        <v>104569.35</v>
      </c>
      <c r="Z186" s="462"/>
      <c r="AA186" s="462">
        <v>240410.75</v>
      </c>
      <c r="AB186" s="462"/>
      <c r="AC186" s="462">
        <v>228690</v>
      </c>
      <c r="AD186" s="462">
        <v>195643</v>
      </c>
      <c r="AE186" s="462"/>
      <c r="AF186" s="462"/>
      <c r="AG186" s="462">
        <v>20295.66</v>
      </c>
      <c r="AH186" s="462"/>
      <c r="AI186" s="462"/>
      <c r="AJ186" s="462"/>
      <c r="AK186" s="462"/>
      <c r="AL186" s="465">
        <f t="shared" si="7"/>
        <v>789608.76</v>
      </c>
      <c r="AM186" s="489">
        <v>64</v>
      </c>
      <c r="AN186" s="462">
        <v>2565</v>
      </c>
      <c r="AO186" s="450">
        <v>-74728.460000000006</v>
      </c>
      <c r="AP186" s="462"/>
      <c r="AQ186" s="450">
        <v>-5046.3999999999996</v>
      </c>
      <c r="AR186" s="466">
        <v>1.5</v>
      </c>
    </row>
    <row r="187" spans="1:44" x14ac:dyDescent="0.25">
      <c r="A187" s="460">
        <v>5703</v>
      </c>
      <c r="B187" s="461" t="s">
        <v>144</v>
      </c>
      <c r="C187" s="462">
        <v>3001779.69</v>
      </c>
      <c r="D187" s="464">
        <v>324509.03999999998</v>
      </c>
      <c r="E187" s="462"/>
      <c r="F187" s="464"/>
      <c r="G187" s="462">
        <v>72493.149999999994</v>
      </c>
      <c r="H187" s="464">
        <v>419.95</v>
      </c>
      <c r="I187" s="462">
        <v>10517.3</v>
      </c>
      <c r="J187" s="464">
        <v>23533.01</v>
      </c>
      <c r="K187" s="462">
        <v>185.5</v>
      </c>
      <c r="L187" s="464">
        <v>343665.9</v>
      </c>
      <c r="M187" s="479">
        <f t="shared" si="6"/>
        <v>3777103.5399999996</v>
      </c>
      <c r="N187" s="462">
        <v>34704.25</v>
      </c>
      <c r="O187" s="464">
        <v>6361.8</v>
      </c>
      <c r="P187" s="462">
        <v>128623.25</v>
      </c>
      <c r="Q187" s="464">
        <v>27300.17</v>
      </c>
      <c r="R187" s="462">
        <v>54970.15</v>
      </c>
      <c r="S187" s="464"/>
      <c r="T187" s="462"/>
      <c r="U187" s="464">
        <v>9945</v>
      </c>
      <c r="V187" s="462"/>
      <c r="W187" s="464"/>
      <c r="X187" s="475">
        <f t="shared" si="8"/>
        <v>4039008.1599999992</v>
      </c>
      <c r="Y187" s="483">
        <v>22296.75</v>
      </c>
      <c r="Z187" s="462"/>
      <c r="AA187" s="462">
        <v>152770</v>
      </c>
      <c r="AB187" s="462"/>
      <c r="AC187" s="462">
        <v>96407.05</v>
      </c>
      <c r="AD187" s="462">
        <v>27413.35</v>
      </c>
      <c r="AE187" s="462"/>
      <c r="AF187" s="462"/>
      <c r="AG187" s="462"/>
      <c r="AH187" s="462"/>
      <c r="AI187" s="462"/>
      <c r="AJ187" s="462"/>
      <c r="AK187" s="462"/>
      <c r="AL187" s="465">
        <f t="shared" si="7"/>
        <v>298887.14999999997</v>
      </c>
      <c r="AM187" s="489">
        <v>71</v>
      </c>
      <c r="AN187" s="462">
        <v>1311</v>
      </c>
      <c r="AO187" s="450">
        <v>-28188.720000000001</v>
      </c>
      <c r="AP187" s="462"/>
      <c r="AQ187" s="450">
        <v>-510.72</v>
      </c>
      <c r="AR187" s="466">
        <v>1.2</v>
      </c>
    </row>
    <row r="188" spans="1:44" x14ac:dyDescent="0.25">
      <c r="A188" s="460">
        <v>5704</v>
      </c>
      <c r="B188" s="461" t="s">
        <v>256</v>
      </c>
      <c r="C188" s="462">
        <v>5332095.63</v>
      </c>
      <c r="D188" s="464">
        <v>1583742.74</v>
      </c>
      <c r="E188" s="462"/>
      <c r="F188" s="464"/>
      <c r="G188" s="462">
        <v>131577.45000000001</v>
      </c>
      <c r="H188" s="464">
        <v>6944.65</v>
      </c>
      <c r="I188" s="462">
        <v>384651.5</v>
      </c>
      <c r="J188" s="464">
        <v>142920.94</v>
      </c>
      <c r="K188" s="462">
        <v>1369.5</v>
      </c>
      <c r="L188" s="464">
        <v>673574.5</v>
      </c>
      <c r="M188" s="479">
        <f t="shared" si="6"/>
        <v>8256876.9100000011</v>
      </c>
      <c r="N188" s="462">
        <v>52487.1</v>
      </c>
      <c r="O188" s="464">
        <v>104803</v>
      </c>
      <c r="P188" s="462">
        <v>341186.55</v>
      </c>
      <c r="Q188" s="464">
        <v>-2184.35</v>
      </c>
      <c r="R188" s="462">
        <v>261044.95</v>
      </c>
      <c r="S188" s="464"/>
      <c r="T188" s="462"/>
      <c r="U188" s="464">
        <v>9350</v>
      </c>
      <c r="V188" s="462"/>
      <c r="W188" s="464"/>
      <c r="X188" s="475">
        <f t="shared" si="8"/>
        <v>9023564.160000002</v>
      </c>
      <c r="Y188" s="483">
        <v>38757.68</v>
      </c>
      <c r="Z188" s="462"/>
      <c r="AA188" s="462">
        <v>176724.75</v>
      </c>
      <c r="AB188" s="462"/>
      <c r="AC188" s="462">
        <v>101650.95</v>
      </c>
      <c r="AD188" s="462">
        <v>31204.67</v>
      </c>
      <c r="AE188" s="462"/>
      <c r="AF188" s="462"/>
      <c r="AG188" s="462">
        <v>8800.7000000000007</v>
      </c>
      <c r="AH188" s="462">
        <v>49941.11</v>
      </c>
      <c r="AI188" s="462">
        <v>28536.05</v>
      </c>
      <c r="AJ188" s="462"/>
      <c r="AK188" s="462"/>
      <c r="AL188" s="465">
        <f t="shared" si="7"/>
        <v>435615.91</v>
      </c>
      <c r="AM188" s="489">
        <v>67</v>
      </c>
      <c r="AN188" s="462">
        <v>1856</v>
      </c>
      <c r="AO188" s="450">
        <v>-98455.53</v>
      </c>
      <c r="AP188" s="462"/>
      <c r="AQ188" s="450">
        <v>-5155.2299999999996</v>
      </c>
      <c r="AR188" s="466">
        <v>1.5</v>
      </c>
    </row>
    <row r="189" spans="1:44" x14ac:dyDescent="0.25">
      <c r="A189" s="460">
        <v>5705</v>
      </c>
      <c r="B189" s="461" t="s">
        <v>257</v>
      </c>
      <c r="C189" s="462">
        <v>2745566.01</v>
      </c>
      <c r="D189" s="464">
        <v>402654.38</v>
      </c>
      <c r="E189" s="462"/>
      <c r="F189" s="464"/>
      <c r="G189" s="462">
        <v>30078.05</v>
      </c>
      <c r="H189" s="464">
        <v>848.65</v>
      </c>
      <c r="I189" s="462">
        <v>21804.9</v>
      </c>
      <c r="J189" s="464">
        <v>59299.11</v>
      </c>
      <c r="K189" s="462">
        <v>9034</v>
      </c>
      <c r="L189" s="464">
        <v>209829.3</v>
      </c>
      <c r="M189" s="479">
        <f t="shared" si="6"/>
        <v>3479114.399999999</v>
      </c>
      <c r="N189" s="462">
        <v>30724.95</v>
      </c>
      <c r="O189" s="464"/>
      <c r="P189" s="462">
        <v>80330.5</v>
      </c>
      <c r="Q189" s="464">
        <v>4314.8900000000003</v>
      </c>
      <c r="R189" s="462">
        <v>55773.8</v>
      </c>
      <c r="S189" s="464"/>
      <c r="T189" s="462"/>
      <c r="U189" s="464">
        <v>1860</v>
      </c>
      <c r="V189" s="462"/>
      <c r="W189" s="464"/>
      <c r="X189" s="475">
        <f t="shared" si="8"/>
        <v>3652118.5399999991</v>
      </c>
      <c r="Y189" s="483"/>
      <c r="Z189" s="462"/>
      <c r="AA189" s="462"/>
      <c r="AB189" s="462"/>
      <c r="AC189" s="462">
        <v>113532.5</v>
      </c>
      <c r="AD189" s="462"/>
      <c r="AE189" s="462"/>
      <c r="AF189" s="462"/>
      <c r="AG189" s="462"/>
      <c r="AH189" s="462"/>
      <c r="AI189" s="462"/>
      <c r="AJ189" s="462"/>
      <c r="AK189" s="462"/>
      <c r="AL189" s="465">
        <f t="shared" si="7"/>
        <v>113532.5</v>
      </c>
      <c r="AM189" s="489">
        <v>70</v>
      </c>
      <c r="AN189" s="462">
        <v>827</v>
      </c>
      <c r="AO189" s="450">
        <v>-6225.45</v>
      </c>
      <c r="AP189" s="462"/>
      <c r="AQ189" s="450">
        <v>-4456.5</v>
      </c>
      <c r="AR189" s="466">
        <v>1</v>
      </c>
    </row>
    <row r="190" spans="1:44" x14ac:dyDescent="0.25">
      <c r="A190" s="460">
        <v>5706</v>
      </c>
      <c r="B190" s="461" t="s">
        <v>258</v>
      </c>
      <c r="C190" s="462">
        <v>2839899.56</v>
      </c>
      <c r="D190" s="464">
        <v>566867.1</v>
      </c>
      <c r="E190" s="462"/>
      <c r="F190" s="464"/>
      <c r="G190" s="462">
        <v>20996.05</v>
      </c>
      <c r="H190" s="464">
        <v>566.79999999999995</v>
      </c>
      <c r="I190" s="462">
        <v>-17830.45</v>
      </c>
      <c r="J190" s="464">
        <v>102006.02</v>
      </c>
      <c r="K190" s="462">
        <v>1957.5</v>
      </c>
      <c r="L190" s="464">
        <v>358796.15</v>
      </c>
      <c r="M190" s="479">
        <f t="shared" si="6"/>
        <v>3873258.7299999995</v>
      </c>
      <c r="N190" s="462">
        <v>7866.85</v>
      </c>
      <c r="O190" s="464">
        <v>9871.7999999999993</v>
      </c>
      <c r="P190" s="462">
        <v>200483.85</v>
      </c>
      <c r="Q190" s="464">
        <v>3709.8</v>
      </c>
      <c r="R190" s="462">
        <v>210270.5</v>
      </c>
      <c r="S190" s="464"/>
      <c r="T190" s="462"/>
      <c r="U190" s="464">
        <v>5625</v>
      </c>
      <c r="V190" s="462"/>
      <c r="W190" s="464"/>
      <c r="X190" s="475">
        <f t="shared" si="8"/>
        <v>4311086.5299999993</v>
      </c>
      <c r="Y190" s="483">
        <v>168808</v>
      </c>
      <c r="Z190" s="462"/>
      <c r="AA190" s="462">
        <v>160227.09</v>
      </c>
      <c r="AB190" s="462"/>
      <c r="AC190" s="462">
        <v>79112.5</v>
      </c>
      <c r="AD190" s="462"/>
      <c r="AE190" s="462"/>
      <c r="AF190" s="462"/>
      <c r="AG190" s="462">
        <v>114</v>
      </c>
      <c r="AH190" s="462"/>
      <c r="AI190" s="462"/>
      <c r="AJ190" s="462"/>
      <c r="AK190" s="462"/>
      <c r="AL190" s="465">
        <f t="shared" si="7"/>
        <v>408261.58999999997</v>
      </c>
      <c r="AM190" s="489">
        <v>55</v>
      </c>
      <c r="AN190" s="462">
        <v>1099</v>
      </c>
      <c r="AO190" s="450">
        <v>-2433.25</v>
      </c>
      <c r="AP190" s="462"/>
      <c r="AQ190" s="450">
        <v>-3323.14</v>
      </c>
      <c r="AR190" s="466">
        <v>1.5</v>
      </c>
    </row>
    <row r="191" spans="1:44" x14ac:dyDescent="0.25">
      <c r="A191" s="460">
        <v>5707</v>
      </c>
      <c r="B191" s="461" t="s">
        <v>259</v>
      </c>
      <c r="C191" s="462">
        <v>4063785.15</v>
      </c>
      <c r="D191" s="464">
        <v>573076.64</v>
      </c>
      <c r="E191" s="462"/>
      <c r="F191" s="464"/>
      <c r="G191" s="462">
        <v>577805.19999999995</v>
      </c>
      <c r="H191" s="464">
        <v>6153.5</v>
      </c>
      <c r="I191" s="462">
        <v>97054</v>
      </c>
      <c r="J191" s="464">
        <v>180783.23</v>
      </c>
      <c r="K191" s="462">
        <v>57170</v>
      </c>
      <c r="L191" s="464">
        <v>677517.4</v>
      </c>
      <c r="M191" s="479">
        <f t="shared" si="6"/>
        <v>6233345.120000001</v>
      </c>
      <c r="N191" s="462">
        <v>532120.35</v>
      </c>
      <c r="O191" s="464"/>
      <c r="P191" s="462">
        <v>243641.8</v>
      </c>
      <c r="Q191" s="464">
        <v>2470.46</v>
      </c>
      <c r="R191" s="462">
        <v>196420.35</v>
      </c>
      <c r="S191" s="464">
        <v>39765.35</v>
      </c>
      <c r="T191" s="462"/>
      <c r="U191" s="464">
        <v>3900</v>
      </c>
      <c r="V191" s="462"/>
      <c r="W191" s="464"/>
      <c r="X191" s="475">
        <f t="shared" si="8"/>
        <v>7251663.4299999997</v>
      </c>
      <c r="Y191" s="483"/>
      <c r="Z191" s="462"/>
      <c r="AA191" s="462"/>
      <c r="AB191" s="462"/>
      <c r="AC191" s="462">
        <v>130841.15</v>
      </c>
      <c r="AD191" s="462"/>
      <c r="AE191" s="462"/>
      <c r="AF191" s="462"/>
      <c r="AG191" s="462">
        <v>170090</v>
      </c>
      <c r="AH191" s="462">
        <v>86997.55</v>
      </c>
      <c r="AI191" s="462"/>
      <c r="AJ191" s="462"/>
      <c r="AK191" s="462"/>
      <c r="AL191" s="465">
        <f t="shared" si="7"/>
        <v>387928.7</v>
      </c>
      <c r="AM191" s="489">
        <v>59</v>
      </c>
      <c r="AN191" s="462">
        <v>1153</v>
      </c>
      <c r="AO191" s="450">
        <v>-34928.61</v>
      </c>
      <c r="AP191" s="462"/>
      <c r="AQ191" s="450">
        <v>-589.27</v>
      </c>
      <c r="AR191" s="466">
        <v>1.5</v>
      </c>
    </row>
    <row r="192" spans="1:44" x14ac:dyDescent="0.25">
      <c r="A192" s="460">
        <v>5708</v>
      </c>
      <c r="B192" s="461" t="s">
        <v>260</v>
      </c>
      <c r="C192" s="462">
        <v>3369339.24</v>
      </c>
      <c r="D192" s="464">
        <v>400525.7</v>
      </c>
      <c r="E192" s="462"/>
      <c r="F192" s="464"/>
      <c r="G192" s="462">
        <v>19783.95</v>
      </c>
      <c r="H192" s="464">
        <v>10941.4</v>
      </c>
      <c r="I192" s="462">
        <v>33137.800000000003</v>
      </c>
      <c r="J192" s="464">
        <v>-51771.15</v>
      </c>
      <c r="K192" s="462">
        <v>15109.5</v>
      </c>
      <c r="L192" s="464">
        <v>371380.3</v>
      </c>
      <c r="M192" s="479">
        <f t="shared" si="6"/>
        <v>4168446.74</v>
      </c>
      <c r="N192" s="462">
        <v>1162.3499999999999</v>
      </c>
      <c r="O192" s="464"/>
      <c r="P192" s="462">
        <v>193672.65</v>
      </c>
      <c r="Q192" s="464">
        <v>3388.34</v>
      </c>
      <c r="R192" s="462">
        <v>92457</v>
      </c>
      <c r="S192" s="464"/>
      <c r="T192" s="462"/>
      <c r="U192" s="464">
        <v>1860</v>
      </c>
      <c r="V192" s="462"/>
      <c r="W192" s="464"/>
      <c r="X192" s="475">
        <f t="shared" si="8"/>
        <v>4460987.08</v>
      </c>
      <c r="Y192" s="483">
        <v>4851.1000000000004</v>
      </c>
      <c r="Z192" s="462"/>
      <c r="AA192" s="462">
        <v>-86.85</v>
      </c>
      <c r="AB192" s="462"/>
      <c r="AC192" s="462">
        <v>73791.13</v>
      </c>
      <c r="AD192" s="462"/>
      <c r="AE192" s="462"/>
      <c r="AF192" s="462"/>
      <c r="AG192" s="462"/>
      <c r="AH192" s="462"/>
      <c r="AI192" s="462"/>
      <c r="AJ192" s="462"/>
      <c r="AK192" s="462"/>
      <c r="AL192" s="465">
        <f t="shared" si="7"/>
        <v>78555.38</v>
      </c>
      <c r="AM192" s="489">
        <v>61</v>
      </c>
      <c r="AN192" s="462">
        <v>850</v>
      </c>
      <c r="AO192" s="450">
        <v>-16731.75</v>
      </c>
      <c r="AP192" s="462"/>
      <c r="AQ192" s="450">
        <v>-555.69000000000005</v>
      </c>
      <c r="AR192" s="466">
        <v>1.5</v>
      </c>
    </row>
    <row r="193" spans="1:44" x14ac:dyDescent="0.25">
      <c r="A193" s="460">
        <v>5709</v>
      </c>
      <c r="B193" s="461" t="s">
        <v>261</v>
      </c>
      <c r="C193" s="462">
        <v>3805451.99</v>
      </c>
      <c r="D193" s="464">
        <v>1886685.72</v>
      </c>
      <c r="E193" s="462"/>
      <c r="F193" s="464"/>
      <c r="G193" s="462">
        <v>29977.599999999999</v>
      </c>
      <c r="H193" s="464">
        <v>992471.55</v>
      </c>
      <c r="I193" s="462">
        <v>199591.6</v>
      </c>
      <c r="J193" s="464">
        <v>151909.82</v>
      </c>
      <c r="K193" s="462">
        <v>2004.5</v>
      </c>
      <c r="L193" s="464">
        <v>349357.7</v>
      </c>
      <c r="M193" s="479">
        <f t="shared" si="6"/>
        <v>7417450.4799999995</v>
      </c>
      <c r="N193" s="462">
        <v>25524.7</v>
      </c>
      <c r="O193" s="464">
        <v>307438.8</v>
      </c>
      <c r="P193" s="462">
        <v>1071483.5</v>
      </c>
      <c r="Q193" s="464"/>
      <c r="R193" s="462">
        <v>219.65</v>
      </c>
      <c r="S193" s="464">
        <v>925</v>
      </c>
      <c r="T193" s="462">
        <v>2298.35</v>
      </c>
      <c r="U193" s="464">
        <v>9850</v>
      </c>
      <c r="V193" s="462"/>
      <c r="W193" s="464"/>
      <c r="X193" s="475">
        <f t="shared" si="8"/>
        <v>8835190.4800000004</v>
      </c>
      <c r="Y193" s="483">
        <v>71302.350000000006</v>
      </c>
      <c r="Z193" s="462">
        <v>22258.5</v>
      </c>
      <c r="AA193" s="462">
        <v>44907.5</v>
      </c>
      <c r="AB193" s="462"/>
      <c r="AC193" s="462">
        <v>109595.95</v>
      </c>
      <c r="AD193" s="462"/>
      <c r="AE193" s="462"/>
      <c r="AF193" s="462"/>
      <c r="AG193" s="462">
        <v>12043.7</v>
      </c>
      <c r="AH193" s="462"/>
      <c r="AI193" s="462"/>
      <c r="AJ193" s="462"/>
      <c r="AK193" s="462"/>
      <c r="AL193" s="465">
        <f t="shared" si="7"/>
        <v>260108</v>
      </c>
      <c r="AM193" s="489">
        <v>52</v>
      </c>
      <c r="AN193" s="462">
        <v>1222</v>
      </c>
      <c r="AO193" s="450">
        <v>-48437.61</v>
      </c>
      <c r="AP193" s="462"/>
      <c r="AQ193" s="450">
        <v>-1598.55</v>
      </c>
      <c r="AR193" s="466">
        <v>1</v>
      </c>
    </row>
    <row r="194" spans="1:44" x14ac:dyDescent="0.25">
      <c r="A194" s="460">
        <v>5710</v>
      </c>
      <c r="B194" s="461" t="s">
        <v>262</v>
      </c>
      <c r="C194" s="462">
        <v>1124760.02</v>
      </c>
      <c r="D194" s="464">
        <v>204380.65</v>
      </c>
      <c r="E194" s="462"/>
      <c r="F194" s="464"/>
      <c r="G194" s="462">
        <v>862809.55</v>
      </c>
      <c r="H194" s="464">
        <v>983937.2</v>
      </c>
      <c r="I194" s="462">
        <v>133369.45000000001</v>
      </c>
      <c r="J194" s="464">
        <v>-244309.86</v>
      </c>
      <c r="K194" s="462">
        <v>5222.7</v>
      </c>
      <c r="L194" s="464">
        <v>113984.7</v>
      </c>
      <c r="M194" s="479">
        <f t="shared" si="6"/>
        <v>3184154.4100000006</v>
      </c>
      <c r="N194" s="462">
        <v>28126.3</v>
      </c>
      <c r="O194" s="464"/>
      <c r="P194" s="462">
        <v>61590.7</v>
      </c>
      <c r="Q194" s="464">
        <v>4608.95</v>
      </c>
      <c r="R194" s="462">
        <v>30537.5</v>
      </c>
      <c r="S194" s="464"/>
      <c r="T194" s="462"/>
      <c r="U194" s="464"/>
      <c r="V194" s="462"/>
      <c r="W194" s="464"/>
      <c r="X194" s="475">
        <f t="shared" si="8"/>
        <v>3309017.8600000008</v>
      </c>
      <c r="Y194" s="483">
        <v>464.4</v>
      </c>
      <c r="Z194" s="462"/>
      <c r="AA194" s="462">
        <v>71741.429999999993</v>
      </c>
      <c r="AB194" s="462"/>
      <c r="AC194" s="462">
        <v>14030.5</v>
      </c>
      <c r="AD194" s="462">
        <v>-9660.6</v>
      </c>
      <c r="AE194" s="462"/>
      <c r="AF194" s="462"/>
      <c r="AG194" s="462">
        <v>9586</v>
      </c>
      <c r="AH194" s="462">
        <v>26011.919999999998</v>
      </c>
      <c r="AI194" s="462"/>
      <c r="AJ194" s="462"/>
      <c r="AK194" s="462"/>
      <c r="AL194" s="465">
        <f t="shared" si="7"/>
        <v>112173.64999999998</v>
      </c>
      <c r="AM194" s="489">
        <v>41</v>
      </c>
      <c r="AN194" s="462">
        <v>490</v>
      </c>
      <c r="AO194" s="450">
        <v>-5599.43</v>
      </c>
      <c r="AP194" s="462"/>
      <c r="AQ194" s="450">
        <v>-4741.79</v>
      </c>
      <c r="AR194" s="466">
        <v>1</v>
      </c>
    </row>
    <row r="195" spans="1:44" x14ac:dyDescent="0.25">
      <c r="A195" s="460">
        <v>5711</v>
      </c>
      <c r="B195" s="461" t="s">
        <v>263</v>
      </c>
      <c r="C195" s="462">
        <v>11353722.9</v>
      </c>
      <c r="D195" s="464">
        <v>1591052.53</v>
      </c>
      <c r="E195" s="462"/>
      <c r="F195" s="464"/>
      <c r="G195" s="462">
        <v>55862.55</v>
      </c>
      <c r="H195" s="464">
        <v>1766.4</v>
      </c>
      <c r="I195" s="462">
        <v>195836.45</v>
      </c>
      <c r="J195" s="464">
        <v>243744.22</v>
      </c>
      <c r="K195" s="462">
        <v>15835</v>
      </c>
      <c r="L195" s="464">
        <v>1043705.7</v>
      </c>
      <c r="M195" s="479">
        <f t="shared" si="6"/>
        <v>14501525.75</v>
      </c>
      <c r="N195" s="462">
        <v>30020.2</v>
      </c>
      <c r="O195" s="464">
        <v>59637</v>
      </c>
      <c r="P195" s="462">
        <v>538024.4</v>
      </c>
      <c r="Q195" s="464">
        <v>16310.84</v>
      </c>
      <c r="R195" s="462">
        <v>602661.5</v>
      </c>
      <c r="S195" s="464"/>
      <c r="T195" s="462"/>
      <c r="U195" s="464">
        <v>15650</v>
      </c>
      <c r="V195" s="462"/>
      <c r="W195" s="464"/>
      <c r="X195" s="475">
        <f t="shared" si="8"/>
        <v>15763829.689999999</v>
      </c>
      <c r="Y195" s="483">
        <v>-24626.95</v>
      </c>
      <c r="Z195" s="462"/>
      <c r="AA195" s="462">
        <v>2551</v>
      </c>
      <c r="AB195" s="462"/>
      <c r="AC195" s="462">
        <v>253581</v>
      </c>
      <c r="AD195" s="462"/>
      <c r="AE195" s="462"/>
      <c r="AF195" s="462"/>
      <c r="AG195" s="462">
        <v>14114</v>
      </c>
      <c r="AH195" s="462"/>
      <c r="AI195" s="462"/>
      <c r="AJ195" s="462"/>
      <c r="AK195" s="462"/>
      <c r="AL195" s="465">
        <f t="shared" si="7"/>
        <v>245619.05</v>
      </c>
      <c r="AM195" s="489">
        <v>57</v>
      </c>
      <c r="AN195" s="462">
        <v>2561</v>
      </c>
      <c r="AO195" s="450">
        <v>-26042.27</v>
      </c>
      <c r="AP195" s="462"/>
      <c r="AQ195" s="450">
        <v>-22496.41</v>
      </c>
      <c r="AR195" s="466">
        <v>1.3</v>
      </c>
    </row>
    <row r="196" spans="1:44" x14ac:dyDescent="0.25">
      <c r="A196" s="460">
        <v>5712</v>
      </c>
      <c r="B196" s="461" t="s">
        <v>264</v>
      </c>
      <c r="C196" s="462">
        <v>11594684.57</v>
      </c>
      <c r="D196" s="464">
        <v>2519832.73</v>
      </c>
      <c r="E196" s="462"/>
      <c r="F196" s="464"/>
      <c r="G196" s="462">
        <v>173956.85</v>
      </c>
      <c r="H196" s="464">
        <v>11996.6</v>
      </c>
      <c r="I196" s="462">
        <v>1339561.8400000001</v>
      </c>
      <c r="J196" s="464">
        <v>176292.23</v>
      </c>
      <c r="K196" s="462">
        <v>23166</v>
      </c>
      <c r="L196" s="464">
        <v>1551243.7</v>
      </c>
      <c r="M196" s="479">
        <f t="shared" si="6"/>
        <v>17390734.52</v>
      </c>
      <c r="N196" s="462">
        <v>139072.15</v>
      </c>
      <c r="O196" s="464">
        <v>633858</v>
      </c>
      <c r="P196" s="462">
        <v>945393.65</v>
      </c>
      <c r="Q196" s="464">
        <v>5853.2</v>
      </c>
      <c r="R196" s="462">
        <v>872124.45</v>
      </c>
      <c r="S196" s="464"/>
      <c r="T196" s="462"/>
      <c r="U196" s="464">
        <v>8050</v>
      </c>
      <c r="V196" s="462"/>
      <c r="W196" s="464"/>
      <c r="X196" s="475">
        <f t="shared" si="8"/>
        <v>19995085.969999995</v>
      </c>
      <c r="Y196" s="483"/>
      <c r="Z196" s="462"/>
      <c r="AA196" s="462">
        <v>434</v>
      </c>
      <c r="AB196" s="462"/>
      <c r="AC196" s="462">
        <v>524087.13</v>
      </c>
      <c r="AD196" s="462"/>
      <c r="AE196" s="462"/>
      <c r="AF196" s="462"/>
      <c r="AG196" s="462"/>
      <c r="AH196" s="462"/>
      <c r="AI196" s="462"/>
      <c r="AJ196" s="462"/>
      <c r="AK196" s="462"/>
      <c r="AL196" s="465">
        <f t="shared" si="7"/>
        <v>524521.13</v>
      </c>
      <c r="AM196" s="489">
        <v>53</v>
      </c>
      <c r="AN196" s="462">
        <v>2942</v>
      </c>
      <c r="AO196" s="450">
        <v>-78327.7</v>
      </c>
      <c r="AP196" s="462"/>
      <c r="AQ196" s="450">
        <v>-7234.7</v>
      </c>
      <c r="AR196" s="466">
        <v>1.5</v>
      </c>
    </row>
    <row r="197" spans="1:44" x14ac:dyDescent="0.25">
      <c r="A197" s="460">
        <v>5713</v>
      </c>
      <c r="B197" s="461" t="s">
        <v>265</v>
      </c>
      <c r="C197" s="462">
        <v>7681748.8499999996</v>
      </c>
      <c r="D197" s="464">
        <v>3274344.06</v>
      </c>
      <c r="E197" s="462"/>
      <c r="F197" s="464"/>
      <c r="G197" s="462">
        <v>73438.149999999994</v>
      </c>
      <c r="H197" s="464">
        <v>3600.8</v>
      </c>
      <c r="I197" s="462">
        <v>437323.1</v>
      </c>
      <c r="J197" s="464">
        <v>-53695.87</v>
      </c>
      <c r="K197" s="462">
        <v>9692</v>
      </c>
      <c r="L197" s="464">
        <v>758396.55</v>
      </c>
      <c r="M197" s="479">
        <f t="shared" si="6"/>
        <v>12184847.640000002</v>
      </c>
      <c r="N197" s="462">
        <v>31755.65</v>
      </c>
      <c r="O197" s="464">
        <v>874993.8</v>
      </c>
      <c r="P197" s="462">
        <v>424892.25</v>
      </c>
      <c r="Q197" s="464">
        <v>13579.85</v>
      </c>
      <c r="R197" s="462">
        <v>260627</v>
      </c>
      <c r="S197" s="464"/>
      <c r="T197" s="462"/>
      <c r="U197" s="464">
        <v>13750</v>
      </c>
      <c r="V197" s="462"/>
      <c r="W197" s="464"/>
      <c r="X197" s="475">
        <f t="shared" si="8"/>
        <v>13804446.190000003</v>
      </c>
      <c r="Y197" s="483">
        <v>144535.5</v>
      </c>
      <c r="Z197" s="462"/>
      <c r="AA197" s="462">
        <v>416863.74</v>
      </c>
      <c r="AB197" s="462"/>
      <c r="AC197" s="462">
        <v>187719.94</v>
      </c>
      <c r="AD197" s="462"/>
      <c r="AE197" s="462"/>
      <c r="AF197" s="462"/>
      <c r="AG197" s="462">
        <v>8099.1</v>
      </c>
      <c r="AH197" s="462">
        <v>79482.95</v>
      </c>
      <c r="AI197" s="462"/>
      <c r="AJ197" s="462"/>
      <c r="AK197" s="462"/>
      <c r="AL197" s="465">
        <f t="shared" si="7"/>
        <v>836701.22999999986</v>
      </c>
      <c r="AM197" s="489">
        <v>53</v>
      </c>
      <c r="AN197" s="462">
        <v>2059</v>
      </c>
      <c r="AO197" s="450">
        <v>-41586.51</v>
      </c>
      <c r="AP197" s="462"/>
      <c r="AQ197" s="450">
        <v>-4697.42</v>
      </c>
      <c r="AR197" s="466">
        <v>1</v>
      </c>
    </row>
    <row r="198" spans="1:44" x14ac:dyDescent="0.25">
      <c r="A198" s="460">
        <v>5714</v>
      </c>
      <c r="B198" s="461" t="s">
        <v>266</v>
      </c>
      <c r="C198" s="462">
        <v>4135669.69</v>
      </c>
      <c r="D198" s="464">
        <v>635506.75</v>
      </c>
      <c r="E198" s="462"/>
      <c r="F198" s="464"/>
      <c r="G198" s="462">
        <v>155690.04999999999</v>
      </c>
      <c r="H198" s="464">
        <v>801.35</v>
      </c>
      <c r="I198" s="462">
        <v>27083.03</v>
      </c>
      <c r="J198" s="464">
        <v>63684.26</v>
      </c>
      <c r="K198" s="462">
        <v>4902.5</v>
      </c>
      <c r="L198" s="464">
        <v>270131.65000000002</v>
      </c>
      <c r="M198" s="479">
        <f t="shared" si="6"/>
        <v>5293469.2799999993</v>
      </c>
      <c r="N198" s="462">
        <v>77119.850000000006</v>
      </c>
      <c r="O198" s="464">
        <v>117013.2</v>
      </c>
      <c r="P198" s="462">
        <v>64350</v>
      </c>
      <c r="Q198" s="464">
        <v>6009.36</v>
      </c>
      <c r="R198" s="462">
        <v>106155.45</v>
      </c>
      <c r="S198" s="464"/>
      <c r="T198" s="462">
        <v>1108.75</v>
      </c>
      <c r="U198" s="464">
        <v>5190</v>
      </c>
      <c r="V198" s="462"/>
      <c r="W198" s="464"/>
      <c r="X198" s="475">
        <f t="shared" si="8"/>
        <v>5670415.8899999997</v>
      </c>
      <c r="Y198" s="483"/>
      <c r="Z198" s="462"/>
      <c r="AA198" s="462"/>
      <c r="AB198" s="462"/>
      <c r="AC198" s="462">
        <v>101007.1</v>
      </c>
      <c r="AD198" s="462"/>
      <c r="AE198" s="462"/>
      <c r="AF198" s="462"/>
      <c r="AG198" s="462">
        <v>724</v>
      </c>
      <c r="AH198" s="462"/>
      <c r="AI198" s="462"/>
      <c r="AJ198" s="462"/>
      <c r="AK198" s="462"/>
      <c r="AL198" s="465">
        <f t="shared" si="7"/>
        <v>101731.1</v>
      </c>
      <c r="AM198" s="489">
        <v>64</v>
      </c>
      <c r="AN198" s="462">
        <v>1172</v>
      </c>
      <c r="AO198" s="450">
        <v>-23134.2</v>
      </c>
      <c r="AP198" s="462"/>
      <c r="AQ198" s="450">
        <v>-968.94</v>
      </c>
      <c r="AR198" s="466">
        <v>1</v>
      </c>
    </row>
    <row r="199" spans="1:44" x14ac:dyDescent="0.25">
      <c r="A199" s="460">
        <v>5715</v>
      </c>
      <c r="B199" s="461" t="s">
        <v>267</v>
      </c>
      <c r="C199" s="462">
        <v>3414207.84</v>
      </c>
      <c r="D199" s="464">
        <v>451239.89</v>
      </c>
      <c r="E199" s="462"/>
      <c r="F199" s="464"/>
      <c r="G199" s="462">
        <v>76527</v>
      </c>
      <c r="H199" s="464">
        <v>488.55</v>
      </c>
      <c r="I199" s="462">
        <v>63690.75</v>
      </c>
      <c r="J199" s="464">
        <v>-34143.61</v>
      </c>
      <c r="K199" s="462">
        <v>4233.5</v>
      </c>
      <c r="L199" s="464">
        <v>243632.6</v>
      </c>
      <c r="M199" s="479">
        <f t="shared" si="6"/>
        <v>4219876.5199999996</v>
      </c>
      <c r="N199" s="462">
        <v>37959.25</v>
      </c>
      <c r="O199" s="464">
        <v>5741.5</v>
      </c>
      <c r="P199" s="462">
        <v>194075.05</v>
      </c>
      <c r="Q199" s="464">
        <v>23796.76</v>
      </c>
      <c r="R199" s="462">
        <v>172267.4</v>
      </c>
      <c r="S199" s="464"/>
      <c r="T199" s="462"/>
      <c r="U199" s="464">
        <v>6100</v>
      </c>
      <c r="V199" s="462"/>
      <c r="W199" s="464"/>
      <c r="X199" s="475">
        <f t="shared" si="8"/>
        <v>4659816.4799999995</v>
      </c>
      <c r="Y199" s="483"/>
      <c r="Z199" s="462"/>
      <c r="AA199" s="462">
        <v>104455.31</v>
      </c>
      <c r="AB199" s="462"/>
      <c r="AC199" s="462">
        <v>101046.62</v>
      </c>
      <c r="AD199" s="462"/>
      <c r="AE199" s="462"/>
      <c r="AF199" s="462"/>
      <c r="AG199" s="462">
        <v>4167</v>
      </c>
      <c r="AH199" s="462">
        <v>36281.879999999997</v>
      </c>
      <c r="AI199" s="462"/>
      <c r="AJ199" s="462"/>
      <c r="AK199" s="462"/>
      <c r="AL199" s="465">
        <f t="shared" si="7"/>
        <v>245950.81</v>
      </c>
      <c r="AM199" s="489">
        <v>66</v>
      </c>
      <c r="AN199" s="462">
        <v>1039</v>
      </c>
      <c r="AO199" s="450">
        <v>-11583.02</v>
      </c>
      <c r="AP199" s="462"/>
      <c r="AQ199" s="450">
        <v>-674.96</v>
      </c>
      <c r="AR199" s="466">
        <v>1</v>
      </c>
    </row>
    <row r="200" spans="1:44" x14ac:dyDescent="0.25">
      <c r="A200" s="460">
        <v>5716</v>
      </c>
      <c r="B200" s="461" t="s">
        <v>268</v>
      </c>
      <c r="C200" s="462">
        <v>2843370.42</v>
      </c>
      <c r="D200" s="464">
        <v>256567.78</v>
      </c>
      <c r="E200" s="462"/>
      <c r="F200" s="464"/>
      <c r="G200" s="462">
        <v>1632818</v>
      </c>
      <c r="H200" s="464">
        <v>109016.3</v>
      </c>
      <c r="I200" s="462">
        <v>24162</v>
      </c>
      <c r="J200" s="464">
        <v>222138.84</v>
      </c>
      <c r="K200" s="462">
        <v>120810</v>
      </c>
      <c r="L200" s="464">
        <v>574590.80000000005</v>
      </c>
      <c r="M200" s="479">
        <f t="shared" ref="M200:M263" si="9">SUM(C200:L200)</f>
        <v>5783474.1399999987</v>
      </c>
      <c r="N200" s="462">
        <v>454385.3</v>
      </c>
      <c r="O200" s="464">
        <v>11053.6</v>
      </c>
      <c r="P200" s="462">
        <v>886060.15</v>
      </c>
      <c r="Q200" s="464">
        <v>3104.65</v>
      </c>
      <c r="R200" s="462">
        <v>338896.9</v>
      </c>
      <c r="S200" s="464"/>
      <c r="T200" s="462">
        <v>9165.9</v>
      </c>
      <c r="U200" s="464">
        <v>6350</v>
      </c>
      <c r="V200" s="462"/>
      <c r="W200" s="464"/>
      <c r="X200" s="475">
        <f t="shared" si="8"/>
        <v>7492490.6399999997</v>
      </c>
      <c r="Y200" s="483">
        <v>225521.76</v>
      </c>
      <c r="Z200" s="462"/>
      <c r="AA200" s="462">
        <v>202238.31</v>
      </c>
      <c r="AB200" s="462"/>
      <c r="AC200" s="462">
        <v>104449.72</v>
      </c>
      <c r="AD200" s="462"/>
      <c r="AE200" s="462"/>
      <c r="AF200" s="462"/>
      <c r="AG200" s="462"/>
      <c r="AH200" s="462">
        <v>60180.1</v>
      </c>
      <c r="AI200" s="462"/>
      <c r="AJ200" s="462"/>
      <c r="AK200" s="462"/>
      <c r="AL200" s="465">
        <f t="shared" ref="AL200:AL263" si="10">SUM(Y200:AK200)</f>
        <v>592389.89</v>
      </c>
      <c r="AM200" s="489">
        <v>61</v>
      </c>
      <c r="AN200" s="462">
        <v>1482</v>
      </c>
      <c r="AO200" s="450">
        <v>-97506.29</v>
      </c>
      <c r="AP200" s="462"/>
      <c r="AQ200" s="450">
        <v>-270.68</v>
      </c>
      <c r="AR200" s="466">
        <v>1</v>
      </c>
    </row>
    <row r="201" spans="1:44" x14ac:dyDescent="0.25">
      <c r="A201" s="460">
        <v>5717</v>
      </c>
      <c r="B201" s="461" t="s">
        <v>269</v>
      </c>
      <c r="C201" s="462">
        <v>14544730.24</v>
      </c>
      <c r="D201" s="464">
        <v>3404056</v>
      </c>
      <c r="E201" s="462"/>
      <c r="F201" s="464"/>
      <c r="G201" s="462">
        <v>219439.75</v>
      </c>
      <c r="H201" s="464">
        <v>8456.7999999999993</v>
      </c>
      <c r="I201" s="462">
        <v>975959.76</v>
      </c>
      <c r="J201" s="464">
        <v>182455.58</v>
      </c>
      <c r="K201" s="462">
        <v>43071</v>
      </c>
      <c r="L201" s="464">
        <v>1191666.8</v>
      </c>
      <c r="M201" s="479">
        <f t="shared" si="9"/>
        <v>20569835.930000003</v>
      </c>
      <c r="N201" s="462">
        <v>168707.25</v>
      </c>
      <c r="O201" s="464">
        <v>18986.7</v>
      </c>
      <c r="P201" s="462">
        <v>898506.7</v>
      </c>
      <c r="Q201" s="464">
        <v>20057.400000000001</v>
      </c>
      <c r="R201" s="462">
        <v>598659.85</v>
      </c>
      <c r="S201" s="464"/>
      <c r="T201" s="462">
        <v>800</v>
      </c>
      <c r="U201" s="464">
        <v>17500</v>
      </c>
      <c r="V201" s="462"/>
      <c r="W201" s="464"/>
      <c r="X201" s="475">
        <f t="shared" ref="X201:X264" si="11">SUM(M201:W201)</f>
        <v>22293053.830000002</v>
      </c>
      <c r="Y201" s="483"/>
      <c r="Z201" s="462"/>
      <c r="AA201" s="462"/>
      <c r="AB201" s="462"/>
      <c r="AC201" s="462">
        <v>486841.35</v>
      </c>
      <c r="AD201" s="462"/>
      <c r="AE201" s="462"/>
      <c r="AF201" s="462"/>
      <c r="AG201" s="462">
        <v>3582</v>
      </c>
      <c r="AH201" s="462"/>
      <c r="AI201" s="462"/>
      <c r="AJ201" s="462"/>
      <c r="AK201" s="462"/>
      <c r="AL201" s="465">
        <f t="shared" si="10"/>
        <v>490423.35</v>
      </c>
      <c r="AM201" s="489">
        <v>57</v>
      </c>
      <c r="AN201" s="462">
        <v>3410</v>
      </c>
      <c r="AO201" s="450">
        <v>-41045.94</v>
      </c>
      <c r="AP201" s="462">
        <v>-30987</v>
      </c>
      <c r="AQ201" s="450">
        <v>-15729.84</v>
      </c>
      <c r="AR201" s="466">
        <v>1</v>
      </c>
    </row>
    <row r="202" spans="1:44" x14ac:dyDescent="0.25">
      <c r="A202" s="460">
        <v>5718</v>
      </c>
      <c r="B202" s="461" t="s">
        <v>270</v>
      </c>
      <c r="C202" s="462">
        <v>8364899.4699999997</v>
      </c>
      <c r="D202" s="464">
        <v>1084793.1399999999</v>
      </c>
      <c r="E202" s="462"/>
      <c r="F202" s="464"/>
      <c r="G202" s="462">
        <v>243595.6</v>
      </c>
      <c r="H202" s="464">
        <v>13162.35</v>
      </c>
      <c r="I202" s="462">
        <v>165839.31</v>
      </c>
      <c r="J202" s="464">
        <v>210976.68</v>
      </c>
      <c r="K202" s="462">
        <v>31043</v>
      </c>
      <c r="L202" s="464">
        <v>590322.80000000005</v>
      </c>
      <c r="M202" s="479">
        <f t="shared" si="9"/>
        <v>10704632.35</v>
      </c>
      <c r="N202" s="462">
        <v>364037.8</v>
      </c>
      <c r="O202" s="464">
        <v>21500</v>
      </c>
      <c r="P202" s="462">
        <v>668482.35</v>
      </c>
      <c r="Q202" s="464">
        <v>34378.92</v>
      </c>
      <c r="R202" s="462">
        <v>372543.45</v>
      </c>
      <c r="S202" s="464"/>
      <c r="T202" s="462"/>
      <c r="U202" s="464">
        <v>5975</v>
      </c>
      <c r="V202" s="462"/>
      <c r="W202" s="464"/>
      <c r="X202" s="475">
        <f t="shared" si="11"/>
        <v>12171549.869999999</v>
      </c>
      <c r="Y202" s="483">
        <v>57053.7</v>
      </c>
      <c r="Z202" s="462"/>
      <c r="AA202" s="462">
        <v>225533.65</v>
      </c>
      <c r="AB202" s="462"/>
      <c r="AC202" s="462">
        <v>173909.6</v>
      </c>
      <c r="AD202" s="462">
        <v>126786</v>
      </c>
      <c r="AE202" s="462"/>
      <c r="AF202" s="462"/>
      <c r="AG202" s="462">
        <v>16918.95</v>
      </c>
      <c r="AH202" s="462"/>
      <c r="AI202" s="462"/>
      <c r="AJ202" s="462"/>
      <c r="AK202" s="462"/>
      <c r="AL202" s="465">
        <f t="shared" si="10"/>
        <v>600201.89999999991</v>
      </c>
      <c r="AM202" s="489">
        <v>55</v>
      </c>
      <c r="AN202" s="462">
        <v>1895</v>
      </c>
      <c r="AO202" s="450">
        <v>-34065.5</v>
      </c>
      <c r="AP202" s="462"/>
      <c r="AQ202" s="450">
        <v>-4607.1899999999996</v>
      </c>
      <c r="AR202" s="466">
        <v>1</v>
      </c>
    </row>
    <row r="203" spans="1:44" x14ac:dyDescent="0.25">
      <c r="A203" s="460">
        <v>5719</v>
      </c>
      <c r="B203" s="461" t="s">
        <v>271</v>
      </c>
      <c r="C203" s="462">
        <v>3165150.98</v>
      </c>
      <c r="D203" s="464">
        <v>1198322.3999999999</v>
      </c>
      <c r="E203" s="462"/>
      <c r="F203" s="464"/>
      <c r="G203" s="462">
        <v>56364.4</v>
      </c>
      <c r="H203" s="464">
        <v>625.45000000000005</v>
      </c>
      <c r="I203" s="462">
        <v>248492.38</v>
      </c>
      <c r="J203" s="464">
        <v>108628.29</v>
      </c>
      <c r="K203" s="462">
        <v>8173.5</v>
      </c>
      <c r="L203" s="464">
        <v>217810.8</v>
      </c>
      <c r="M203" s="479">
        <f t="shared" si="9"/>
        <v>5003568.2</v>
      </c>
      <c r="N203" s="462">
        <v>68663.100000000006</v>
      </c>
      <c r="O203" s="464">
        <v>107738</v>
      </c>
      <c r="P203" s="462">
        <v>309026.15000000002</v>
      </c>
      <c r="Q203" s="464">
        <v>2872.2</v>
      </c>
      <c r="R203" s="462">
        <v>581533.05000000005</v>
      </c>
      <c r="S203" s="464"/>
      <c r="T203" s="462"/>
      <c r="U203" s="464">
        <v>13250</v>
      </c>
      <c r="V203" s="462"/>
      <c r="W203" s="464"/>
      <c r="X203" s="475">
        <f t="shared" si="11"/>
        <v>6086650.7000000002</v>
      </c>
      <c r="Y203" s="483">
        <v>94480</v>
      </c>
      <c r="Z203" s="462"/>
      <c r="AA203" s="462">
        <v>82973</v>
      </c>
      <c r="AB203" s="462"/>
      <c r="AC203" s="462">
        <v>74575.509999999995</v>
      </c>
      <c r="AD203" s="462">
        <v>115562.5</v>
      </c>
      <c r="AE203" s="462"/>
      <c r="AF203" s="462"/>
      <c r="AG203" s="462"/>
      <c r="AH203" s="462"/>
      <c r="AI203" s="462"/>
      <c r="AJ203" s="462"/>
      <c r="AK203" s="462"/>
      <c r="AL203" s="465">
        <f t="shared" si="10"/>
        <v>367591.01</v>
      </c>
      <c r="AM203" s="489">
        <v>57</v>
      </c>
      <c r="AN203" s="462">
        <v>1195</v>
      </c>
      <c r="AO203" s="450">
        <v>-19354.22</v>
      </c>
      <c r="AP203" s="462"/>
      <c r="AQ203" s="450">
        <v>-1625.82</v>
      </c>
      <c r="AR203" s="466">
        <v>0.6</v>
      </c>
    </row>
    <row r="204" spans="1:44" x14ac:dyDescent="0.25">
      <c r="A204" s="460">
        <v>5720</v>
      </c>
      <c r="B204" s="461" t="s">
        <v>272</v>
      </c>
      <c r="C204" s="462">
        <v>3153379.72</v>
      </c>
      <c r="D204" s="464">
        <v>527128.14</v>
      </c>
      <c r="E204" s="462"/>
      <c r="F204" s="464"/>
      <c r="G204" s="462">
        <v>117810.65</v>
      </c>
      <c r="H204" s="464">
        <v>4740.3999999999996</v>
      </c>
      <c r="I204" s="462">
        <v>326065.3</v>
      </c>
      <c r="J204" s="464">
        <v>117959.74</v>
      </c>
      <c r="K204" s="462"/>
      <c r="L204" s="464">
        <v>249943</v>
      </c>
      <c r="M204" s="479">
        <f t="shared" si="9"/>
        <v>4497026.95</v>
      </c>
      <c r="N204" s="462">
        <v>22318.35</v>
      </c>
      <c r="O204" s="464"/>
      <c r="P204" s="462">
        <v>250676.75</v>
      </c>
      <c r="Q204" s="464">
        <v>5224.17</v>
      </c>
      <c r="R204" s="462">
        <v>17331.400000000001</v>
      </c>
      <c r="S204" s="464"/>
      <c r="T204" s="462"/>
      <c r="U204" s="464">
        <v>4320</v>
      </c>
      <c r="V204" s="462"/>
      <c r="W204" s="464"/>
      <c r="X204" s="475">
        <f t="shared" si="11"/>
        <v>4796897.62</v>
      </c>
      <c r="Y204" s="483">
        <v>37640.050000000003</v>
      </c>
      <c r="Z204" s="462"/>
      <c r="AA204" s="462">
        <v>146969.35</v>
      </c>
      <c r="AB204" s="462"/>
      <c r="AC204" s="462">
        <v>50876.65</v>
      </c>
      <c r="AD204" s="462">
        <v>16336.1</v>
      </c>
      <c r="AE204" s="462"/>
      <c r="AF204" s="462"/>
      <c r="AG204" s="462">
        <v>3157</v>
      </c>
      <c r="AH204" s="462"/>
      <c r="AI204" s="462"/>
      <c r="AJ204" s="462"/>
      <c r="AK204" s="462"/>
      <c r="AL204" s="465">
        <f t="shared" si="10"/>
        <v>254979.15000000002</v>
      </c>
      <c r="AM204" s="489">
        <v>61</v>
      </c>
      <c r="AN204" s="462">
        <v>1000</v>
      </c>
      <c r="AO204" s="450">
        <v>-35111.26</v>
      </c>
      <c r="AP204" s="462"/>
      <c r="AQ204" s="450">
        <v>-3403.11</v>
      </c>
      <c r="AR204" s="466">
        <v>0.9</v>
      </c>
    </row>
    <row r="205" spans="1:44" x14ac:dyDescent="0.25">
      <c r="A205" s="460">
        <v>5721</v>
      </c>
      <c r="B205" s="461" t="s">
        <v>273</v>
      </c>
      <c r="C205" s="462">
        <v>22851806.219999999</v>
      </c>
      <c r="D205" s="464">
        <v>3417182.03</v>
      </c>
      <c r="E205" s="462"/>
      <c r="F205" s="464"/>
      <c r="G205" s="462">
        <v>2574520.4500000002</v>
      </c>
      <c r="H205" s="464">
        <v>338195.85</v>
      </c>
      <c r="I205" s="462">
        <v>874499.92</v>
      </c>
      <c r="J205" s="464">
        <v>1231617.8500000001</v>
      </c>
      <c r="K205" s="462">
        <v>368354.5</v>
      </c>
      <c r="L205" s="464">
        <v>2478518.9</v>
      </c>
      <c r="M205" s="479">
        <f t="shared" si="9"/>
        <v>34134695.720000006</v>
      </c>
      <c r="N205" s="462">
        <v>1972526.75</v>
      </c>
      <c r="O205" s="464">
        <v>92780.6</v>
      </c>
      <c r="P205" s="462">
        <v>1383509.4</v>
      </c>
      <c r="Q205" s="464">
        <v>107284.29</v>
      </c>
      <c r="R205" s="462">
        <v>-1179606.8500000001</v>
      </c>
      <c r="S205" s="464"/>
      <c r="T205" s="462"/>
      <c r="U205" s="464">
        <v>59150</v>
      </c>
      <c r="V205" s="462"/>
      <c r="W205" s="464"/>
      <c r="X205" s="475">
        <f t="shared" si="11"/>
        <v>36570339.910000004</v>
      </c>
      <c r="Y205" s="483">
        <v>320394.65000000002</v>
      </c>
      <c r="Z205" s="462"/>
      <c r="AA205" s="462">
        <v>1065770.3999999999</v>
      </c>
      <c r="AB205" s="462"/>
      <c r="AC205" s="462">
        <v>1526507.2</v>
      </c>
      <c r="AD205" s="462">
        <v>128157.85</v>
      </c>
      <c r="AE205" s="462"/>
      <c r="AF205" s="462"/>
      <c r="AG205" s="462">
        <v>43356</v>
      </c>
      <c r="AH205" s="462">
        <v>348994.18</v>
      </c>
      <c r="AI205" s="462">
        <v>199399.2</v>
      </c>
      <c r="AJ205" s="462">
        <v>349006.18</v>
      </c>
      <c r="AK205" s="462">
        <v>249289.47</v>
      </c>
      <c r="AL205" s="465">
        <f t="shared" si="10"/>
        <v>4230875.1300000008</v>
      </c>
      <c r="AM205" s="489">
        <v>62.5</v>
      </c>
      <c r="AN205" s="462">
        <v>12829</v>
      </c>
      <c r="AO205" s="450">
        <v>-407988.22</v>
      </c>
      <c r="AP205" s="462"/>
      <c r="AQ205" s="450">
        <v>-12174.17</v>
      </c>
      <c r="AR205" s="466">
        <v>1</v>
      </c>
    </row>
    <row r="206" spans="1:44" x14ac:dyDescent="0.25">
      <c r="A206" s="460">
        <v>5722</v>
      </c>
      <c r="B206" s="461" t="s">
        <v>274</v>
      </c>
      <c r="C206" s="462">
        <v>995930.09</v>
      </c>
      <c r="D206" s="464">
        <v>144636.29</v>
      </c>
      <c r="E206" s="462"/>
      <c r="F206" s="464"/>
      <c r="G206" s="462">
        <v>19727.75</v>
      </c>
      <c r="H206" s="464">
        <v>1879.6</v>
      </c>
      <c r="I206" s="462"/>
      <c r="J206" s="464">
        <v>36297.14</v>
      </c>
      <c r="K206" s="462">
        <v>-6555</v>
      </c>
      <c r="L206" s="464">
        <v>79478.399999999994</v>
      </c>
      <c r="M206" s="479">
        <f t="shared" si="9"/>
        <v>1271394.2699999998</v>
      </c>
      <c r="N206" s="462">
        <v>7421.2</v>
      </c>
      <c r="O206" s="464"/>
      <c r="P206" s="462">
        <v>308778.75</v>
      </c>
      <c r="Q206" s="464"/>
      <c r="R206" s="462">
        <v>63027.55</v>
      </c>
      <c r="S206" s="464"/>
      <c r="T206" s="462">
        <v>545</v>
      </c>
      <c r="U206" s="464">
        <v>1550</v>
      </c>
      <c r="V206" s="462"/>
      <c r="W206" s="464"/>
      <c r="X206" s="475">
        <f t="shared" si="11"/>
        <v>1652716.7699999998</v>
      </c>
      <c r="Y206" s="483">
        <v>39000</v>
      </c>
      <c r="Z206" s="462">
        <v>-605.9</v>
      </c>
      <c r="AA206" s="462">
        <v>47414.59</v>
      </c>
      <c r="AB206" s="462"/>
      <c r="AC206" s="462">
        <v>24900.2</v>
      </c>
      <c r="AD206" s="462"/>
      <c r="AE206" s="462"/>
      <c r="AF206" s="462"/>
      <c r="AG206" s="462">
        <v>1299.5999999999999</v>
      </c>
      <c r="AH206" s="462">
        <v>10833.45</v>
      </c>
      <c r="AI206" s="462"/>
      <c r="AJ206" s="462"/>
      <c r="AK206" s="462"/>
      <c r="AL206" s="465">
        <f t="shared" si="10"/>
        <v>122841.94</v>
      </c>
      <c r="AM206" s="489">
        <v>62</v>
      </c>
      <c r="AN206" s="462">
        <v>377</v>
      </c>
      <c r="AO206" s="450">
        <v>-126.18</v>
      </c>
      <c r="AP206" s="462"/>
      <c r="AQ206" s="450">
        <v>-308.87</v>
      </c>
      <c r="AR206" s="466">
        <v>1</v>
      </c>
    </row>
    <row r="207" spans="1:44" s="517" customFormat="1" x14ac:dyDescent="0.25">
      <c r="A207" s="512">
        <v>5723</v>
      </c>
      <c r="B207" s="513" t="s">
        <v>275</v>
      </c>
      <c r="C207" s="485">
        <f>19767536.07+2500000</f>
        <v>22267536.07</v>
      </c>
      <c r="D207" s="487">
        <v>6341302.1600000001</v>
      </c>
      <c r="E207" s="485"/>
      <c r="F207" s="487"/>
      <c r="G207" s="485">
        <v>170005.65</v>
      </c>
      <c r="H207" s="487">
        <v>6827</v>
      </c>
      <c r="I207" s="485">
        <v>823292.43</v>
      </c>
      <c r="J207" s="487">
        <v>81012.95</v>
      </c>
      <c r="K207" s="485">
        <v>32016</v>
      </c>
      <c r="L207" s="487">
        <v>721205.9</v>
      </c>
      <c r="M207" s="479">
        <f t="shared" si="9"/>
        <v>30443198.159999996</v>
      </c>
      <c r="N207" s="485">
        <v>148394.4</v>
      </c>
      <c r="O207" s="487">
        <v>102650.4</v>
      </c>
      <c r="P207" s="485">
        <v>799458.9</v>
      </c>
      <c r="Q207" s="487">
        <v>41101.83</v>
      </c>
      <c r="R207" s="485">
        <v>922300.55</v>
      </c>
      <c r="S207" s="487"/>
      <c r="T207" s="485"/>
      <c r="U207" s="487">
        <v>6875</v>
      </c>
      <c r="V207" s="485"/>
      <c r="W207" s="487"/>
      <c r="X207" s="475">
        <f t="shared" si="11"/>
        <v>32463979.239999991</v>
      </c>
      <c r="Y207" s="514"/>
      <c r="Z207" s="485"/>
      <c r="AA207" s="485"/>
      <c r="AB207" s="485"/>
      <c r="AC207" s="485"/>
      <c r="AD207" s="485"/>
      <c r="AE207" s="485"/>
      <c r="AF207" s="485"/>
      <c r="AG207" s="485"/>
      <c r="AH207" s="485"/>
      <c r="AI207" s="485"/>
      <c r="AJ207" s="485"/>
      <c r="AK207" s="485"/>
      <c r="AL207" s="465">
        <f>SUM(Y207:AK207)</f>
        <v>0</v>
      </c>
      <c r="AM207" s="515">
        <v>49</v>
      </c>
      <c r="AN207" s="485">
        <v>1791</v>
      </c>
      <c r="AO207" s="486">
        <v>-13661.87</v>
      </c>
      <c r="AP207" s="485"/>
      <c r="AQ207" s="486">
        <v>-14255.57</v>
      </c>
      <c r="AR207" s="516">
        <v>1</v>
      </c>
    </row>
    <row r="208" spans="1:44" x14ac:dyDescent="0.25">
      <c r="A208" s="460">
        <v>5724</v>
      </c>
      <c r="B208" s="461" t="s">
        <v>75</v>
      </c>
      <c r="C208" s="462">
        <v>49726880.939999998</v>
      </c>
      <c r="D208" s="464">
        <v>8094634.9199999999</v>
      </c>
      <c r="E208" s="462"/>
      <c r="F208" s="464"/>
      <c r="G208" s="462">
        <v>16614370.75</v>
      </c>
      <c r="H208" s="464">
        <v>1548731.3</v>
      </c>
      <c r="I208" s="462">
        <v>1942992.82</v>
      </c>
      <c r="J208" s="464">
        <v>3827768.36</v>
      </c>
      <c r="K208" s="462">
        <v>706050.5</v>
      </c>
      <c r="L208" s="464">
        <v>5983938</v>
      </c>
      <c r="M208" s="479">
        <f t="shared" si="9"/>
        <v>88445367.589999989</v>
      </c>
      <c r="N208" s="462">
        <v>4000000</v>
      </c>
      <c r="O208" s="464">
        <v>1668002</v>
      </c>
      <c r="P208" s="462">
        <v>3555979.25</v>
      </c>
      <c r="Q208" s="464">
        <v>251041.81</v>
      </c>
      <c r="R208" s="462">
        <v>3395873</v>
      </c>
      <c r="S208" s="464"/>
      <c r="T208" s="462"/>
      <c r="U208" s="464">
        <v>41397.5</v>
      </c>
      <c r="V208" s="462"/>
      <c r="W208" s="464"/>
      <c r="X208" s="475">
        <f t="shared" si="11"/>
        <v>101357661.14999999</v>
      </c>
      <c r="Y208" s="483">
        <v>1782193</v>
      </c>
      <c r="Z208" s="462"/>
      <c r="AA208" s="462">
        <v>3823189.99</v>
      </c>
      <c r="AB208" s="462"/>
      <c r="AC208" s="462">
        <v>1951895.49</v>
      </c>
      <c r="AD208" s="462">
        <v>815148.1</v>
      </c>
      <c r="AE208" s="462"/>
      <c r="AF208" s="462"/>
      <c r="AG208" s="462">
        <v>145213</v>
      </c>
      <c r="AH208" s="462">
        <v>693743.02</v>
      </c>
      <c r="AI208" s="462">
        <v>792825.84</v>
      </c>
      <c r="AJ208" s="462">
        <v>472817.02</v>
      </c>
      <c r="AK208" s="462">
        <v>99125.05</v>
      </c>
      <c r="AL208" s="465">
        <f t="shared" si="10"/>
        <v>10576150.51</v>
      </c>
      <c r="AM208" s="489">
        <v>61</v>
      </c>
      <c r="AN208" s="462">
        <v>20047</v>
      </c>
      <c r="AO208" s="450">
        <v>-724451.93</v>
      </c>
      <c r="AP208" s="462"/>
      <c r="AQ208" s="450">
        <v>-51850.48</v>
      </c>
      <c r="AR208" s="466">
        <v>1.3</v>
      </c>
    </row>
    <row r="209" spans="1:44" x14ac:dyDescent="0.25">
      <c r="A209" s="460">
        <v>5725</v>
      </c>
      <c r="B209" s="461" t="s">
        <v>76</v>
      </c>
      <c r="C209" s="462">
        <v>11306362.050000001</v>
      </c>
      <c r="D209" s="464">
        <v>3249671.38</v>
      </c>
      <c r="E209" s="462"/>
      <c r="F209" s="464"/>
      <c r="G209" s="462">
        <v>1184347.5</v>
      </c>
      <c r="H209" s="464">
        <v>12074.15</v>
      </c>
      <c r="I209" s="462">
        <v>654103.87</v>
      </c>
      <c r="J209" s="464">
        <v>453719.89</v>
      </c>
      <c r="K209" s="462">
        <v>53981</v>
      </c>
      <c r="L209" s="464">
        <v>1508244.4</v>
      </c>
      <c r="M209" s="479">
        <f t="shared" si="9"/>
        <v>18422504.239999998</v>
      </c>
      <c r="N209" s="462">
        <v>1232272.8999999999</v>
      </c>
      <c r="O209" s="464">
        <v>91222.5</v>
      </c>
      <c r="P209" s="462">
        <v>384390.25</v>
      </c>
      <c r="Q209" s="464">
        <v>4727.22</v>
      </c>
      <c r="R209" s="462">
        <v>451521.25</v>
      </c>
      <c r="S209" s="464">
        <v>506.15</v>
      </c>
      <c r="T209" s="462"/>
      <c r="U209" s="464">
        <v>16100</v>
      </c>
      <c r="V209" s="462"/>
      <c r="W209" s="464"/>
      <c r="X209" s="475">
        <f t="shared" si="11"/>
        <v>20603244.509999994</v>
      </c>
      <c r="Y209" s="483">
        <v>60823.03</v>
      </c>
      <c r="Z209" s="462"/>
      <c r="AA209" s="462">
        <v>329224.95</v>
      </c>
      <c r="AB209" s="462"/>
      <c r="AC209" s="462">
        <v>238894.88</v>
      </c>
      <c r="AD209" s="462"/>
      <c r="AE209" s="462"/>
      <c r="AF209" s="462"/>
      <c r="AG209" s="462">
        <v>44896.6</v>
      </c>
      <c r="AH209" s="462"/>
      <c r="AI209" s="462"/>
      <c r="AJ209" s="462"/>
      <c r="AK209" s="462"/>
      <c r="AL209" s="465">
        <f t="shared" si="10"/>
        <v>673839.46</v>
      </c>
      <c r="AM209" s="489">
        <v>56</v>
      </c>
      <c r="AN209" s="462">
        <v>4011</v>
      </c>
      <c r="AO209" s="450">
        <v>-50998.71</v>
      </c>
      <c r="AP209" s="462"/>
      <c r="AQ209" s="450">
        <v>-34234.550000000003</v>
      </c>
      <c r="AR209" s="466">
        <v>1.4</v>
      </c>
    </row>
    <row r="210" spans="1:44" x14ac:dyDescent="0.25">
      <c r="A210" s="460">
        <v>5726</v>
      </c>
      <c r="B210" s="461" t="s">
        <v>362</v>
      </c>
      <c r="C210" s="462">
        <v>3029315.75</v>
      </c>
      <c r="D210" s="464">
        <v>672139.39</v>
      </c>
      <c r="E210" s="462"/>
      <c r="F210" s="464"/>
      <c r="G210" s="462">
        <v>34435.5</v>
      </c>
      <c r="H210" s="464">
        <v>39323.300000000003</v>
      </c>
      <c r="I210" s="462">
        <v>11455.45</v>
      </c>
      <c r="J210" s="464">
        <v>92128.98</v>
      </c>
      <c r="K210" s="462">
        <v>3647</v>
      </c>
      <c r="L210" s="464">
        <v>239452.79999999999</v>
      </c>
      <c r="M210" s="479">
        <f t="shared" si="9"/>
        <v>4121898.17</v>
      </c>
      <c r="N210" s="462">
        <v>22619.15</v>
      </c>
      <c r="O210" s="464">
        <v>20723.5</v>
      </c>
      <c r="P210" s="462">
        <v>96553.2</v>
      </c>
      <c r="Q210" s="464">
        <v>1016.2</v>
      </c>
      <c r="R210" s="462">
        <v>111017.7</v>
      </c>
      <c r="S210" s="464"/>
      <c r="T210" s="462"/>
      <c r="U210" s="464">
        <v>8000</v>
      </c>
      <c r="V210" s="462"/>
      <c r="W210" s="464"/>
      <c r="X210" s="475">
        <f t="shared" si="11"/>
        <v>4381827.92</v>
      </c>
      <c r="Y210" s="483"/>
      <c r="Z210" s="462"/>
      <c r="AA210" s="462">
        <v>141248.68</v>
      </c>
      <c r="AB210" s="462"/>
      <c r="AC210" s="462">
        <v>92443.81</v>
      </c>
      <c r="AD210" s="462"/>
      <c r="AE210" s="462">
        <v>-2730.9</v>
      </c>
      <c r="AF210" s="462"/>
      <c r="AG210" s="462">
        <v>8592.25</v>
      </c>
      <c r="AH210" s="462"/>
      <c r="AI210" s="462"/>
      <c r="AJ210" s="462"/>
      <c r="AK210" s="462"/>
      <c r="AL210" s="465">
        <f t="shared" si="10"/>
        <v>239553.84</v>
      </c>
      <c r="AM210" s="489">
        <v>65</v>
      </c>
      <c r="AN210" s="462">
        <v>1120</v>
      </c>
      <c r="AO210" s="450">
        <v>-65367.01</v>
      </c>
      <c r="AP210" s="462"/>
      <c r="AQ210" s="450">
        <v>-192.39</v>
      </c>
      <c r="AR210" s="466">
        <v>1</v>
      </c>
    </row>
    <row r="211" spans="1:44" x14ac:dyDescent="0.25">
      <c r="A211" s="460">
        <v>5727</v>
      </c>
      <c r="B211" s="461" t="s">
        <v>363</v>
      </c>
      <c r="C211" s="462">
        <v>4626755.4000000004</v>
      </c>
      <c r="D211" s="464">
        <v>720412.36</v>
      </c>
      <c r="E211" s="462"/>
      <c r="F211" s="464"/>
      <c r="G211" s="462">
        <v>100502.25</v>
      </c>
      <c r="H211" s="464">
        <v>17078.55</v>
      </c>
      <c r="I211" s="462">
        <v>125954.15</v>
      </c>
      <c r="J211" s="464">
        <v>246871.72</v>
      </c>
      <c r="K211" s="462">
        <v>7021.5</v>
      </c>
      <c r="L211" s="464">
        <v>698711.65</v>
      </c>
      <c r="M211" s="479">
        <f t="shared" si="9"/>
        <v>6543307.580000001</v>
      </c>
      <c r="N211" s="462">
        <v>142442.29999999999</v>
      </c>
      <c r="O211" s="464">
        <v>73962.2</v>
      </c>
      <c r="P211" s="462">
        <v>366864.1</v>
      </c>
      <c r="Q211" s="464">
        <v>48404.57</v>
      </c>
      <c r="R211" s="462">
        <v>203178.95</v>
      </c>
      <c r="S211" s="464">
        <v>3560.15</v>
      </c>
      <c r="T211" s="462"/>
      <c r="U211" s="464">
        <v>11450</v>
      </c>
      <c r="V211" s="462"/>
      <c r="W211" s="464"/>
      <c r="X211" s="475">
        <f t="shared" si="11"/>
        <v>7393169.8500000015</v>
      </c>
      <c r="Y211" s="483">
        <v>48172.85</v>
      </c>
      <c r="Z211" s="462">
        <v>326391.58</v>
      </c>
      <c r="AA211" s="462"/>
      <c r="AB211" s="462"/>
      <c r="AC211" s="462">
        <v>250689.44</v>
      </c>
      <c r="AD211" s="462">
        <v>58060.4</v>
      </c>
      <c r="AE211" s="462"/>
      <c r="AF211" s="462"/>
      <c r="AG211" s="462">
        <v>42258.55</v>
      </c>
      <c r="AH211" s="462"/>
      <c r="AI211" s="462"/>
      <c r="AJ211" s="462"/>
      <c r="AK211" s="462"/>
      <c r="AL211" s="465">
        <f t="shared" si="10"/>
        <v>725572.82000000007</v>
      </c>
      <c r="AM211" s="489">
        <v>66</v>
      </c>
      <c r="AN211" s="462">
        <v>2481</v>
      </c>
      <c r="AO211" s="450">
        <v>-146049.70000000001</v>
      </c>
      <c r="AP211" s="462"/>
      <c r="AQ211" s="450">
        <v>-441.26</v>
      </c>
      <c r="AR211" s="466">
        <v>1.5</v>
      </c>
    </row>
    <row r="212" spans="1:44" x14ac:dyDescent="0.25">
      <c r="A212" s="460">
        <v>5728</v>
      </c>
      <c r="B212" s="461" t="s">
        <v>364</v>
      </c>
      <c r="C212" s="462">
        <v>1299579.6499999999</v>
      </c>
      <c r="D212" s="464">
        <v>147473.96</v>
      </c>
      <c r="E212" s="462"/>
      <c r="F212" s="464"/>
      <c r="G212" s="462">
        <v>175115.25</v>
      </c>
      <c r="H212" s="464">
        <v>11243.15</v>
      </c>
      <c r="I212" s="462">
        <v>246.099999999999</v>
      </c>
      <c r="J212" s="464">
        <v>4448.92</v>
      </c>
      <c r="K212" s="462">
        <v>50269</v>
      </c>
      <c r="L212" s="464">
        <v>201233.3</v>
      </c>
      <c r="M212" s="479">
        <f t="shared" si="9"/>
        <v>1889609.3299999998</v>
      </c>
      <c r="N212" s="462">
        <v>231020.6</v>
      </c>
      <c r="O212" s="464"/>
      <c r="P212" s="462">
        <v>230393.75</v>
      </c>
      <c r="Q212" s="464">
        <v>9785.91</v>
      </c>
      <c r="R212" s="462">
        <v>85296.1</v>
      </c>
      <c r="S212" s="464"/>
      <c r="T212" s="462">
        <v>66733.05</v>
      </c>
      <c r="U212" s="464">
        <v>1700</v>
      </c>
      <c r="V212" s="462"/>
      <c r="W212" s="464"/>
      <c r="X212" s="475">
        <f t="shared" si="11"/>
        <v>2514538.7399999998</v>
      </c>
      <c r="Y212" s="483">
        <v>6360</v>
      </c>
      <c r="Z212" s="462"/>
      <c r="AA212" s="462">
        <v>97312.36</v>
      </c>
      <c r="AB212" s="462"/>
      <c r="AC212" s="462">
        <v>28912.6</v>
      </c>
      <c r="AD212" s="462"/>
      <c r="AE212" s="462"/>
      <c r="AF212" s="462"/>
      <c r="AG212" s="462">
        <v>224.25</v>
      </c>
      <c r="AH212" s="462">
        <v>56350.8</v>
      </c>
      <c r="AI212" s="462"/>
      <c r="AJ212" s="462"/>
      <c r="AK212" s="462"/>
      <c r="AL212" s="465">
        <f t="shared" si="10"/>
        <v>189160.01</v>
      </c>
      <c r="AM212" s="489">
        <v>56</v>
      </c>
      <c r="AN212" s="462">
        <v>516</v>
      </c>
      <c r="AO212" s="450">
        <v>-15954.12</v>
      </c>
      <c r="AP212" s="462">
        <v>-4676.3500000000004</v>
      </c>
      <c r="AQ212" s="450">
        <v>-98.4</v>
      </c>
      <c r="AR212" s="466">
        <v>1</v>
      </c>
    </row>
    <row r="213" spans="1:44" x14ac:dyDescent="0.25">
      <c r="A213" s="460">
        <v>5729</v>
      </c>
      <c r="B213" s="461" t="s">
        <v>365</v>
      </c>
      <c r="C213" s="462">
        <v>6527407.3099999996</v>
      </c>
      <c r="D213" s="464">
        <v>1230409.17</v>
      </c>
      <c r="E213" s="462"/>
      <c r="F213" s="464"/>
      <c r="G213" s="462">
        <v>366921.7</v>
      </c>
      <c r="H213" s="464">
        <v>-2660.25</v>
      </c>
      <c r="I213" s="462">
        <v>69981.8</v>
      </c>
      <c r="J213" s="464">
        <v>-58110.6</v>
      </c>
      <c r="K213" s="462">
        <v>4459</v>
      </c>
      <c r="L213" s="464">
        <v>778219.9</v>
      </c>
      <c r="M213" s="479">
        <f t="shared" si="9"/>
        <v>8916628.0299999993</v>
      </c>
      <c r="N213" s="462">
        <v>16008.55</v>
      </c>
      <c r="O213" s="464">
        <v>19364.3</v>
      </c>
      <c r="P213" s="462">
        <v>237996</v>
      </c>
      <c r="Q213" s="464">
        <v>4188.88</v>
      </c>
      <c r="R213" s="462">
        <v>158764.79999999999</v>
      </c>
      <c r="S213" s="464"/>
      <c r="T213" s="462"/>
      <c r="U213" s="464">
        <v>7320</v>
      </c>
      <c r="V213" s="462"/>
      <c r="W213" s="464"/>
      <c r="X213" s="475">
        <f t="shared" si="11"/>
        <v>9360270.5600000024</v>
      </c>
      <c r="Y213" s="483"/>
      <c r="Z213" s="462"/>
      <c r="AA213" s="462">
        <v>70.3</v>
      </c>
      <c r="AB213" s="462"/>
      <c r="AC213" s="462">
        <v>168344.1</v>
      </c>
      <c r="AD213" s="462"/>
      <c r="AE213" s="462"/>
      <c r="AF213" s="462"/>
      <c r="AG213" s="462">
        <v>923.98</v>
      </c>
      <c r="AH213" s="462"/>
      <c r="AI213" s="462"/>
      <c r="AJ213" s="462"/>
      <c r="AK213" s="462"/>
      <c r="AL213" s="465">
        <f t="shared" si="10"/>
        <v>169338.38</v>
      </c>
      <c r="AM213" s="489">
        <v>61</v>
      </c>
      <c r="AN213" s="462">
        <v>1430</v>
      </c>
      <c r="AO213" s="450">
        <v>-5601.86</v>
      </c>
      <c r="AP213" s="462"/>
      <c r="AQ213" s="450">
        <v>-16032.15</v>
      </c>
      <c r="AR213" s="466">
        <v>1.5</v>
      </c>
    </row>
    <row r="214" spans="1:44" x14ac:dyDescent="0.25">
      <c r="A214" s="460">
        <v>5730</v>
      </c>
      <c r="B214" s="461" t="s">
        <v>366</v>
      </c>
      <c r="C214" s="462">
        <v>4955473.6399999997</v>
      </c>
      <c r="D214" s="464">
        <v>1617089.77</v>
      </c>
      <c r="E214" s="462"/>
      <c r="F214" s="464"/>
      <c r="G214" s="462">
        <v>55487.1</v>
      </c>
      <c r="H214" s="464">
        <v>1812.7</v>
      </c>
      <c r="I214" s="462">
        <v>29655.599999999999</v>
      </c>
      <c r="J214" s="464">
        <v>24458.48</v>
      </c>
      <c r="K214" s="462">
        <v>3981</v>
      </c>
      <c r="L214" s="464">
        <v>408338</v>
      </c>
      <c r="M214" s="479">
        <f t="shared" si="9"/>
        <v>7096296.29</v>
      </c>
      <c r="N214" s="462">
        <v>8092.75</v>
      </c>
      <c r="O214" s="464">
        <v>26536.400000000001</v>
      </c>
      <c r="P214" s="462">
        <v>193358.5</v>
      </c>
      <c r="Q214" s="464">
        <v>3392.65</v>
      </c>
      <c r="R214" s="462">
        <v>115088.05</v>
      </c>
      <c r="S214" s="464"/>
      <c r="T214" s="462"/>
      <c r="U214" s="464">
        <v>5650</v>
      </c>
      <c r="V214" s="462"/>
      <c r="W214" s="464"/>
      <c r="X214" s="475">
        <f t="shared" si="11"/>
        <v>7448414.6400000006</v>
      </c>
      <c r="Y214" s="483">
        <v>16671</v>
      </c>
      <c r="Z214" s="462"/>
      <c r="AA214" s="462">
        <v>156247.65</v>
      </c>
      <c r="AB214" s="462"/>
      <c r="AC214" s="462">
        <v>112563</v>
      </c>
      <c r="AD214" s="462">
        <v>28290</v>
      </c>
      <c r="AE214" s="462"/>
      <c r="AF214" s="462"/>
      <c r="AG214" s="462"/>
      <c r="AH214" s="462"/>
      <c r="AI214" s="462"/>
      <c r="AJ214" s="462"/>
      <c r="AK214" s="462"/>
      <c r="AL214" s="465">
        <f t="shared" si="10"/>
        <v>313771.65000000002</v>
      </c>
      <c r="AM214" s="489">
        <v>57</v>
      </c>
      <c r="AN214" s="462">
        <v>1414</v>
      </c>
      <c r="AO214" s="450">
        <v>-6144.12</v>
      </c>
      <c r="AP214" s="462"/>
      <c r="AQ214" s="450">
        <v>-4374.75</v>
      </c>
      <c r="AR214" s="466">
        <v>0.9</v>
      </c>
    </row>
    <row r="215" spans="1:44" x14ac:dyDescent="0.25">
      <c r="A215" s="460">
        <v>5731</v>
      </c>
      <c r="B215" s="461" t="s">
        <v>367</v>
      </c>
      <c r="C215" s="462">
        <v>2952253.75</v>
      </c>
      <c r="D215" s="464">
        <v>378377</v>
      </c>
      <c r="E215" s="462"/>
      <c r="F215" s="464"/>
      <c r="G215" s="462">
        <v>24432.2</v>
      </c>
      <c r="H215" s="464">
        <v>498.45</v>
      </c>
      <c r="I215" s="462">
        <v>-72618.7</v>
      </c>
      <c r="J215" s="464">
        <v>25184.13</v>
      </c>
      <c r="K215" s="462">
        <v>4294.5</v>
      </c>
      <c r="L215" s="464">
        <v>354284.1</v>
      </c>
      <c r="M215" s="479">
        <f t="shared" si="9"/>
        <v>3666705.43</v>
      </c>
      <c r="N215" s="462">
        <v>24199.599999999999</v>
      </c>
      <c r="O215" s="464"/>
      <c r="P215" s="462">
        <v>166043.1</v>
      </c>
      <c r="Q215" s="464">
        <v>27489.59</v>
      </c>
      <c r="R215" s="462">
        <v>99206.7</v>
      </c>
      <c r="S215" s="464">
        <v>1285.2</v>
      </c>
      <c r="T215" s="462"/>
      <c r="U215" s="464">
        <v>13600</v>
      </c>
      <c r="V215" s="462"/>
      <c r="W215" s="464"/>
      <c r="X215" s="475">
        <f t="shared" si="11"/>
        <v>3998529.6200000006</v>
      </c>
      <c r="Y215" s="483">
        <v>75083</v>
      </c>
      <c r="Z215" s="462"/>
      <c r="AA215" s="462">
        <v>168999</v>
      </c>
      <c r="AB215" s="462"/>
      <c r="AC215" s="462">
        <v>112272</v>
      </c>
      <c r="AD215" s="462">
        <v>74233</v>
      </c>
      <c r="AE215" s="462"/>
      <c r="AF215" s="462"/>
      <c r="AG215" s="462">
        <v>10681</v>
      </c>
      <c r="AH215" s="462"/>
      <c r="AI215" s="462"/>
      <c r="AJ215" s="462"/>
      <c r="AK215" s="462"/>
      <c r="AL215" s="465">
        <f t="shared" si="10"/>
        <v>441268</v>
      </c>
      <c r="AM215" s="489">
        <v>75</v>
      </c>
      <c r="AN215" s="462">
        <v>1260</v>
      </c>
      <c r="AO215" s="450">
        <v>-30975.64</v>
      </c>
      <c r="AP215" s="462"/>
      <c r="AQ215" s="450">
        <v>-101.62</v>
      </c>
      <c r="AR215" s="466">
        <v>1.5</v>
      </c>
    </row>
    <row r="216" spans="1:44" x14ac:dyDescent="0.25">
      <c r="A216" s="460">
        <v>5732</v>
      </c>
      <c r="B216" s="461" t="s">
        <v>368</v>
      </c>
      <c r="C216" s="462">
        <v>3254748.96</v>
      </c>
      <c r="D216" s="464">
        <v>481098.96</v>
      </c>
      <c r="E216" s="462"/>
      <c r="F216" s="464"/>
      <c r="G216" s="462">
        <v>1183212.3</v>
      </c>
      <c r="H216" s="464">
        <v>-8443.4500000000007</v>
      </c>
      <c r="I216" s="462">
        <v>43199.25</v>
      </c>
      <c r="J216" s="464">
        <v>71077.39</v>
      </c>
      <c r="K216" s="462">
        <v>-61349.5</v>
      </c>
      <c r="L216" s="464">
        <v>257836.7</v>
      </c>
      <c r="M216" s="479">
        <f t="shared" si="9"/>
        <v>5221380.6099999994</v>
      </c>
      <c r="N216" s="462">
        <v>95066.75</v>
      </c>
      <c r="O216" s="464"/>
      <c r="P216" s="462">
        <v>268211.55</v>
      </c>
      <c r="Q216" s="464">
        <v>2145</v>
      </c>
      <c r="R216" s="462">
        <v>25058.25</v>
      </c>
      <c r="S216" s="464"/>
      <c r="T216" s="462"/>
      <c r="U216" s="464">
        <v>8365</v>
      </c>
      <c r="V216" s="462"/>
      <c r="W216" s="464"/>
      <c r="X216" s="475">
        <f t="shared" si="11"/>
        <v>5620227.1599999992</v>
      </c>
      <c r="Y216" s="483">
        <v>9600</v>
      </c>
      <c r="Z216" s="462">
        <v>-25875.54</v>
      </c>
      <c r="AA216" s="462">
        <v>149490.74</v>
      </c>
      <c r="AB216" s="462"/>
      <c r="AC216" s="462">
        <v>74362.009999999995</v>
      </c>
      <c r="AD216" s="462">
        <v>18000</v>
      </c>
      <c r="AE216" s="462">
        <v>28881.31</v>
      </c>
      <c r="AF216" s="462"/>
      <c r="AG216" s="462">
        <v>8430.7000000000007</v>
      </c>
      <c r="AH216" s="462">
        <v>54300.71</v>
      </c>
      <c r="AI216" s="462"/>
      <c r="AJ216" s="462"/>
      <c r="AK216" s="462"/>
      <c r="AL216" s="465">
        <f t="shared" si="10"/>
        <v>317189.93</v>
      </c>
      <c r="AM216" s="489">
        <v>68</v>
      </c>
      <c r="AN216" s="462">
        <v>958</v>
      </c>
      <c r="AO216" s="450">
        <v>-31183.13</v>
      </c>
      <c r="AP216" s="462"/>
      <c r="AQ216" s="450">
        <v>-962.84</v>
      </c>
      <c r="AR216" s="466">
        <v>1</v>
      </c>
    </row>
    <row r="217" spans="1:44" x14ac:dyDescent="0.25">
      <c r="A217" s="460">
        <v>5741</v>
      </c>
      <c r="B217" s="461" t="s">
        <v>369</v>
      </c>
      <c r="C217" s="462">
        <v>435442.39</v>
      </c>
      <c r="D217" s="464">
        <v>57209.52</v>
      </c>
      <c r="E217" s="462"/>
      <c r="F217" s="464">
        <v>1380</v>
      </c>
      <c r="G217" s="462">
        <v>8636.6</v>
      </c>
      <c r="H217" s="464">
        <v>65.05</v>
      </c>
      <c r="I217" s="462"/>
      <c r="J217" s="464">
        <v>2142.16</v>
      </c>
      <c r="K217" s="462"/>
      <c r="L217" s="464">
        <v>41629.85</v>
      </c>
      <c r="M217" s="479">
        <f t="shared" si="9"/>
        <v>546505.56999999995</v>
      </c>
      <c r="N217" s="462">
        <v>10260.85</v>
      </c>
      <c r="O217" s="464">
        <v>9.6999999999999993</v>
      </c>
      <c r="P217" s="462">
        <v>20108</v>
      </c>
      <c r="Q217" s="464"/>
      <c r="R217" s="462">
        <v>12618.6</v>
      </c>
      <c r="S217" s="464"/>
      <c r="T217" s="462">
        <v>250</v>
      </c>
      <c r="U217" s="464">
        <v>920</v>
      </c>
      <c r="V217" s="462"/>
      <c r="W217" s="464"/>
      <c r="X217" s="475">
        <f t="shared" si="11"/>
        <v>590672.71999999986</v>
      </c>
      <c r="Y217" s="483">
        <v>23080</v>
      </c>
      <c r="Z217" s="462">
        <f>2807.5+3155.95+5770</f>
        <v>11733.45</v>
      </c>
      <c r="AA217" s="462">
        <v>33962.050000000003</v>
      </c>
      <c r="AB217" s="462"/>
      <c r="AC217" s="462">
        <v>30169.85</v>
      </c>
      <c r="AD217" s="462">
        <v>7626.65</v>
      </c>
      <c r="AE217" s="462">
        <f>2704.5+8379.9+2751.6</f>
        <v>13836</v>
      </c>
      <c r="AF217" s="462"/>
      <c r="AG217" s="462"/>
      <c r="AH217" s="462"/>
      <c r="AI217" s="462"/>
      <c r="AJ217" s="462"/>
      <c r="AK217" s="462"/>
      <c r="AL217" s="465">
        <f t="shared" si="10"/>
        <v>120408</v>
      </c>
      <c r="AM217" s="489">
        <v>81</v>
      </c>
      <c r="AN217" s="462">
        <v>240</v>
      </c>
      <c r="AO217" s="450">
        <v>-15135.89</v>
      </c>
      <c r="AP217" s="462"/>
      <c r="AQ217" s="450">
        <v>-6.14</v>
      </c>
      <c r="AR217" s="466">
        <v>1.2</v>
      </c>
    </row>
    <row r="218" spans="1:44" x14ac:dyDescent="0.25">
      <c r="A218" s="460">
        <v>5742</v>
      </c>
      <c r="B218" s="461" t="s">
        <v>370</v>
      </c>
      <c r="C218" s="462">
        <v>551366.07999999996</v>
      </c>
      <c r="D218" s="464">
        <v>45524.02</v>
      </c>
      <c r="E218" s="462"/>
      <c r="F218" s="464"/>
      <c r="G218" s="462">
        <v>10251.25</v>
      </c>
      <c r="H218" s="464">
        <v>212.75</v>
      </c>
      <c r="I218" s="462"/>
      <c r="J218" s="464">
        <v>-12609.61</v>
      </c>
      <c r="K218" s="462">
        <v>798</v>
      </c>
      <c r="L218" s="464">
        <v>23403.3</v>
      </c>
      <c r="M218" s="479">
        <f t="shared" si="9"/>
        <v>618945.79</v>
      </c>
      <c r="N218" s="462"/>
      <c r="O218" s="464">
        <v>9503.4</v>
      </c>
      <c r="P218" s="462">
        <v>40601.550000000003</v>
      </c>
      <c r="Q218" s="464"/>
      <c r="R218" s="462">
        <v>46148.800000000003</v>
      </c>
      <c r="S218" s="464"/>
      <c r="T218" s="462"/>
      <c r="U218" s="464">
        <v>1720</v>
      </c>
      <c r="V218" s="462"/>
      <c r="W218" s="464"/>
      <c r="X218" s="475">
        <f t="shared" si="11"/>
        <v>716919.54000000015</v>
      </c>
      <c r="Y218" s="483">
        <v>22500</v>
      </c>
      <c r="Z218" s="462"/>
      <c r="AA218" s="462">
        <v>28475.200000000001</v>
      </c>
      <c r="AB218" s="462"/>
      <c r="AC218" s="462">
        <v>29980</v>
      </c>
      <c r="AD218" s="462">
        <v>3956</v>
      </c>
      <c r="AE218" s="462"/>
      <c r="AF218" s="462"/>
      <c r="AG218" s="462"/>
      <c r="AH218" s="462"/>
      <c r="AI218" s="462"/>
      <c r="AJ218" s="462"/>
      <c r="AK218" s="462"/>
      <c r="AL218" s="465">
        <f t="shared" si="10"/>
        <v>84911.2</v>
      </c>
      <c r="AM218" s="489">
        <v>76</v>
      </c>
      <c r="AN218" s="462">
        <v>293</v>
      </c>
      <c r="AO218" s="450">
        <v>-3484.55</v>
      </c>
      <c r="AP218" s="462"/>
      <c r="AQ218" s="450">
        <v>-6.86</v>
      </c>
      <c r="AR218" s="466">
        <v>0.5</v>
      </c>
    </row>
    <row r="219" spans="1:44" x14ac:dyDescent="0.25">
      <c r="A219" s="460">
        <v>5743</v>
      </c>
      <c r="B219" s="461" t="s">
        <v>304</v>
      </c>
      <c r="C219" s="462">
        <v>948302.16</v>
      </c>
      <c r="D219" s="464">
        <v>119328.12</v>
      </c>
      <c r="E219" s="462"/>
      <c r="F219" s="464">
        <v>3390</v>
      </c>
      <c r="G219" s="462">
        <v>13937.95</v>
      </c>
      <c r="H219" s="464">
        <v>431.6</v>
      </c>
      <c r="I219" s="462"/>
      <c r="J219" s="464">
        <v>24998.799999999999</v>
      </c>
      <c r="K219" s="462"/>
      <c r="L219" s="464">
        <v>58957.7</v>
      </c>
      <c r="M219" s="479">
        <f t="shared" si="9"/>
        <v>1169346.33</v>
      </c>
      <c r="N219" s="462">
        <v>27032.1</v>
      </c>
      <c r="O219" s="464">
        <v>13738.9</v>
      </c>
      <c r="P219" s="462">
        <v>6716.6</v>
      </c>
      <c r="Q219" s="464">
        <v>2167.3000000000002</v>
      </c>
      <c r="R219" s="462">
        <v>8504.6</v>
      </c>
      <c r="S219" s="464"/>
      <c r="T219" s="462"/>
      <c r="U219" s="464">
        <v>1525</v>
      </c>
      <c r="V219" s="462"/>
      <c r="W219" s="464"/>
      <c r="X219" s="475">
        <f t="shared" si="11"/>
        <v>1229030.8300000003</v>
      </c>
      <c r="Y219" s="483">
        <v>19646.099999999999</v>
      </c>
      <c r="Z219" s="462"/>
      <c r="AA219" s="462">
        <v>69313.2</v>
      </c>
      <c r="AB219" s="462"/>
      <c r="AC219" s="462">
        <v>25150</v>
      </c>
      <c r="AD219" s="462">
        <v>5349.55</v>
      </c>
      <c r="AE219" s="462"/>
      <c r="AF219" s="462"/>
      <c r="AG219" s="462"/>
      <c r="AH219" s="462"/>
      <c r="AI219" s="462"/>
      <c r="AJ219" s="462"/>
      <c r="AK219" s="462"/>
      <c r="AL219" s="465">
        <f t="shared" si="10"/>
        <v>119458.84999999999</v>
      </c>
      <c r="AM219" s="489">
        <v>73</v>
      </c>
      <c r="AN219" s="462">
        <v>632</v>
      </c>
      <c r="AO219" s="450">
        <v>-6633.2</v>
      </c>
      <c r="AP219" s="462"/>
      <c r="AQ219" s="450">
        <v>-136.16</v>
      </c>
      <c r="AR219" s="466">
        <v>0.8</v>
      </c>
    </row>
    <row r="220" spans="1:44" x14ac:dyDescent="0.25">
      <c r="A220" s="460">
        <v>5744</v>
      </c>
      <c r="B220" s="461" t="s">
        <v>305</v>
      </c>
      <c r="C220" s="462">
        <v>1269966.82</v>
      </c>
      <c r="D220" s="464">
        <v>199052.47</v>
      </c>
      <c r="E220" s="462"/>
      <c r="F220" s="464">
        <v>6090</v>
      </c>
      <c r="G220" s="462">
        <v>2605484.1</v>
      </c>
      <c r="H220" s="464">
        <v>216519.55</v>
      </c>
      <c r="I220" s="462"/>
      <c r="J220" s="464">
        <v>66215.399999999994</v>
      </c>
      <c r="K220" s="462"/>
      <c r="L220" s="464">
        <v>151494.04999999999</v>
      </c>
      <c r="M220" s="479">
        <f t="shared" si="9"/>
        <v>4514822.3900000006</v>
      </c>
      <c r="N220" s="462">
        <v>1408983.5</v>
      </c>
      <c r="O220" s="464">
        <v>31511.200000000001</v>
      </c>
      <c r="P220" s="462">
        <v>68458.149999999994</v>
      </c>
      <c r="Q220" s="464">
        <v>4375.12</v>
      </c>
      <c r="R220" s="462">
        <v>14109.55</v>
      </c>
      <c r="S220" s="464">
        <v>125</v>
      </c>
      <c r="T220" s="462"/>
      <c r="U220" s="464">
        <v>4285</v>
      </c>
      <c r="V220" s="462">
        <v>90</v>
      </c>
      <c r="W220" s="464"/>
      <c r="X220" s="475">
        <f t="shared" si="11"/>
        <v>6046759.9100000011</v>
      </c>
      <c r="Y220" s="483">
        <v>23714</v>
      </c>
      <c r="Z220" s="462"/>
      <c r="AA220" s="462">
        <v>61907.4</v>
      </c>
      <c r="AB220" s="462"/>
      <c r="AC220" s="462">
        <v>109213.42</v>
      </c>
      <c r="AD220" s="462">
        <v>23714</v>
      </c>
      <c r="AE220" s="462"/>
      <c r="AF220" s="462"/>
      <c r="AG220" s="462"/>
      <c r="AH220" s="462">
        <v>100666.1</v>
      </c>
      <c r="AI220" s="462"/>
      <c r="AJ220" s="462"/>
      <c r="AK220" s="462"/>
      <c r="AL220" s="465">
        <f t="shared" si="10"/>
        <v>319214.92000000004</v>
      </c>
      <c r="AM220" s="489">
        <v>66</v>
      </c>
      <c r="AN220" s="462">
        <v>1101</v>
      </c>
      <c r="AO220" s="450">
        <v>-38314.26</v>
      </c>
      <c r="AP220" s="462"/>
      <c r="AQ220" s="450">
        <v>-1014.44</v>
      </c>
      <c r="AR220" s="466">
        <v>1</v>
      </c>
    </row>
    <row r="221" spans="1:44" x14ac:dyDescent="0.25">
      <c r="A221" s="460">
        <v>5745</v>
      </c>
      <c r="B221" s="461" t="s">
        <v>306</v>
      </c>
      <c r="C221" s="462">
        <v>1632655.78</v>
      </c>
      <c r="D221" s="464">
        <v>202461.98</v>
      </c>
      <c r="E221" s="462"/>
      <c r="F221" s="464"/>
      <c r="G221" s="462">
        <v>137614</v>
      </c>
      <c r="H221" s="464">
        <v>824.05</v>
      </c>
      <c r="I221" s="462"/>
      <c r="J221" s="464">
        <v>22501.74</v>
      </c>
      <c r="K221" s="462"/>
      <c r="L221" s="464">
        <v>121829.3</v>
      </c>
      <c r="M221" s="479">
        <f t="shared" si="9"/>
        <v>2117886.85</v>
      </c>
      <c r="N221" s="462">
        <v>182094.5</v>
      </c>
      <c r="O221" s="464"/>
      <c r="P221" s="462">
        <v>22160.6</v>
      </c>
      <c r="Q221" s="464">
        <v>2239.1799999999998</v>
      </c>
      <c r="R221" s="462">
        <v>35042.15</v>
      </c>
      <c r="S221" s="464"/>
      <c r="T221" s="462"/>
      <c r="U221" s="464">
        <v>3725</v>
      </c>
      <c r="V221" s="462"/>
      <c r="W221" s="464"/>
      <c r="X221" s="475">
        <f t="shared" si="11"/>
        <v>2363148.2800000003</v>
      </c>
      <c r="Y221" s="483"/>
      <c r="Z221" s="462"/>
      <c r="AA221" s="462">
        <v>137805.04999999999</v>
      </c>
      <c r="AB221" s="462"/>
      <c r="AC221" s="462">
        <v>75366.7</v>
      </c>
      <c r="AD221" s="462"/>
      <c r="AE221" s="462"/>
      <c r="AF221" s="462"/>
      <c r="AG221" s="462"/>
      <c r="AH221" s="462"/>
      <c r="AI221" s="462"/>
      <c r="AJ221" s="462"/>
      <c r="AK221" s="462"/>
      <c r="AL221" s="465">
        <f t="shared" si="10"/>
        <v>213171.75</v>
      </c>
      <c r="AM221" s="489">
        <v>78</v>
      </c>
      <c r="AN221" s="462">
        <v>1055</v>
      </c>
      <c r="AO221" s="450">
        <v>-36740.32</v>
      </c>
      <c r="AP221" s="462"/>
      <c r="AQ221" s="450">
        <v>-142.66</v>
      </c>
      <c r="AR221" s="466">
        <v>1</v>
      </c>
    </row>
    <row r="222" spans="1:44" x14ac:dyDescent="0.25">
      <c r="A222" s="460">
        <v>5746</v>
      </c>
      <c r="B222" s="461" t="s">
        <v>307</v>
      </c>
      <c r="C222" s="462">
        <v>1559239.1</v>
      </c>
      <c r="D222" s="464">
        <v>125610.76</v>
      </c>
      <c r="E222" s="462"/>
      <c r="F222" s="464"/>
      <c r="G222" s="462">
        <v>65769.350000000006</v>
      </c>
      <c r="H222" s="464">
        <v>512.95000000000005</v>
      </c>
      <c r="I222" s="462"/>
      <c r="J222" s="464">
        <v>50615.91</v>
      </c>
      <c r="K222" s="462"/>
      <c r="L222" s="464">
        <v>189858.2</v>
      </c>
      <c r="M222" s="479">
        <f t="shared" si="9"/>
        <v>1991606.27</v>
      </c>
      <c r="N222" s="462">
        <v>20529.7</v>
      </c>
      <c r="O222" s="464">
        <v>927.1</v>
      </c>
      <c r="P222" s="462">
        <v>71792.399999999994</v>
      </c>
      <c r="Q222" s="464"/>
      <c r="R222" s="462">
        <v>29029.7</v>
      </c>
      <c r="S222" s="464">
        <v>375</v>
      </c>
      <c r="T222" s="462">
        <v>1650</v>
      </c>
      <c r="U222" s="464">
        <v>5745</v>
      </c>
      <c r="V222" s="462">
        <v>363.1</v>
      </c>
      <c r="W222" s="464"/>
      <c r="X222" s="475">
        <f t="shared" si="11"/>
        <v>2122018.27</v>
      </c>
      <c r="Y222" s="483">
        <v>47913.8</v>
      </c>
      <c r="Z222" s="462"/>
      <c r="AA222" s="462">
        <v>92830.8</v>
      </c>
      <c r="AB222" s="462"/>
      <c r="AC222" s="462">
        <v>68512.850000000006</v>
      </c>
      <c r="AD222" s="462">
        <v>6386.5</v>
      </c>
      <c r="AE222" s="462"/>
      <c r="AF222" s="462"/>
      <c r="AG222" s="462"/>
      <c r="AH222" s="462">
        <v>28264.45</v>
      </c>
      <c r="AI222" s="462"/>
      <c r="AJ222" s="462"/>
      <c r="AK222" s="462"/>
      <c r="AL222" s="465">
        <f t="shared" si="10"/>
        <v>243908.40000000002</v>
      </c>
      <c r="AM222" s="489">
        <v>73</v>
      </c>
      <c r="AN222" s="462">
        <v>939</v>
      </c>
      <c r="AO222" s="450">
        <v>-19866.03</v>
      </c>
      <c r="AP222" s="462"/>
      <c r="AQ222" s="450">
        <v>-68.55</v>
      </c>
      <c r="AR222" s="466">
        <v>1.2</v>
      </c>
    </row>
    <row r="223" spans="1:44" x14ac:dyDescent="0.25">
      <c r="A223" s="460">
        <v>5747</v>
      </c>
      <c r="B223" s="461" t="s">
        <v>308</v>
      </c>
      <c r="C223" s="462">
        <v>276503.96999999997</v>
      </c>
      <c r="D223" s="464">
        <v>39853.14</v>
      </c>
      <c r="E223" s="462"/>
      <c r="F223" s="464"/>
      <c r="G223" s="462">
        <v>22350.400000000001</v>
      </c>
      <c r="H223" s="464">
        <v>464.2</v>
      </c>
      <c r="I223" s="462"/>
      <c r="J223" s="464">
        <v>1635.94</v>
      </c>
      <c r="K223" s="462"/>
      <c r="L223" s="464">
        <v>26067.7</v>
      </c>
      <c r="M223" s="479">
        <f t="shared" si="9"/>
        <v>366875.35000000003</v>
      </c>
      <c r="N223" s="462"/>
      <c r="O223" s="464"/>
      <c r="P223" s="462">
        <v>8489.75</v>
      </c>
      <c r="Q223" s="464"/>
      <c r="R223" s="462">
        <v>6374.9</v>
      </c>
      <c r="S223" s="464"/>
      <c r="T223" s="462"/>
      <c r="U223" s="464">
        <v>560</v>
      </c>
      <c r="V223" s="462"/>
      <c r="W223" s="464"/>
      <c r="X223" s="475">
        <f t="shared" si="11"/>
        <v>382300.00000000006</v>
      </c>
      <c r="Y223" s="483"/>
      <c r="Z223" s="462">
        <v>17399</v>
      </c>
      <c r="AA223" s="462">
        <v>9979</v>
      </c>
      <c r="AB223" s="462"/>
      <c r="AC223" s="462">
        <v>16531.400000000001</v>
      </c>
      <c r="AD223" s="462">
        <v>8280</v>
      </c>
      <c r="AE223" s="462"/>
      <c r="AF223" s="462"/>
      <c r="AG223" s="462"/>
      <c r="AH223" s="462"/>
      <c r="AI223" s="462"/>
      <c r="AJ223" s="462"/>
      <c r="AK223" s="462"/>
      <c r="AL223" s="465">
        <f t="shared" si="10"/>
        <v>52189.4</v>
      </c>
      <c r="AM223" s="489">
        <v>69</v>
      </c>
      <c r="AN223" s="462">
        <v>188</v>
      </c>
      <c r="AO223" s="450">
        <v>-635.38</v>
      </c>
      <c r="AP223" s="462"/>
      <c r="AQ223" s="450">
        <v>-0.04</v>
      </c>
      <c r="AR223" s="466">
        <v>1</v>
      </c>
    </row>
    <row r="224" spans="1:44" x14ac:dyDescent="0.25">
      <c r="A224" s="460">
        <v>5748</v>
      </c>
      <c r="B224" s="461" t="s">
        <v>309</v>
      </c>
      <c r="C224" s="462">
        <v>436247.79</v>
      </c>
      <c r="D224" s="464">
        <v>45125.07</v>
      </c>
      <c r="E224" s="462"/>
      <c r="F224" s="464">
        <v>2140</v>
      </c>
      <c r="G224" s="462">
        <v>4413.6000000000004</v>
      </c>
      <c r="H224" s="464">
        <v>21.5</v>
      </c>
      <c r="I224" s="462"/>
      <c r="J224" s="464">
        <v>6005.43</v>
      </c>
      <c r="K224" s="462"/>
      <c r="L224" s="464">
        <v>19572</v>
      </c>
      <c r="M224" s="479">
        <f t="shared" si="9"/>
        <v>513525.38999999996</v>
      </c>
      <c r="N224" s="462">
        <v>7947.3</v>
      </c>
      <c r="O224" s="464"/>
      <c r="P224" s="462">
        <v>33933.5</v>
      </c>
      <c r="Q224" s="464"/>
      <c r="R224" s="462">
        <v>15340.9</v>
      </c>
      <c r="S224" s="464"/>
      <c r="T224" s="462"/>
      <c r="U224" s="464">
        <v>1325</v>
      </c>
      <c r="V224" s="462"/>
      <c r="W224" s="464"/>
      <c r="X224" s="475">
        <f t="shared" si="11"/>
        <v>572072.09</v>
      </c>
      <c r="Y224" s="483">
        <v>5261.65</v>
      </c>
      <c r="Z224" s="462">
        <v>210.4</v>
      </c>
      <c r="AA224" s="462">
        <v>30334</v>
      </c>
      <c r="AB224" s="462"/>
      <c r="AC224" s="462">
        <f>13695.15+8254.6</f>
        <v>21949.75</v>
      </c>
      <c r="AD224" s="462">
        <v>3451.6</v>
      </c>
      <c r="AE224" s="462">
        <v>420.8</v>
      </c>
      <c r="AF224" s="462"/>
      <c r="AG224" s="462"/>
      <c r="AH224" s="462"/>
      <c r="AI224" s="462"/>
      <c r="AJ224" s="462"/>
      <c r="AK224" s="462"/>
      <c r="AL224" s="465">
        <f t="shared" si="10"/>
        <v>61628.200000000004</v>
      </c>
      <c r="AM224" s="489">
        <v>72</v>
      </c>
      <c r="AN224" s="462">
        <v>258</v>
      </c>
      <c r="AO224" s="450">
        <v>-3782.01</v>
      </c>
      <c r="AP224" s="462"/>
      <c r="AQ224" s="450">
        <v>0</v>
      </c>
      <c r="AR224" s="466">
        <v>0.6</v>
      </c>
    </row>
    <row r="225" spans="1:44" x14ac:dyDescent="0.25">
      <c r="A225" s="460">
        <v>5749</v>
      </c>
      <c r="B225" s="461" t="s">
        <v>310</v>
      </c>
      <c r="C225" s="462">
        <v>6697598.4000000004</v>
      </c>
      <c r="D225" s="464">
        <v>648567.92000000004</v>
      </c>
      <c r="E225" s="462">
        <v>74959.5</v>
      </c>
      <c r="F225" s="464"/>
      <c r="G225" s="462">
        <v>393248.55</v>
      </c>
      <c r="H225" s="464">
        <v>10556.35</v>
      </c>
      <c r="I225" s="462">
        <v>53462.9</v>
      </c>
      <c r="J225" s="464">
        <v>231708.79999999999</v>
      </c>
      <c r="K225" s="462">
        <v>49558.5</v>
      </c>
      <c r="L225" s="464">
        <v>628973.6</v>
      </c>
      <c r="M225" s="479">
        <f t="shared" si="9"/>
        <v>8788634.5199999996</v>
      </c>
      <c r="N225" s="462">
        <v>612035.4</v>
      </c>
      <c r="O225" s="464">
        <v>27144.6</v>
      </c>
      <c r="P225" s="462">
        <v>440936.85</v>
      </c>
      <c r="Q225" s="464">
        <v>43985.98</v>
      </c>
      <c r="R225" s="462">
        <v>285451</v>
      </c>
      <c r="S225" s="464"/>
      <c r="T225" s="462">
        <v>10843.65</v>
      </c>
      <c r="U225" s="464">
        <v>20600</v>
      </c>
      <c r="V225" s="462"/>
      <c r="W225" s="464"/>
      <c r="X225" s="475">
        <f t="shared" si="11"/>
        <v>10229632</v>
      </c>
      <c r="Y225" s="483">
        <v>70819.350000000006</v>
      </c>
      <c r="Z225" s="462"/>
      <c r="AA225" s="462">
        <v>489834</v>
      </c>
      <c r="AB225" s="462"/>
      <c r="AC225" s="462">
        <v>471354.5</v>
      </c>
      <c r="AD225" s="462">
        <v>75579.350000000006</v>
      </c>
      <c r="AE225" s="462"/>
      <c r="AF225" s="462"/>
      <c r="AG225" s="462"/>
      <c r="AH225" s="462">
        <v>161665</v>
      </c>
      <c r="AI225" s="462"/>
      <c r="AJ225" s="462"/>
      <c r="AK225" s="462"/>
      <c r="AL225" s="465">
        <f t="shared" si="10"/>
        <v>1269252.2</v>
      </c>
      <c r="AM225" s="489">
        <v>72</v>
      </c>
      <c r="AN225" s="462">
        <v>4293</v>
      </c>
      <c r="AO225" s="450">
        <v>-200193.94</v>
      </c>
      <c r="AP225" s="462"/>
      <c r="AQ225" s="450">
        <v>-347.45</v>
      </c>
      <c r="AR225" s="466">
        <v>1</v>
      </c>
    </row>
    <row r="226" spans="1:44" x14ac:dyDescent="0.25">
      <c r="A226" s="460">
        <v>5750</v>
      </c>
      <c r="B226" s="461" t="s">
        <v>311</v>
      </c>
      <c r="C226" s="462">
        <v>319566.03999999998</v>
      </c>
      <c r="D226" s="464">
        <v>45732.27</v>
      </c>
      <c r="E226" s="462"/>
      <c r="F226" s="464">
        <v>1050</v>
      </c>
      <c r="G226" s="462">
        <v>2764.6</v>
      </c>
      <c r="H226" s="464">
        <v>72.55</v>
      </c>
      <c r="I226" s="462"/>
      <c r="J226" s="464">
        <v>1599.76</v>
      </c>
      <c r="K226" s="462">
        <v>230.5</v>
      </c>
      <c r="L226" s="464">
        <v>12346.25</v>
      </c>
      <c r="M226" s="479">
        <f t="shared" si="9"/>
        <v>383361.97</v>
      </c>
      <c r="N226" s="462">
        <v>7714.9</v>
      </c>
      <c r="O226" s="464"/>
      <c r="P226" s="462">
        <v>13860</v>
      </c>
      <c r="Q226" s="464"/>
      <c r="R226" s="462">
        <v>4044.3</v>
      </c>
      <c r="S226" s="464"/>
      <c r="T226" s="462"/>
      <c r="U226" s="464">
        <v>740</v>
      </c>
      <c r="V226" s="462"/>
      <c r="W226" s="464"/>
      <c r="X226" s="475">
        <f t="shared" si="11"/>
        <v>409721.17</v>
      </c>
      <c r="Y226" s="483">
        <v>2188</v>
      </c>
      <c r="Z226" s="462"/>
      <c r="AA226" s="462">
        <v>24804</v>
      </c>
      <c r="AB226" s="462"/>
      <c r="AC226" s="462">
        <v>15967.55</v>
      </c>
      <c r="AD226" s="462">
        <v>8090</v>
      </c>
      <c r="AE226" s="462"/>
      <c r="AF226" s="462"/>
      <c r="AG226" s="462">
        <v>457</v>
      </c>
      <c r="AH226" s="462">
        <v>5393.2</v>
      </c>
      <c r="AI226" s="462"/>
      <c r="AJ226" s="462"/>
      <c r="AK226" s="462"/>
      <c r="AL226" s="465">
        <f t="shared" si="10"/>
        <v>56899.75</v>
      </c>
      <c r="AM226" s="489">
        <v>80</v>
      </c>
      <c r="AN226" s="462">
        <v>176</v>
      </c>
      <c r="AO226" s="450">
        <v>-8266.9500000000007</v>
      </c>
      <c r="AP226" s="462"/>
      <c r="AQ226" s="450">
        <v>-120.03</v>
      </c>
      <c r="AR226" s="466">
        <v>0.6</v>
      </c>
    </row>
    <row r="227" spans="1:44" x14ac:dyDescent="0.25">
      <c r="A227" s="460">
        <v>5751</v>
      </c>
      <c r="B227" s="461" t="s">
        <v>375</v>
      </c>
      <c r="C227" s="462">
        <v>570856.67000000004</v>
      </c>
      <c r="D227" s="464">
        <v>39397.089999999997</v>
      </c>
      <c r="E227" s="462"/>
      <c r="F227" s="464"/>
      <c r="G227" s="462">
        <v>2913.35</v>
      </c>
      <c r="H227" s="464">
        <v>58.85</v>
      </c>
      <c r="I227" s="462"/>
      <c r="J227" s="464">
        <v>12580.2</v>
      </c>
      <c r="K227" s="462">
        <v>2049.5</v>
      </c>
      <c r="L227" s="464">
        <v>55750.3</v>
      </c>
      <c r="M227" s="479">
        <f t="shared" si="9"/>
        <v>683605.96</v>
      </c>
      <c r="N227" s="462">
        <v>27868.15</v>
      </c>
      <c r="O227" s="464">
        <v>10414.700000000001</v>
      </c>
      <c r="P227" s="462">
        <v>66.25</v>
      </c>
      <c r="Q227" s="464"/>
      <c r="R227" s="462">
        <v>8308.4</v>
      </c>
      <c r="S227" s="464">
        <v>483.7</v>
      </c>
      <c r="T227" s="462"/>
      <c r="U227" s="464">
        <v>1080</v>
      </c>
      <c r="V227" s="462"/>
      <c r="W227" s="464"/>
      <c r="X227" s="475">
        <f t="shared" si="11"/>
        <v>731827.15999999992</v>
      </c>
      <c r="Y227" s="483">
        <v>5880</v>
      </c>
      <c r="Z227" s="462"/>
      <c r="AA227" s="462">
        <v>39471</v>
      </c>
      <c r="AB227" s="462"/>
      <c r="AC227" s="462">
        <v>21401.7</v>
      </c>
      <c r="AD227" s="462">
        <v>7706.05</v>
      </c>
      <c r="AE227" s="462"/>
      <c r="AF227" s="462"/>
      <c r="AG227" s="462"/>
      <c r="AH227" s="462">
        <v>12708.1</v>
      </c>
      <c r="AI227" s="462"/>
      <c r="AJ227" s="462"/>
      <c r="AK227" s="462"/>
      <c r="AL227" s="465">
        <f t="shared" si="10"/>
        <v>87166.85</v>
      </c>
      <c r="AM227" s="489">
        <v>76</v>
      </c>
      <c r="AN227" s="462">
        <v>354</v>
      </c>
      <c r="AO227" s="450">
        <v>-5724.98</v>
      </c>
      <c r="AP227" s="462"/>
      <c r="AQ227" s="450">
        <v>-9.61</v>
      </c>
      <c r="AR227" s="466">
        <v>1.25</v>
      </c>
    </row>
    <row r="228" spans="1:44" x14ac:dyDescent="0.25">
      <c r="A228" s="460">
        <v>5752</v>
      </c>
      <c r="B228" s="461" t="s">
        <v>376</v>
      </c>
      <c r="C228" s="462">
        <v>538588.22</v>
      </c>
      <c r="D228" s="464">
        <v>87445.78</v>
      </c>
      <c r="E228" s="462"/>
      <c r="F228" s="464"/>
      <c r="G228" s="462">
        <v>9631.9</v>
      </c>
      <c r="H228" s="464">
        <v>442.85</v>
      </c>
      <c r="I228" s="462"/>
      <c r="J228" s="464">
        <v>3009.7</v>
      </c>
      <c r="K228" s="462">
        <v>725.7</v>
      </c>
      <c r="L228" s="464">
        <v>30496.65</v>
      </c>
      <c r="M228" s="479">
        <f t="shared" si="9"/>
        <v>670340.79999999993</v>
      </c>
      <c r="N228" s="462">
        <v>14784.85</v>
      </c>
      <c r="O228" s="464">
        <v>2008.1</v>
      </c>
      <c r="P228" s="462">
        <v>15605.05</v>
      </c>
      <c r="Q228" s="464">
        <v>647.57000000000005</v>
      </c>
      <c r="R228" s="462">
        <v>20054.05</v>
      </c>
      <c r="S228" s="464"/>
      <c r="T228" s="462"/>
      <c r="U228" s="464">
        <v>1850</v>
      </c>
      <c r="V228" s="462"/>
      <c r="W228" s="464"/>
      <c r="X228" s="475">
        <f t="shared" si="11"/>
        <v>725290.41999999993</v>
      </c>
      <c r="Y228" s="483">
        <v>15988</v>
      </c>
      <c r="Z228" s="462"/>
      <c r="AA228" s="462">
        <v>50635.199999999997</v>
      </c>
      <c r="AB228" s="462"/>
      <c r="AC228" s="462">
        <v>17846.8</v>
      </c>
      <c r="AD228" s="462">
        <v>18868</v>
      </c>
      <c r="AE228" s="462"/>
      <c r="AF228" s="462"/>
      <c r="AG228" s="462"/>
      <c r="AH228" s="462"/>
      <c r="AI228" s="462"/>
      <c r="AJ228" s="462"/>
      <c r="AK228" s="462"/>
      <c r="AL228" s="465">
        <f t="shared" si="10"/>
        <v>103338</v>
      </c>
      <c r="AM228" s="489">
        <v>74</v>
      </c>
      <c r="AN228" s="462">
        <v>344</v>
      </c>
      <c r="AO228" s="450">
        <v>-2258.91</v>
      </c>
      <c r="AP228" s="462"/>
      <c r="AQ228" s="450">
        <v>0</v>
      </c>
      <c r="AR228" s="466">
        <v>0.7</v>
      </c>
    </row>
    <row r="229" spans="1:44" x14ac:dyDescent="0.25">
      <c r="A229" s="460">
        <v>5754</v>
      </c>
      <c r="B229" s="461" t="s">
        <v>377</v>
      </c>
      <c r="C229" s="462">
        <v>493597.46</v>
      </c>
      <c r="D229" s="464">
        <v>27104.52</v>
      </c>
      <c r="E229" s="462"/>
      <c r="F229" s="464"/>
      <c r="G229" s="462">
        <v>-1525.75</v>
      </c>
      <c r="H229" s="464">
        <v>442</v>
      </c>
      <c r="I229" s="462"/>
      <c r="J229" s="464">
        <v>27513.62</v>
      </c>
      <c r="K229" s="462">
        <v>931</v>
      </c>
      <c r="L229" s="464">
        <v>36627.1</v>
      </c>
      <c r="M229" s="479">
        <f t="shared" si="9"/>
        <v>584689.95000000007</v>
      </c>
      <c r="N229" s="462">
        <v>3752.9</v>
      </c>
      <c r="O229" s="464"/>
      <c r="P229" s="462">
        <v>11394.75</v>
      </c>
      <c r="Q229" s="464"/>
      <c r="R229" s="462">
        <v>18157</v>
      </c>
      <c r="S229" s="464"/>
      <c r="T229" s="462"/>
      <c r="U229" s="464">
        <v>1440</v>
      </c>
      <c r="V229" s="462"/>
      <c r="W229" s="464"/>
      <c r="X229" s="475">
        <f t="shared" si="11"/>
        <v>619434.60000000009</v>
      </c>
      <c r="Y229" s="483">
        <v>31030</v>
      </c>
      <c r="Z229" s="462">
        <v>36305</v>
      </c>
      <c r="AA229" s="462"/>
      <c r="AB229" s="462"/>
      <c r="AC229" s="462">
        <v>20168.25</v>
      </c>
      <c r="AD229" s="462">
        <v>12190</v>
      </c>
      <c r="AE229" s="462"/>
      <c r="AF229" s="462"/>
      <c r="AG229" s="462"/>
      <c r="AH229" s="462">
        <v>7538.5</v>
      </c>
      <c r="AI229" s="462"/>
      <c r="AJ229" s="462"/>
      <c r="AK229" s="462"/>
      <c r="AL229" s="465">
        <f t="shared" si="10"/>
        <v>107231.75</v>
      </c>
      <c r="AM229" s="489">
        <v>79</v>
      </c>
      <c r="AN229" s="462">
        <v>302</v>
      </c>
      <c r="AO229" s="450">
        <v>-15657.89</v>
      </c>
      <c r="AP229" s="462"/>
      <c r="AQ229" s="450">
        <v>-29.4</v>
      </c>
      <c r="AR229" s="466">
        <v>1</v>
      </c>
    </row>
    <row r="230" spans="1:44" x14ac:dyDescent="0.25">
      <c r="A230" s="460">
        <v>5755</v>
      </c>
      <c r="B230" s="461" t="s">
        <v>378</v>
      </c>
      <c r="C230" s="462">
        <v>611349.63</v>
      </c>
      <c r="D230" s="464">
        <v>69153.919999999998</v>
      </c>
      <c r="E230" s="462"/>
      <c r="F230" s="464"/>
      <c r="G230" s="462">
        <v>20573.900000000001</v>
      </c>
      <c r="H230" s="464">
        <v>176.35</v>
      </c>
      <c r="I230" s="462">
        <v>-29898.3</v>
      </c>
      <c r="J230" s="464">
        <v>5492.47</v>
      </c>
      <c r="K230" s="462">
        <v>1039</v>
      </c>
      <c r="L230" s="464">
        <v>35105.800000000003</v>
      </c>
      <c r="M230" s="479">
        <f t="shared" si="9"/>
        <v>712992.77</v>
      </c>
      <c r="N230" s="462">
        <v>22958.75</v>
      </c>
      <c r="O230" s="464"/>
      <c r="P230" s="462">
        <v>45552.35</v>
      </c>
      <c r="Q230" s="464">
        <v>11789.77</v>
      </c>
      <c r="R230" s="462">
        <v>19944.849999999999</v>
      </c>
      <c r="S230" s="464"/>
      <c r="T230" s="462"/>
      <c r="U230" s="464">
        <v>2550</v>
      </c>
      <c r="V230" s="462"/>
      <c r="W230" s="464"/>
      <c r="X230" s="475">
        <f t="shared" si="11"/>
        <v>815788.49</v>
      </c>
      <c r="Y230" s="483">
        <v>906</v>
      </c>
      <c r="Z230" s="462"/>
      <c r="AA230" s="462">
        <v>57500</v>
      </c>
      <c r="AB230" s="462"/>
      <c r="AC230" s="462">
        <v>46769</v>
      </c>
      <c r="AD230" s="462">
        <v>1178</v>
      </c>
      <c r="AE230" s="462"/>
      <c r="AF230" s="462"/>
      <c r="AG230" s="462"/>
      <c r="AH230" s="462"/>
      <c r="AI230" s="462"/>
      <c r="AJ230" s="462"/>
      <c r="AK230" s="462"/>
      <c r="AL230" s="465">
        <f t="shared" si="10"/>
        <v>106353</v>
      </c>
      <c r="AM230" s="489">
        <v>80</v>
      </c>
      <c r="AN230" s="462">
        <v>405</v>
      </c>
      <c r="AO230" s="450">
        <v>-10531.9</v>
      </c>
      <c r="AP230" s="462"/>
      <c r="AQ230" s="450">
        <v>-0.15</v>
      </c>
      <c r="AR230" s="466">
        <v>0.7</v>
      </c>
    </row>
    <row r="231" spans="1:44" x14ac:dyDescent="0.25">
      <c r="A231" s="460">
        <v>5756</v>
      </c>
      <c r="B231" s="461" t="s">
        <v>379</v>
      </c>
      <c r="C231" s="462">
        <v>812587.27</v>
      </c>
      <c r="D231" s="464">
        <v>90814.1</v>
      </c>
      <c r="E231" s="462"/>
      <c r="F231" s="464"/>
      <c r="G231" s="462">
        <v>67923.3</v>
      </c>
      <c r="H231" s="464">
        <v>2142.6999999999998</v>
      </c>
      <c r="I231" s="462"/>
      <c r="J231" s="464">
        <v>9940.91</v>
      </c>
      <c r="K231" s="462">
        <v>370.5</v>
      </c>
      <c r="L231" s="464">
        <v>80685.899999999994</v>
      </c>
      <c r="M231" s="479">
        <f t="shared" si="9"/>
        <v>1064464.68</v>
      </c>
      <c r="N231" s="462">
        <v>20534.8</v>
      </c>
      <c r="O231" s="464">
        <v>80296.2</v>
      </c>
      <c r="P231" s="462">
        <v>14379.2</v>
      </c>
      <c r="Q231" s="464"/>
      <c r="R231" s="462">
        <v>19684.349999999999</v>
      </c>
      <c r="S231" s="464"/>
      <c r="T231" s="462"/>
      <c r="U231" s="464">
        <v>1410</v>
      </c>
      <c r="V231" s="462"/>
      <c r="W231" s="464"/>
      <c r="X231" s="475">
        <f t="shared" si="11"/>
        <v>1200769.23</v>
      </c>
      <c r="Y231" s="483">
        <v>3852</v>
      </c>
      <c r="Z231" s="462"/>
      <c r="AA231" s="462">
        <v>56596</v>
      </c>
      <c r="AB231" s="462"/>
      <c r="AC231" s="462">
        <v>23124</v>
      </c>
      <c r="AD231" s="462">
        <v>1348.2</v>
      </c>
      <c r="AE231" s="462"/>
      <c r="AF231" s="462"/>
      <c r="AG231" s="462"/>
      <c r="AH231" s="462"/>
      <c r="AI231" s="462"/>
      <c r="AJ231" s="462">
        <v>11101.7</v>
      </c>
      <c r="AK231" s="462"/>
      <c r="AL231" s="465">
        <f t="shared" si="10"/>
        <v>96021.9</v>
      </c>
      <c r="AM231" s="489">
        <v>72</v>
      </c>
      <c r="AN231" s="462">
        <v>469</v>
      </c>
      <c r="AO231" s="450">
        <v>-9705.57</v>
      </c>
      <c r="AP231" s="462"/>
      <c r="AQ231" s="450">
        <v>-395.43</v>
      </c>
      <c r="AR231" s="466">
        <v>1</v>
      </c>
    </row>
    <row r="232" spans="1:44" x14ac:dyDescent="0.25">
      <c r="A232" s="460">
        <v>5757</v>
      </c>
      <c r="B232" s="461" t="s">
        <v>380</v>
      </c>
      <c r="C232" s="462">
        <v>10930358.75</v>
      </c>
      <c r="D232" s="464">
        <v>1174445.8</v>
      </c>
      <c r="E232" s="462"/>
      <c r="F232" s="464"/>
      <c r="G232" s="462">
        <v>2519991.6</v>
      </c>
      <c r="H232" s="464">
        <v>10859.9</v>
      </c>
      <c r="I232" s="462"/>
      <c r="J232" s="464">
        <v>455342.07</v>
      </c>
      <c r="K232" s="462">
        <v>84751</v>
      </c>
      <c r="L232" s="464">
        <v>1098522.8999999999</v>
      </c>
      <c r="M232" s="479">
        <f t="shared" si="9"/>
        <v>16274272.020000001</v>
      </c>
      <c r="N232" s="462">
        <v>2683850.4</v>
      </c>
      <c r="O232" s="464">
        <v>47480.6</v>
      </c>
      <c r="P232" s="462">
        <v>300855.65000000002</v>
      </c>
      <c r="Q232" s="464">
        <v>190285.58</v>
      </c>
      <c r="R232" s="462">
        <v>120895.2</v>
      </c>
      <c r="S232" s="464">
        <v>39581</v>
      </c>
      <c r="T232" s="462"/>
      <c r="U232" s="464">
        <v>39735</v>
      </c>
      <c r="V232" s="462">
        <v>378</v>
      </c>
      <c r="W232" s="464"/>
      <c r="X232" s="475">
        <f t="shared" si="11"/>
        <v>19697333.449999999</v>
      </c>
      <c r="Y232" s="483">
        <v>125640</v>
      </c>
      <c r="Z232" s="462"/>
      <c r="AA232" s="462">
        <v>1198261.6000000001</v>
      </c>
      <c r="AB232" s="462"/>
      <c r="AC232" s="462">
        <v>959916.7</v>
      </c>
      <c r="AD232" s="462">
        <v>50437.25</v>
      </c>
      <c r="AE232" s="462"/>
      <c r="AF232" s="462"/>
      <c r="AG232" s="462">
        <v>16979.400000000001</v>
      </c>
      <c r="AH232" s="462"/>
      <c r="AI232" s="462">
        <v>131230.39999999999</v>
      </c>
      <c r="AJ232" s="462">
        <v>131230.39999999999</v>
      </c>
      <c r="AK232" s="462"/>
      <c r="AL232" s="465">
        <f t="shared" si="10"/>
        <v>2613695.7499999995</v>
      </c>
      <c r="AM232" s="489">
        <v>74</v>
      </c>
      <c r="AN232" s="462">
        <v>6805</v>
      </c>
      <c r="AO232" s="450">
        <v>-224072.02</v>
      </c>
      <c r="AP232" s="462"/>
      <c r="AQ232" s="450">
        <v>-511.19</v>
      </c>
      <c r="AR232" s="466">
        <v>1</v>
      </c>
    </row>
    <row r="233" spans="1:44" x14ac:dyDescent="0.25">
      <c r="A233" s="460">
        <v>5758</v>
      </c>
      <c r="B233" s="461" t="s">
        <v>252</v>
      </c>
      <c r="C233" s="462">
        <v>257876.52</v>
      </c>
      <c r="D233" s="464">
        <v>35509.339999999997</v>
      </c>
      <c r="E233" s="462"/>
      <c r="F233" s="464">
        <v>920</v>
      </c>
      <c r="G233" s="462">
        <v>-78.799999999999699</v>
      </c>
      <c r="H233" s="464">
        <v>453.35</v>
      </c>
      <c r="I233" s="462"/>
      <c r="J233" s="464">
        <v>-2825.54</v>
      </c>
      <c r="K233" s="462"/>
      <c r="L233" s="464">
        <v>20713.099999999999</v>
      </c>
      <c r="M233" s="479">
        <f t="shared" si="9"/>
        <v>312567.96999999997</v>
      </c>
      <c r="N233" s="462"/>
      <c r="O233" s="464"/>
      <c r="P233" s="462">
        <v>3861</v>
      </c>
      <c r="Q233" s="464"/>
      <c r="R233" s="462">
        <v>7807.45</v>
      </c>
      <c r="S233" s="464"/>
      <c r="T233" s="462"/>
      <c r="U233" s="464">
        <v>860</v>
      </c>
      <c r="V233" s="462"/>
      <c r="W233" s="464"/>
      <c r="X233" s="475">
        <f t="shared" si="11"/>
        <v>325096.42</v>
      </c>
      <c r="Y233" s="483">
        <v>3425</v>
      </c>
      <c r="Z233" s="462"/>
      <c r="AA233" s="462">
        <v>27845</v>
      </c>
      <c r="AB233" s="462"/>
      <c r="AC233" s="462">
        <v>10910</v>
      </c>
      <c r="AD233" s="462">
        <v>13975</v>
      </c>
      <c r="AE233" s="462"/>
      <c r="AF233" s="462"/>
      <c r="AG233" s="462"/>
      <c r="AH233" s="462">
        <v>2100</v>
      </c>
      <c r="AI233" s="462"/>
      <c r="AJ233" s="462"/>
      <c r="AK233" s="462"/>
      <c r="AL233" s="465">
        <f t="shared" si="10"/>
        <v>58255</v>
      </c>
      <c r="AM233" s="489">
        <v>83</v>
      </c>
      <c r="AN233" s="462">
        <v>159</v>
      </c>
      <c r="AO233" s="450">
        <v>-76.84</v>
      </c>
      <c r="AP233" s="462"/>
      <c r="AQ233" s="450">
        <v>0</v>
      </c>
      <c r="AR233" s="466">
        <v>0.9</v>
      </c>
    </row>
    <row r="234" spans="1:44" x14ac:dyDescent="0.25">
      <c r="A234" s="460">
        <v>5759</v>
      </c>
      <c r="B234" s="461" t="s">
        <v>253</v>
      </c>
      <c r="C234" s="462">
        <v>316476.24</v>
      </c>
      <c r="D234" s="464">
        <v>49155.33</v>
      </c>
      <c r="E234" s="462"/>
      <c r="F234" s="464"/>
      <c r="G234" s="462">
        <v>-5284.5</v>
      </c>
      <c r="H234" s="464">
        <v>114.8</v>
      </c>
      <c r="I234" s="462"/>
      <c r="J234" s="464">
        <v>947.47</v>
      </c>
      <c r="K234" s="462">
        <v>242</v>
      </c>
      <c r="L234" s="464">
        <v>25883.5</v>
      </c>
      <c r="M234" s="479">
        <f t="shared" si="9"/>
        <v>387534.83999999997</v>
      </c>
      <c r="N234" s="462">
        <v>1507.6</v>
      </c>
      <c r="O234" s="464"/>
      <c r="P234" s="462">
        <v>5390</v>
      </c>
      <c r="Q234" s="464"/>
      <c r="R234" s="462"/>
      <c r="S234" s="464"/>
      <c r="T234" s="462"/>
      <c r="U234" s="464">
        <v>1125</v>
      </c>
      <c r="V234" s="462"/>
      <c r="W234" s="464"/>
      <c r="X234" s="475">
        <f t="shared" si="11"/>
        <v>395557.43999999994</v>
      </c>
      <c r="Y234" s="483"/>
      <c r="Z234" s="462"/>
      <c r="AA234" s="462">
        <v>25695.200000000001</v>
      </c>
      <c r="AB234" s="462"/>
      <c r="AC234" s="462">
        <f>11323.35+6049.2</f>
        <v>17372.55</v>
      </c>
      <c r="AD234" s="462"/>
      <c r="AE234" s="462"/>
      <c r="AF234" s="462"/>
      <c r="AG234" s="462"/>
      <c r="AH234" s="462"/>
      <c r="AI234" s="462"/>
      <c r="AJ234" s="462"/>
      <c r="AK234" s="462"/>
      <c r="AL234" s="465">
        <f t="shared" si="10"/>
        <v>43067.75</v>
      </c>
      <c r="AM234" s="489">
        <v>81</v>
      </c>
      <c r="AN234" s="462">
        <v>196</v>
      </c>
      <c r="AO234" s="450">
        <v>-7678.44</v>
      </c>
      <c r="AP234" s="462"/>
      <c r="AQ234" s="450">
        <v>-4.91</v>
      </c>
      <c r="AR234" s="466">
        <v>1</v>
      </c>
    </row>
    <row r="235" spans="1:44" x14ac:dyDescent="0.25">
      <c r="A235" s="460">
        <v>5760</v>
      </c>
      <c r="B235" s="461" t="s">
        <v>254</v>
      </c>
      <c r="C235" s="462">
        <v>853451.88</v>
      </c>
      <c r="D235" s="464">
        <v>74404.67</v>
      </c>
      <c r="E235" s="462"/>
      <c r="F235" s="464">
        <v>2280</v>
      </c>
      <c r="G235" s="462">
        <v>14074.7</v>
      </c>
      <c r="H235" s="464">
        <v>533.29999999999995</v>
      </c>
      <c r="I235" s="462"/>
      <c r="J235" s="464">
        <v>6831.59</v>
      </c>
      <c r="K235" s="462"/>
      <c r="L235" s="464">
        <v>92437.9</v>
      </c>
      <c r="M235" s="479">
        <f t="shared" si="9"/>
        <v>1044014.04</v>
      </c>
      <c r="N235" s="462">
        <v>13661.85</v>
      </c>
      <c r="O235" s="464">
        <v>119259.4</v>
      </c>
      <c r="P235" s="462">
        <v>44102.5</v>
      </c>
      <c r="Q235" s="464">
        <v>32676.61</v>
      </c>
      <c r="R235" s="462">
        <v>43102.7</v>
      </c>
      <c r="S235" s="464"/>
      <c r="T235" s="462">
        <v>897.25</v>
      </c>
      <c r="U235" s="464">
        <v>2655</v>
      </c>
      <c r="V235" s="462"/>
      <c r="W235" s="464"/>
      <c r="X235" s="475">
        <f t="shared" si="11"/>
        <v>1300369.3500000001</v>
      </c>
      <c r="Y235" s="483">
        <v>2662.1</v>
      </c>
      <c r="Z235" s="462"/>
      <c r="AA235" s="462">
        <v>47317.95</v>
      </c>
      <c r="AB235" s="462">
        <v>67729.600000000006</v>
      </c>
      <c r="AC235" s="462">
        <v>26922.55</v>
      </c>
      <c r="AD235" s="462"/>
      <c r="AE235" s="462"/>
      <c r="AF235" s="462"/>
      <c r="AG235" s="462"/>
      <c r="AH235" s="462"/>
      <c r="AI235" s="462"/>
      <c r="AJ235" s="462"/>
      <c r="AK235" s="462"/>
      <c r="AL235" s="465">
        <f t="shared" si="10"/>
        <v>144632.19999999998</v>
      </c>
      <c r="AM235" s="489">
        <v>78</v>
      </c>
      <c r="AN235" s="462">
        <v>473</v>
      </c>
      <c r="AO235" s="450">
        <v>-13467.97</v>
      </c>
      <c r="AP235" s="462"/>
      <c r="AQ235" s="450">
        <v>-656.5</v>
      </c>
      <c r="AR235" s="466">
        <v>1.5</v>
      </c>
    </row>
    <row r="236" spans="1:44" x14ac:dyDescent="0.25">
      <c r="A236" s="460">
        <v>5761</v>
      </c>
      <c r="B236" s="461" t="s">
        <v>168</v>
      </c>
      <c r="C236" s="462">
        <v>747163.33</v>
      </c>
      <c r="D236" s="464">
        <v>92590.06</v>
      </c>
      <c r="E236" s="462"/>
      <c r="F236" s="464"/>
      <c r="G236" s="462">
        <v>15611.4</v>
      </c>
      <c r="H236" s="464">
        <v>791.55</v>
      </c>
      <c r="I236" s="462"/>
      <c r="J236" s="464">
        <v>14912.64</v>
      </c>
      <c r="K236" s="462">
        <v>3851</v>
      </c>
      <c r="L236" s="464">
        <v>59068.5</v>
      </c>
      <c r="M236" s="479">
        <f t="shared" si="9"/>
        <v>933988.48</v>
      </c>
      <c r="N236" s="462">
        <v>41030.199999999997</v>
      </c>
      <c r="O236" s="464">
        <v>1301.9000000000001</v>
      </c>
      <c r="P236" s="462">
        <v>52633.55</v>
      </c>
      <c r="Q236" s="464">
        <v>10576.04</v>
      </c>
      <c r="R236" s="462">
        <v>69521.149999999994</v>
      </c>
      <c r="S236" s="464">
        <v>739.05</v>
      </c>
      <c r="T236" s="462"/>
      <c r="U236" s="464">
        <v>3276</v>
      </c>
      <c r="V236" s="462">
        <v>7162.55</v>
      </c>
      <c r="W236" s="464"/>
      <c r="X236" s="475">
        <f t="shared" si="11"/>
        <v>1120228.9200000002</v>
      </c>
      <c r="Y236" s="483">
        <v>38064.85</v>
      </c>
      <c r="Z236" s="462"/>
      <c r="AA236" s="462">
        <v>93263.25</v>
      </c>
      <c r="AB236" s="462"/>
      <c r="AC236" s="462">
        <v>51499.25</v>
      </c>
      <c r="AD236" s="462">
        <v>13841.75</v>
      </c>
      <c r="AE236" s="462"/>
      <c r="AF236" s="462"/>
      <c r="AG236" s="462"/>
      <c r="AH236" s="462">
        <v>16155.75</v>
      </c>
      <c r="AI236" s="462"/>
      <c r="AJ236" s="462"/>
      <c r="AK236" s="462"/>
      <c r="AL236" s="465">
        <f t="shared" si="10"/>
        <v>212824.85</v>
      </c>
      <c r="AM236" s="489">
        <v>76</v>
      </c>
      <c r="AN236" s="462">
        <v>546</v>
      </c>
      <c r="AO236" s="450">
        <v>-34722.06</v>
      </c>
      <c r="AP236" s="462"/>
      <c r="AQ236" s="450">
        <v>0</v>
      </c>
      <c r="AR236" s="466">
        <v>0.8</v>
      </c>
    </row>
    <row r="237" spans="1:44" x14ac:dyDescent="0.25">
      <c r="A237" s="460">
        <v>5762</v>
      </c>
      <c r="B237" s="461" t="s">
        <v>169</v>
      </c>
      <c r="C237" s="462">
        <v>226603.88</v>
      </c>
      <c r="D237" s="464">
        <v>21444.34</v>
      </c>
      <c r="E237" s="462"/>
      <c r="F237" s="464"/>
      <c r="G237" s="462">
        <v>7904.45</v>
      </c>
      <c r="H237" s="464">
        <v>70.599999999999994</v>
      </c>
      <c r="I237" s="462"/>
      <c r="J237" s="464">
        <v>4710.6099999999997</v>
      </c>
      <c r="K237" s="462"/>
      <c r="L237" s="464">
        <v>19093.099999999999</v>
      </c>
      <c r="M237" s="479">
        <f t="shared" si="9"/>
        <v>279826.98</v>
      </c>
      <c r="N237" s="462">
        <v>7814.8</v>
      </c>
      <c r="O237" s="464">
        <v>3564</v>
      </c>
      <c r="P237" s="462"/>
      <c r="Q237" s="464"/>
      <c r="R237" s="462"/>
      <c r="S237" s="464"/>
      <c r="T237" s="462"/>
      <c r="U237" s="464">
        <v>900</v>
      </c>
      <c r="V237" s="462"/>
      <c r="W237" s="464"/>
      <c r="X237" s="475">
        <f t="shared" si="11"/>
        <v>292105.77999999997</v>
      </c>
      <c r="Y237" s="483"/>
      <c r="Z237" s="462">
        <v>186.4</v>
      </c>
      <c r="AA237" s="462">
        <v>5460.8</v>
      </c>
      <c r="AB237" s="462"/>
      <c r="AC237" s="462">
        <v>11850.55</v>
      </c>
      <c r="AD237" s="462"/>
      <c r="AE237" s="462">
        <v>265.35000000000002</v>
      </c>
      <c r="AF237" s="462"/>
      <c r="AG237" s="462"/>
      <c r="AH237" s="462"/>
      <c r="AI237" s="462"/>
      <c r="AJ237" s="462"/>
      <c r="AK237" s="462"/>
      <c r="AL237" s="465">
        <f t="shared" si="10"/>
        <v>17763.099999999999</v>
      </c>
      <c r="AM237" s="489">
        <v>78</v>
      </c>
      <c r="AN237" s="462">
        <v>140</v>
      </c>
      <c r="AO237" s="450">
        <v>-76.19</v>
      </c>
      <c r="AP237" s="462"/>
      <c r="AQ237" s="450">
        <v>0</v>
      </c>
      <c r="AR237" s="466">
        <v>1</v>
      </c>
    </row>
    <row r="238" spans="1:44" x14ac:dyDescent="0.25">
      <c r="A238" s="460">
        <v>5763</v>
      </c>
      <c r="B238" s="461" t="s">
        <v>170</v>
      </c>
      <c r="C238" s="462">
        <v>853614.46</v>
      </c>
      <c r="D238" s="464">
        <v>56998.86</v>
      </c>
      <c r="E238" s="462"/>
      <c r="F238" s="464">
        <v>3300</v>
      </c>
      <c r="G238" s="462">
        <v>38087.25</v>
      </c>
      <c r="H238" s="464">
        <v>636.5</v>
      </c>
      <c r="I238" s="462"/>
      <c r="J238" s="464">
        <v>16747.099999999999</v>
      </c>
      <c r="K238" s="462">
        <v>3517.5</v>
      </c>
      <c r="L238" s="464">
        <v>77003.7</v>
      </c>
      <c r="M238" s="479">
        <f t="shared" si="9"/>
        <v>1049905.3699999999</v>
      </c>
      <c r="N238" s="462">
        <v>40770.949999999997</v>
      </c>
      <c r="O238" s="464"/>
      <c r="P238" s="462">
        <v>31427</v>
      </c>
      <c r="Q238" s="464">
        <v>4227.13</v>
      </c>
      <c r="R238" s="462">
        <v>43820.800000000003</v>
      </c>
      <c r="S238" s="464"/>
      <c r="T238" s="462">
        <v>1753.6</v>
      </c>
      <c r="U238" s="464">
        <v>3750</v>
      </c>
      <c r="V238" s="462"/>
      <c r="W238" s="464"/>
      <c r="X238" s="475">
        <f t="shared" si="11"/>
        <v>1175654.8499999999</v>
      </c>
      <c r="Y238" s="483">
        <v>17232</v>
      </c>
      <c r="Z238" s="462"/>
      <c r="AA238" s="462">
        <v>91503.1</v>
      </c>
      <c r="AB238" s="462"/>
      <c r="AC238" s="462">
        <v>56615.75</v>
      </c>
      <c r="AD238" s="462">
        <v>10192</v>
      </c>
      <c r="AE238" s="462"/>
      <c r="AF238" s="462"/>
      <c r="AG238" s="462"/>
      <c r="AH238" s="462"/>
      <c r="AI238" s="462"/>
      <c r="AJ238" s="462"/>
      <c r="AK238" s="462"/>
      <c r="AL238" s="465">
        <f t="shared" si="10"/>
        <v>175542.85</v>
      </c>
      <c r="AM238" s="489">
        <v>65</v>
      </c>
      <c r="AN238" s="462">
        <v>623</v>
      </c>
      <c r="AO238" s="450">
        <v>-8511.08</v>
      </c>
      <c r="AP238" s="462"/>
      <c r="AQ238" s="450">
        <v>-41.12</v>
      </c>
      <c r="AR238" s="466">
        <v>1</v>
      </c>
    </row>
    <row r="239" spans="1:44" x14ac:dyDescent="0.25">
      <c r="A239" s="460">
        <v>5764</v>
      </c>
      <c r="B239" s="461" t="s">
        <v>381</v>
      </c>
      <c r="C239" s="462">
        <v>4722497.46</v>
      </c>
      <c r="D239" s="464">
        <v>357283.24</v>
      </c>
      <c r="E239" s="462"/>
      <c r="F239" s="464"/>
      <c r="G239" s="462">
        <v>596842.15</v>
      </c>
      <c r="H239" s="464">
        <v>23391.200000000001</v>
      </c>
      <c r="I239" s="462"/>
      <c r="J239" s="464">
        <v>286961.02</v>
      </c>
      <c r="K239" s="462">
        <v>3384</v>
      </c>
      <c r="L239" s="464">
        <v>390652.05</v>
      </c>
      <c r="M239" s="479">
        <f t="shared" si="9"/>
        <v>6381011.1200000001</v>
      </c>
      <c r="N239" s="462">
        <v>2204983.65</v>
      </c>
      <c r="O239" s="464">
        <v>57956.4</v>
      </c>
      <c r="P239" s="462">
        <v>227876.5</v>
      </c>
      <c r="Q239" s="464">
        <v>81130.69</v>
      </c>
      <c r="R239" s="462">
        <v>104286.65</v>
      </c>
      <c r="S239" s="464">
        <v>1550</v>
      </c>
      <c r="T239" s="462">
        <v>8502.5499999999993</v>
      </c>
      <c r="U239" s="464">
        <v>18087.5</v>
      </c>
      <c r="V239" s="462">
        <v>45862.7</v>
      </c>
      <c r="W239" s="464"/>
      <c r="X239" s="475">
        <f t="shared" si="11"/>
        <v>9131247.7599999998</v>
      </c>
      <c r="Y239" s="483">
        <v>71616</v>
      </c>
      <c r="Z239" s="462">
        <v>16590</v>
      </c>
      <c r="AA239" s="462">
        <v>508241.83</v>
      </c>
      <c r="AB239" s="462"/>
      <c r="AC239" s="462">
        <v>515136.17</v>
      </c>
      <c r="AD239" s="462">
        <v>57279.65</v>
      </c>
      <c r="AE239" s="462">
        <v>3529.8</v>
      </c>
      <c r="AF239" s="462"/>
      <c r="AG239" s="462">
        <v>6491.7</v>
      </c>
      <c r="AH239" s="462">
        <v>185595.65</v>
      </c>
      <c r="AI239" s="462"/>
      <c r="AJ239" s="462"/>
      <c r="AK239" s="462"/>
      <c r="AL239" s="465">
        <f t="shared" si="10"/>
        <v>1364480.7999999998</v>
      </c>
      <c r="AM239" s="489">
        <v>74</v>
      </c>
      <c r="AN239" s="462">
        <v>3747</v>
      </c>
      <c r="AO239" s="450">
        <v>-207572.22</v>
      </c>
      <c r="AP239" s="462"/>
      <c r="AQ239" s="450">
        <v>-562.57000000000005</v>
      </c>
      <c r="AR239" s="466">
        <v>1</v>
      </c>
    </row>
    <row r="240" spans="1:44" x14ac:dyDescent="0.25">
      <c r="A240" s="460">
        <v>5765</v>
      </c>
      <c r="B240" s="461" t="s">
        <v>382</v>
      </c>
      <c r="C240" s="462">
        <v>671818.84</v>
      </c>
      <c r="D240" s="464">
        <v>71160</v>
      </c>
      <c r="E240" s="462"/>
      <c r="F240" s="464"/>
      <c r="G240" s="462">
        <v>12862.2</v>
      </c>
      <c r="H240" s="464">
        <v>609.85</v>
      </c>
      <c r="I240" s="462"/>
      <c r="J240" s="464">
        <v>19020.47</v>
      </c>
      <c r="K240" s="462"/>
      <c r="L240" s="464">
        <v>28752.2</v>
      </c>
      <c r="M240" s="479">
        <f t="shared" si="9"/>
        <v>804223.55999999982</v>
      </c>
      <c r="N240" s="462">
        <v>44930.85</v>
      </c>
      <c r="O240" s="464"/>
      <c r="P240" s="462">
        <v>7370</v>
      </c>
      <c r="Q240" s="464">
        <v>11813.98</v>
      </c>
      <c r="R240" s="462">
        <v>4882.5</v>
      </c>
      <c r="S240" s="464"/>
      <c r="T240" s="462">
        <v>1073.25</v>
      </c>
      <c r="U240" s="464">
        <v>4200</v>
      </c>
      <c r="V240" s="462">
        <v>618</v>
      </c>
      <c r="W240" s="464"/>
      <c r="X240" s="475">
        <f t="shared" si="11"/>
        <v>879112.13999999978</v>
      </c>
      <c r="Y240" s="483"/>
      <c r="Z240" s="462"/>
      <c r="AA240" s="462">
        <v>126439.1</v>
      </c>
      <c r="AB240" s="462"/>
      <c r="AC240" s="462">
        <v>63856.05</v>
      </c>
      <c r="AD240" s="462"/>
      <c r="AE240" s="462"/>
      <c r="AF240" s="462"/>
      <c r="AG240" s="462"/>
      <c r="AH240" s="462"/>
      <c r="AI240" s="462"/>
      <c r="AJ240" s="462"/>
      <c r="AK240" s="462"/>
      <c r="AL240" s="465">
        <f t="shared" si="10"/>
        <v>190295.15000000002</v>
      </c>
      <c r="AM240" s="489">
        <v>81</v>
      </c>
      <c r="AN240" s="462">
        <v>494</v>
      </c>
      <c r="AO240" s="450">
        <v>-18656.490000000002</v>
      </c>
      <c r="AP240" s="462"/>
      <c r="AQ240" s="450">
        <v>-12.05</v>
      </c>
      <c r="AR240" s="466">
        <v>0.5</v>
      </c>
    </row>
    <row r="241" spans="1:44" x14ac:dyDescent="0.25">
      <c r="A241" s="460">
        <v>5766</v>
      </c>
      <c r="B241" s="461" t="s">
        <v>383</v>
      </c>
      <c r="C241" s="462">
        <v>793813.11</v>
      </c>
      <c r="D241" s="464">
        <v>80323.38</v>
      </c>
      <c r="E241" s="462"/>
      <c r="F241" s="464"/>
      <c r="G241" s="462">
        <v>28305.05</v>
      </c>
      <c r="H241" s="464">
        <v>411.65</v>
      </c>
      <c r="I241" s="462"/>
      <c r="J241" s="464">
        <v>33944.629999999997</v>
      </c>
      <c r="K241" s="462">
        <v>3614.5</v>
      </c>
      <c r="L241" s="464">
        <v>48934.7</v>
      </c>
      <c r="M241" s="479">
        <f t="shared" si="9"/>
        <v>989347.02</v>
      </c>
      <c r="N241" s="462">
        <v>21712.6</v>
      </c>
      <c r="O241" s="464"/>
      <c r="P241" s="462">
        <v>22954.799999999999</v>
      </c>
      <c r="Q241" s="464">
        <v>1657.98</v>
      </c>
      <c r="R241" s="462">
        <v>20706.45</v>
      </c>
      <c r="S241" s="464"/>
      <c r="T241" s="462"/>
      <c r="U241" s="464">
        <v>1880</v>
      </c>
      <c r="V241" s="462"/>
      <c r="W241" s="464"/>
      <c r="X241" s="475">
        <f t="shared" si="11"/>
        <v>1058258.8500000001</v>
      </c>
      <c r="Y241" s="483">
        <v>859.9</v>
      </c>
      <c r="Z241" s="462"/>
      <c r="AA241" s="462">
        <v>40290.050000000003</v>
      </c>
      <c r="AB241" s="462"/>
      <c r="AC241" s="462">
        <v>22203.35</v>
      </c>
      <c r="AD241" s="462">
        <v>13942.2</v>
      </c>
      <c r="AE241" s="462"/>
      <c r="AF241" s="462"/>
      <c r="AG241" s="462"/>
      <c r="AH241" s="462"/>
      <c r="AI241" s="462"/>
      <c r="AJ241" s="462"/>
      <c r="AK241" s="462"/>
      <c r="AL241" s="465">
        <f t="shared" si="10"/>
        <v>77295.5</v>
      </c>
      <c r="AM241" s="489">
        <v>77</v>
      </c>
      <c r="AN241" s="462">
        <v>556</v>
      </c>
      <c r="AO241" s="450">
        <v>-9069.74</v>
      </c>
      <c r="AP241" s="462"/>
      <c r="AQ241" s="450">
        <v>-62.31</v>
      </c>
      <c r="AR241" s="466">
        <v>0.7</v>
      </c>
    </row>
    <row r="242" spans="1:44" x14ac:dyDescent="0.25">
      <c r="A242" s="460">
        <v>5782</v>
      </c>
      <c r="B242" s="461" t="s">
        <v>317</v>
      </c>
      <c r="C242" s="462">
        <v>1919851.38</v>
      </c>
      <c r="D242" s="464">
        <v>182494.58</v>
      </c>
      <c r="E242" s="462"/>
      <c r="F242" s="464"/>
      <c r="G242" s="462">
        <v>143158.65</v>
      </c>
      <c r="H242" s="464">
        <v>2077.75</v>
      </c>
      <c r="I242" s="462"/>
      <c r="J242" s="464">
        <v>43130.09</v>
      </c>
      <c r="K242" s="462">
        <v>6209</v>
      </c>
      <c r="L242" s="464">
        <v>197164.79999999999</v>
      </c>
      <c r="M242" s="479">
        <f t="shared" si="9"/>
        <v>2494086.2499999995</v>
      </c>
      <c r="N242" s="462">
        <v>9298.7000000000007</v>
      </c>
      <c r="O242" s="464">
        <v>195.8</v>
      </c>
      <c r="P242" s="462">
        <v>266683.40000000002</v>
      </c>
      <c r="Q242" s="464">
        <v>734.25</v>
      </c>
      <c r="R242" s="462">
        <v>75822.45</v>
      </c>
      <c r="S242" s="464">
        <v>325</v>
      </c>
      <c r="T242" s="462"/>
      <c r="U242" s="464">
        <v>4890</v>
      </c>
      <c r="V242" s="462"/>
      <c r="W242" s="464"/>
      <c r="X242" s="475">
        <f t="shared" si="11"/>
        <v>2852035.8499999996</v>
      </c>
      <c r="Y242" s="483">
        <v>35700</v>
      </c>
      <c r="Z242" s="462"/>
      <c r="AA242" s="462">
        <v>199969.25</v>
      </c>
      <c r="AB242" s="462"/>
      <c r="AC242" s="462">
        <v>64484.4</v>
      </c>
      <c r="AD242" s="462">
        <v>19750</v>
      </c>
      <c r="AE242" s="462"/>
      <c r="AF242" s="462"/>
      <c r="AG242" s="462">
        <v>1250</v>
      </c>
      <c r="AH242" s="462"/>
      <c r="AI242" s="462"/>
      <c r="AJ242" s="462"/>
      <c r="AK242" s="462"/>
      <c r="AL242" s="465">
        <f t="shared" si="10"/>
        <v>321153.65000000002</v>
      </c>
      <c r="AM242" s="489">
        <v>76</v>
      </c>
      <c r="AN242" s="462">
        <v>1247</v>
      </c>
      <c r="AO242" s="450">
        <v>-18311.98</v>
      </c>
      <c r="AP242" s="462"/>
      <c r="AQ242" s="450">
        <v>0</v>
      </c>
      <c r="AR242" s="466">
        <v>1</v>
      </c>
    </row>
    <row r="243" spans="1:44" x14ac:dyDescent="0.25">
      <c r="A243" s="460">
        <v>5785</v>
      </c>
      <c r="B243" s="461" t="s">
        <v>319</v>
      </c>
      <c r="C243" s="462">
        <v>729793.86</v>
      </c>
      <c r="D243" s="464">
        <v>146963.07</v>
      </c>
      <c r="E243" s="462"/>
      <c r="F243" s="464"/>
      <c r="G243" s="462">
        <v>-4974.4499999999798</v>
      </c>
      <c r="H243" s="464">
        <v>393.95</v>
      </c>
      <c r="I243" s="462"/>
      <c r="J243" s="464">
        <v>13055.7</v>
      </c>
      <c r="K243" s="462">
        <v>1403.5</v>
      </c>
      <c r="L243" s="464">
        <v>66036.100000000006</v>
      </c>
      <c r="M243" s="479">
        <f t="shared" si="9"/>
        <v>952671.72999999986</v>
      </c>
      <c r="N243" s="462"/>
      <c r="O243" s="464">
        <v>5612.5</v>
      </c>
      <c r="P243" s="462">
        <v>18446.55</v>
      </c>
      <c r="Q243" s="464">
        <v>413.5</v>
      </c>
      <c r="R243" s="462">
        <v>15446.45</v>
      </c>
      <c r="S243" s="464">
        <v>40</v>
      </c>
      <c r="T243" s="462"/>
      <c r="U243" s="464">
        <v>2680</v>
      </c>
      <c r="V243" s="462"/>
      <c r="W243" s="464"/>
      <c r="X243" s="475">
        <f t="shared" si="11"/>
        <v>995310.72999999986</v>
      </c>
      <c r="Y243" s="483">
        <v>52000</v>
      </c>
      <c r="Z243" s="462"/>
      <c r="AA243" s="462">
        <v>65574.8</v>
      </c>
      <c r="AB243" s="462"/>
      <c r="AC243" s="462">
        <v>38034.199999999997</v>
      </c>
      <c r="AD243" s="462">
        <v>300</v>
      </c>
      <c r="AE243" s="462"/>
      <c r="AF243" s="462"/>
      <c r="AG243" s="462"/>
      <c r="AH243" s="462"/>
      <c r="AI243" s="462"/>
      <c r="AJ243" s="462"/>
      <c r="AK243" s="462"/>
      <c r="AL243" s="465">
        <f t="shared" si="10"/>
        <v>155909</v>
      </c>
      <c r="AM243" s="489">
        <v>77</v>
      </c>
      <c r="AN243" s="462">
        <v>425</v>
      </c>
      <c r="AO243" s="450">
        <v>-7687.99</v>
      </c>
      <c r="AP243" s="462"/>
      <c r="AQ243" s="450">
        <v>-204.66</v>
      </c>
      <c r="AR243" s="466">
        <v>1</v>
      </c>
    </row>
    <row r="244" spans="1:44" x14ac:dyDescent="0.25">
      <c r="A244" s="460">
        <v>5788</v>
      </c>
      <c r="B244" s="461" t="s">
        <v>320</v>
      </c>
      <c r="C244" s="462">
        <v>544814.73</v>
      </c>
      <c r="D244" s="464">
        <v>80142.850000000006</v>
      </c>
      <c r="E244" s="462"/>
      <c r="F244" s="464"/>
      <c r="G244" s="462">
        <v>5588.7</v>
      </c>
      <c r="H244" s="464">
        <v>-19.45</v>
      </c>
      <c r="I244" s="462"/>
      <c r="J244" s="464">
        <v>15559.01</v>
      </c>
      <c r="K244" s="462">
        <v>585</v>
      </c>
      <c r="L244" s="464">
        <v>67933.850000000006</v>
      </c>
      <c r="M244" s="479">
        <f t="shared" si="9"/>
        <v>714604.69</v>
      </c>
      <c r="N244" s="462"/>
      <c r="O244" s="464"/>
      <c r="P244" s="462">
        <v>17991.650000000001</v>
      </c>
      <c r="Q244" s="464"/>
      <c r="R244" s="462">
        <v>9437.65</v>
      </c>
      <c r="S244" s="464"/>
      <c r="T244" s="462"/>
      <c r="U244" s="464">
        <v>1710</v>
      </c>
      <c r="V244" s="462"/>
      <c r="W244" s="464"/>
      <c r="X244" s="475">
        <f t="shared" si="11"/>
        <v>743743.99</v>
      </c>
      <c r="Y244" s="483">
        <v>48805</v>
      </c>
      <c r="Z244" s="462"/>
      <c r="AA244" s="462">
        <v>43381.4</v>
      </c>
      <c r="AB244" s="462"/>
      <c r="AC244" s="462">
        <v>20311.5</v>
      </c>
      <c r="AD244" s="462"/>
      <c r="AE244" s="462"/>
      <c r="AF244" s="462"/>
      <c r="AG244" s="462"/>
      <c r="AH244" s="462"/>
      <c r="AI244" s="462"/>
      <c r="AJ244" s="462"/>
      <c r="AK244" s="462"/>
      <c r="AL244" s="465">
        <f t="shared" si="10"/>
        <v>112497.9</v>
      </c>
      <c r="AM244" s="489">
        <v>72</v>
      </c>
      <c r="AN244" s="462">
        <v>335</v>
      </c>
      <c r="AO244" s="450">
        <v>-5266.42</v>
      </c>
      <c r="AP244" s="462"/>
      <c r="AQ244" s="450">
        <v>0</v>
      </c>
      <c r="AR244" s="466">
        <v>1.25</v>
      </c>
    </row>
    <row r="245" spans="1:44" x14ac:dyDescent="0.25">
      <c r="A245" s="460">
        <v>5789</v>
      </c>
      <c r="B245" s="461" t="s">
        <v>321</v>
      </c>
      <c r="C245" s="462">
        <v>588940.81000000006</v>
      </c>
      <c r="D245" s="464">
        <v>61942.92</v>
      </c>
      <c r="E245" s="462"/>
      <c r="F245" s="464"/>
      <c r="G245" s="462">
        <v>768.5</v>
      </c>
      <c r="H245" s="464">
        <v>392.65</v>
      </c>
      <c r="I245" s="462"/>
      <c r="J245" s="464">
        <v>-1561.45</v>
      </c>
      <c r="K245" s="462">
        <v>37.5</v>
      </c>
      <c r="L245" s="464">
        <v>49093.85</v>
      </c>
      <c r="M245" s="479">
        <f t="shared" si="9"/>
        <v>699614.78000000014</v>
      </c>
      <c r="N245" s="462"/>
      <c r="O245" s="464"/>
      <c r="P245" s="462">
        <v>11825</v>
      </c>
      <c r="Q245" s="464">
        <v>4294.2700000000004</v>
      </c>
      <c r="R245" s="462">
        <v>28677.3</v>
      </c>
      <c r="S245" s="464"/>
      <c r="T245" s="462"/>
      <c r="U245" s="464">
        <v>2065</v>
      </c>
      <c r="V245" s="462"/>
      <c r="W245" s="464"/>
      <c r="X245" s="475">
        <f t="shared" si="11"/>
        <v>746476.35000000021</v>
      </c>
      <c r="Y245" s="483">
        <v>3769.95</v>
      </c>
      <c r="Z245" s="462"/>
      <c r="AA245" s="462">
        <v>38699.550000000003</v>
      </c>
      <c r="AB245" s="462"/>
      <c r="AC245" s="462">
        <v>19738.75</v>
      </c>
      <c r="AD245" s="462"/>
      <c r="AE245" s="462"/>
      <c r="AF245" s="462"/>
      <c r="AG245" s="462"/>
      <c r="AH245" s="462"/>
      <c r="AI245" s="462"/>
      <c r="AJ245" s="462"/>
      <c r="AK245" s="462"/>
      <c r="AL245" s="465">
        <f t="shared" si="10"/>
        <v>62208.25</v>
      </c>
      <c r="AM245" s="489">
        <v>76</v>
      </c>
      <c r="AN245" s="462">
        <v>350</v>
      </c>
      <c r="AO245" s="450">
        <v>-1680.58</v>
      </c>
      <c r="AP245" s="462"/>
      <c r="AQ245" s="450">
        <v>-0.18</v>
      </c>
      <c r="AR245" s="466">
        <v>1</v>
      </c>
    </row>
    <row r="246" spans="1:44" x14ac:dyDescent="0.25">
      <c r="A246" s="460">
        <v>5790</v>
      </c>
      <c r="B246" s="461" t="s">
        <v>322</v>
      </c>
      <c r="C246" s="462">
        <v>727596.09</v>
      </c>
      <c r="D246" s="464">
        <v>107127.1</v>
      </c>
      <c r="E246" s="462"/>
      <c r="F246" s="464"/>
      <c r="G246" s="462">
        <v>3133</v>
      </c>
      <c r="H246" s="464">
        <v>627.9</v>
      </c>
      <c r="I246" s="462"/>
      <c r="J246" s="464">
        <v>4682.62</v>
      </c>
      <c r="K246" s="462">
        <v>2169.5</v>
      </c>
      <c r="L246" s="464">
        <v>71397.8</v>
      </c>
      <c r="M246" s="479">
        <f t="shared" si="9"/>
        <v>916734.01</v>
      </c>
      <c r="N246" s="462"/>
      <c r="O246" s="464"/>
      <c r="P246" s="462">
        <v>35235.25</v>
      </c>
      <c r="Q246" s="464">
        <v>1853.44</v>
      </c>
      <c r="R246" s="462">
        <v>25058.75</v>
      </c>
      <c r="S246" s="464"/>
      <c r="T246" s="462"/>
      <c r="U246" s="464">
        <v>4900</v>
      </c>
      <c r="V246" s="462"/>
      <c r="W246" s="464"/>
      <c r="X246" s="475">
        <f t="shared" si="11"/>
        <v>983781.45</v>
      </c>
      <c r="Y246" s="483">
        <v>50992</v>
      </c>
      <c r="Z246" s="462"/>
      <c r="AA246" s="462">
        <v>57102.5</v>
      </c>
      <c r="AB246" s="462"/>
      <c r="AC246" s="462">
        <v>23831.8</v>
      </c>
      <c r="AD246" s="462">
        <v>3000</v>
      </c>
      <c r="AE246" s="462"/>
      <c r="AF246" s="462"/>
      <c r="AG246" s="462"/>
      <c r="AH246" s="462"/>
      <c r="AI246" s="462"/>
      <c r="AJ246" s="462"/>
      <c r="AK246" s="462"/>
      <c r="AL246" s="465">
        <f t="shared" si="10"/>
        <v>134926.29999999999</v>
      </c>
      <c r="AM246" s="489">
        <v>76</v>
      </c>
      <c r="AN246" s="462">
        <v>449</v>
      </c>
      <c r="AO246" s="450">
        <v>-366.17</v>
      </c>
      <c r="AP246" s="462"/>
      <c r="AQ246" s="450">
        <v>-312.48</v>
      </c>
      <c r="AR246" s="466">
        <v>1</v>
      </c>
    </row>
    <row r="247" spans="1:44" x14ac:dyDescent="0.25">
      <c r="A247" s="460">
        <v>5791</v>
      </c>
      <c r="B247" s="461" t="s">
        <v>323</v>
      </c>
      <c r="C247" s="462">
        <v>2797721.02</v>
      </c>
      <c r="D247" s="464">
        <v>398651.55</v>
      </c>
      <c r="E247" s="462"/>
      <c r="F247" s="464"/>
      <c r="G247" s="462">
        <v>122401.9</v>
      </c>
      <c r="H247" s="464">
        <v>1237.4000000000001</v>
      </c>
      <c r="I247" s="462">
        <v>54947.5</v>
      </c>
      <c r="J247" s="464">
        <v>65183.29</v>
      </c>
      <c r="K247" s="462">
        <v>7488.5</v>
      </c>
      <c r="L247" s="464">
        <v>308600.84999999998</v>
      </c>
      <c r="M247" s="479">
        <f t="shared" si="9"/>
        <v>3756232.01</v>
      </c>
      <c r="N247" s="462">
        <v>122.8</v>
      </c>
      <c r="O247" s="464">
        <v>58072.4</v>
      </c>
      <c r="P247" s="462">
        <v>91623.1</v>
      </c>
      <c r="Q247" s="464">
        <v>2937.55</v>
      </c>
      <c r="R247" s="462">
        <v>98334.05</v>
      </c>
      <c r="S247" s="464"/>
      <c r="T247" s="462">
        <v>9274.7000000000007</v>
      </c>
      <c r="U247" s="464">
        <v>3525</v>
      </c>
      <c r="V247" s="462">
        <v>21611.9</v>
      </c>
      <c r="W247" s="464"/>
      <c r="X247" s="475">
        <f t="shared" si="11"/>
        <v>4041733.5099999993</v>
      </c>
      <c r="Y247" s="483"/>
      <c r="Z247" s="462"/>
      <c r="AA247" s="462">
        <v>130121.35</v>
      </c>
      <c r="AB247" s="462"/>
      <c r="AC247" s="462">
        <v>118614.99</v>
      </c>
      <c r="AD247" s="462"/>
      <c r="AE247" s="462"/>
      <c r="AF247" s="462"/>
      <c r="AG247" s="462"/>
      <c r="AH247" s="462"/>
      <c r="AI247" s="462"/>
      <c r="AJ247" s="462"/>
      <c r="AK247" s="462"/>
      <c r="AL247" s="465">
        <f t="shared" si="10"/>
        <v>248736.34000000003</v>
      </c>
      <c r="AM247" s="489">
        <v>76</v>
      </c>
      <c r="AN247" s="462">
        <v>1217</v>
      </c>
      <c r="AO247" s="450">
        <v>-23265.25</v>
      </c>
      <c r="AP247" s="462"/>
      <c r="AQ247" s="450">
        <v>-148.19999999999999</v>
      </c>
      <c r="AR247" s="466">
        <v>1.5</v>
      </c>
    </row>
    <row r="248" spans="1:44" x14ac:dyDescent="0.25">
      <c r="A248" s="460">
        <v>5792</v>
      </c>
      <c r="B248" s="461" t="s">
        <v>324</v>
      </c>
      <c r="C248" s="462">
        <v>974092.11</v>
      </c>
      <c r="D248" s="464">
        <v>101075.61</v>
      </c>
      <c r="E248" s="462"/>
      <c r="F248" s="464"/>
      <c r="G248" s="462">
        <v>27658.05</v>
      </c>
      <c r="H248" s="464">
        <v>866.7</v>
      </c>
      <c r="I248" s="462"/>
      <c r="J248" s="464">
        <v>20530.310000000001</v>
      </c>
      <c r="K248" s="462">
        <v>2260.5</v>
      </c>
      <c r="L248" s="464">
        <v>102498.3</v>
      </c>
      <c r="M248" s="479">
        <f t="shared" si="9"/>
        <v>1228981.58</v>
      </c>
      <c r="N248" s="462">
        <v>244.75</v>
      </c>
      <c r="O248" s="464"/>
      <c r="P248" s="462">
        <v>57819.3</v>
      </c>
      <c r="Q248" s="464"/>
      <c r="R248" s="462">
        <v>76814.3</v>
      </c>
      <c r="S248" s="464"/>
      <c r="T248" s="462">
        <v>97.25</v>
      </c>
      <c r="U248" s="464">
        <v>3150</v>
      </c>
      <c r="V248" s="462"/>
      <c r="W248" s="464"/>
      <c r="X248" s="475">
        <f t="shared" si="11"/>
        <v>1367107.1800000002</v>
      </c>
      <c r="Y248" s="483">
        <v>25223</v>
      </c>
      <c r="Z248" s="462"/>
      <c r="AA248" s="462">
        <v>69979.55</v>
      </c>
      <c r="AB248" s="462"/>
      <c r="AC248" s="462">
        <v>42880</v>
      </c>
      <c r="AD248" s="462">
        <v>24632.400000000001</v>
      </c>
      <c r="AE248" s="462"/>
      <c r="AF248" s="462"/>
      <c r="AG248" s="462"/>
      <c r="AH248" s="462">
        <v>14229.2</v>
      </c>
      <c r="AI248" s="462"/>
      <c r="AJ248" s="462"/>
      <c r="AK248" s="462"/>
      <c r="AL248" s="465">
        <f t="shared" si="10"/>
        <v>176944.15</v>
      </c>
      <c r="AM248" s="489">
        <v>77</v>
      </c>
      <c r="AN248" s="462">
        <v>621</v>
      </c>
      <c r="AO248" s="450">
        <v>-17364.48</v>
      </c>
      <c r="AP248" s="462">
        <v>-4938.6000000000004</v>
      </c>
      <c r="AQ248" s="450">
        <v>-21.51</v>
      </c>
      <c r="AR248" s="466">
        <v>1</v>
      </c>
    </row>
    <row r="249" spans="1:44" x14ac:dyDescent="0.25">
      <c r="A249" s="460">
        <v>5798</v>
      </c>
      <c r="B249" s="461" t="s">
        <v>325</v>
      </c>
      <c r="C249" s="462">
        <v>666814.41</v>
      </c>
      <c r="D249" s="464">
        <v>82359.13</v>
      </c>
      <c r="E249" s="462"/>
      <c r="F249" s="464"/>
      <c r="G249" s="462">
        <v>57483.65</v>
      </c>
      <c r="H249" s="464">
        <v>1598.8</v>
      </c>
      <c r="I249" s="462"/>
      <c r="J249" s="464">
        <v>25220.89</v>
      </c>
      <c r="K249" s="462">
        <v>3908</v>
      </c>
      <c r="L249" s="487">
        <v>34007.65</v>
      </c>
      <c r="M249" s="479">
        <f t="shared" si="9"/>
        <v>871392.53000000014</v>
      </c>
      <c r="N249" s="462"/>
      <c r="O249" s="464">
        <v>24775.200000000001</v>
      </c>
      <c r="P249" s="462">
        <v>17465.55</v>
      </c>
      <c r="Q249" s="464"/>
      <c r="R249" s="462"/>
      <c r="S249" s="464">
        <v>375</v>
      </c>
      <c r="T249" s="462"/>
      <c r="U249" s="464">
        <v>2820</v>
      </c>
      <c r="V249" s="462"/>
      <c r="W249" s="464"/>
      <c r="X249" s="475">
        <f t="shared" si="11"/>
        <v>916828.28000000014</v>
      </c>
      <c r="Y249" s="483">
        <v>53000</v>
      </c>
      <c r="Z249" s="462"/>
      <c r="AA249" s="462">
        <v>54829.8</v>
      </c>
      <c r="AB249" s="462"/>
      <c r="AC249" s="462">
        <v>28199.35</v>
      </c>
      <c r="AD249" s="462">
        <v>24130.7</v>
      </c>
      <c r="AE249" s="462"/>
      <c r="AF249" s="462"/>
      <c r="AG249" s="462"/>
      <c r="AH249" s="462"/>
      <c r="AI249" s="462"/>
      <c r="AJ249" s="462"/>
      <c r="AK249" s="462"/>
      <c r="AL249" s="465">
        <f t="shared" si="10"/>
        <v>160159.85</v>
      </c>
      <c r="AM249" s="489">
        <v>77.5</v>
      </c>
      <c r="AN249" s="462">
        <v>438</v>
      </c>
      <c r="AO249" s="450">
        <v>-20944.759999999998</v>
      </c>
      <c r="AP249" s="462"/>
      <c r="AQ249" s="450">
        <v>-118.55</v>
      </c>
      <c r="AR249" s="466">
        <v>1</v>
      </c>
    </row>
    <row r="250" spans="1:44" x14ac:dyDescent="0.25">
      <c r="A250" s="460">
        <v>5799</v>
      </c>
      <c r="B250" s="461" t="s">
        <v>326</v>
      </c>
      <c r="C250" s="462">
        <v>3391873.06</v>
      </c>
      <c r="D250" s="464">
        <v>386386.19</v>
      </c>
      <c r="E250" s="462"/>
      <c r="F250" s="464"/>
      <c r="G250" s="462">
        <v>66939</v>
      </c>
      <c r="H250" s="464">
        <v>1900.6</v>
      </c>
      <c r="I250" s="462">
        <v>-33796.300000000003</v>
      </c>
      <c r="J250" s="464">
        <v>49231.16</v>
      </c>
      <c r="K250" s="462">
        <v>13591</v>
      </c>
      <c r="L250" s="464">
        <v>338724.25</v>
      </c>
      <c r="M250" s="479">
        <f t="shared" si="9"/>
        <v>4214848.9600000009</v>
      </c>
      <c r="N250" s="462">
        <v>18179.400000000001</v>
      </c>
      <c r="O250" s="464">
        <v>24294.400000000001</v>
      </c>
      <c r="P250" s="462">
        <v>139549.85</v>
      </c>
      <c r="Q250" s="464">
        <v>20713.79</v>
      </c>
      <c r="R250" s="462">
        <v>76608.25</v>
      </c>
      <c r="S250" s="464"/>
      <c r="T250" s="462">
        <v>655.65</v>
      </c>
      <c r="U250" s="464">
        <v>8300</v>
      </c>
      <c r="V250" s="462">
        <v>56061.55</v>
      </c>
      <c r="W250" s="464"/>
      <c r="X250" s="475">
        <f t="shared" si="11"/>
        <v>4559211.8500000015</v>
      </c>
      <c r="Y250" s="483">
        <v>59403.75</v>
      </c>
      <c r="Z250" s="462"/>
      <c r="AA250" s="462">
        <v>362500.4</v>
      </c>
      <c r="AB250" s="462"/>
      <c r="AC250" s="462">
        <v>192788.85</v>
      </c>
      <c r="AD250" s="462"/>
      <c r="AE250" s="462"/>
      <c r="AF250" s="462"/>
      <c r="AG250" s="462"/>
      <c r="AH250" s="462">
        <v>56854.65</v>
      </c>
      <c r="AI250" s="462"/>
      <c r="AJ250" s="462"/>
      <c r="AK250" s="462"/>
      <c r="AL250" s="465">
        <f t="shared" si="10"/>
        <v>671547.65</v>
      </c>
      <c r="AM250" s="489">
        <v>69</v>
      </c>
      <c r="AN250" s="462">
        <v>1918</v>
      </c>
      <c r="AO250" s="450">
        <v>-54186.42</v>
      </c>
      <c r="AP250" s="462"/>
      <c r="AQ250" s="450">
        <v>-68.930000000000007</v>
      </c>
      <c r="AR250" s="466">
        <v>1</v>
      </c>
    </row>
    <row r="251" spans="1:44" x14ac:dyDescent="0.25">
      <c r="A251" s="460">
        <v>5803</v>
      </c>
      <c r="B251" s="461" t="s">
        <v>430</v>
      </c>
      <c r="C251" s="462">
        <v>899212.13</v>
      </c>
      <c r="D251" s="464">
        <v>100427.02</v>
      </c>
      <c r="E251" s="462"/>
      <c r="F251" s="464"/>
      <c r="G251" s="462">
        <v>26541.25</v>
      </c>
      <c r="H251" s="464">
        <v>49.5</v>
      </c>
      <c r="I251" s="462"/>
      <c r="J251" s="464">
        <v>16064.15</v>
      </c>
      <c r="K251" s="462"/>
      <c r="L251" s="464">
        <v>75226.95</v>
      </c>
      <c r="M251" s="479">
        <f t="shared" si="9"/>
        <v>1117521</v>
      </c>
      <c r="N251" s="462"/>
      <c r="O251" s="464">
        <v>63737.599999999999</v>
      </c>
      <c r="P251" s="462">
        <v>66069.95</v>
      </c>
      <c r="Q251" s="464">
        <v>3184.24</v>
      </c>
      <c r="R251" s="462">
        <v>27578.5</v>
      </c>
      <c r="S251" s="464">
        <v>1064.75</v>
      </c>
      <c r="T251" s="462"/>
      <c r="U251" s="464">
        <v>4800</v>
      </c>
      <c r="V251" s="462">
        <v>100</v>
      </c>
      <c r="W251" s="464"/>
      <c r="X251" s="475">
        <f t="shared" si="11"/>
        <v>1284056.04</v>
      </c>
      <c r="Y251" s="483">
        <v>88875</v>
      </c>
      <c r="Z251" s="462"/>
      <c r="AA251" s="462">
        <v>38362</v>
      </c>
      <c r="AB251" s="462"/>
      <c r="AC251" s="462">
        <v>26853.85</v>
      </c>
      <c r="AD251" s="462">
        <v>168673.9</v>
      </c>
      <c r="AE251" s="462">
        <v>10500</v>
      </c>
      <c r="AF251" s="462"/>
      <c r="AG251" s="462"/>
      <c r="AH251" s="462"/>
      <c r="AI251" s="462"/>
      <c r="AJ251" s="462"/>
      <c r="AK251" s="462"/>
      <c r="AL251" s="465">
        <f t="shared" si="10"/>
        <v>333264.75</v>
      </c>
      <c r="AM251" s="489">
        <v>78</v>
      </c>
      <c r="AN251" s="462">
        <v>466</v>
      </c>
      <c r="AO251" s="450">
        <v>-11815.42</v>
      </c>
      <c r="AP251" s="462"/>
      <c r="AQ251" s="450">
        <v>-113.14</v>
      </c>
      <c r="AR251" s="466">
        <v>1</v>
      </c>
    </row>
    <row r="252" spans="1:44" x14ac:dyDescent="0.25">
      <c r="A252" s="460">
        <v>5804</v>
      </c>
      <c r="B252" s="461" t="s">
        <v>491</v>
      </c>
      <c r="C252" s="462">
        <v>2801933.24</v>
      </c>
      <c r="D252" s="464">
        <v>332210.46000000002</v>
      </c>
      <c r="E252" s="462"/>
      <c r="F252" s="464"/>
      <c r="G252" s="462">
        <v>67532.5</v>
      </c>
      <c r="H252" s="464">
        <v>972.5</v>
      </c>
      <c r="I252" s="462"/>
      <c r="J252" s="464">
        <v>62346.63</v>
      </c>
      <c r="K252" s="462">
        <v>3083</v>
      </c>
      <c r="L252" s="464">
        <v>240675.35</v>
      </c>
      <c r="M252" s="479">
        <f t="shared" si="9"/>
        <v>3508753.68</v>
      </c>
      <c r="N252" s="462">
        <v>12944.9</v>
      </c>
      <c r="O252" s="464">
        <v>61</v>
      </c>
      <c r="P252" s="462">
        <v>75507.5</v>
      </c>
      <c r="Q252" s="464">
        <v>4467.1000000000004</v>
      </c>
      <c r="R252" s="462">
        <v>50504.15</v>
      </c>
      <c r="S252" s="464"/>
      <c r="T252" s="462">
        <v>1898.85</v>
      </c>
      <c r="U252" s="464">
        <v>12550</v>
      </c>
      <c r="V252" s="462"/>
      <c r="W252" s="464"/>
      <c r="X252" s="475">
        <f t="shared" si="11"/>
        <v>3666687.18</v>
      </c>
      <c r="Y252" s="483">
        <v>122217.45</v>
      </c>
      <c r="Z252" s="462"/>
      <c r="AA252" s="462">
        <v>256051.4</v>
      </c>
      <c r="AB252" s="462"/>
      <c r="AC252" s="462">
        <v>144064.9</v>
      </c>
      <c r="AD252" s="462">
        <v>80443.199999999997</v>
      </c>
      <c r="AE252" s="462"/>
      <c r="AF252" s="462"/>
      <c r="AG252" s="462"/>
      <c r="AH252" s="462">
        <v>38978.35</v>
      </c>
      <c r="AI252" s="462"/>
      <c r="AJ252" s="462"/>
      <c r="AK252" s="462"/>
      <c r="AL252" s="465">
        <f t="shared" si="10"/>
        <v>641755.29999999993</v>
      </c>
      <c r="AM252" s="489">
        <v>72</v>
      </c>
      <c r="AN252" s="462">
        <v>1545</v>
      </c>
      <c r="AO252" s="450">
        <v>-17228.8</v>
      </c>
      <c r="AP252" s="462"/>
      <c r="AQ252" s="450">
        <v>-67.180000000000007</v>
      </c>
      <c r="AR252" s="466">
        <v>1</v>
      </c>
    </row>
    <row r="253" spans="1:44" x14ac:dyDescent="0.25">
      <c r="A253" s="460">
        <v>5805</v>
      </c>
      <c r="B253" s="461" t="s">
        <v>493</v>
      </c>
      <c r="C253" s="462">
        <v>7385447.5</v>
      </c>
      <c r="D253" s="464">
        <v>928197.02</v>
      </c>
      <c r="E253" s="462"/>
      <c r="F253" s="464"/>
      <c r="G253" s="462">
        <v>755064.4</v>
      </c>
      <c r="H253" s="464">
        <v>82643.850000000006</v>
      </c>
      <c r="I253" s="462">
        <v>-35137.35</v>
      </c>
      <c r="J253" s="464">
        <v>312393.52</v>
      </c>
      <c r="K253" s="462">
        <v>54178</v>
      </c>
      <c r="L253" s="464">
        <v>891879.05</v>
      </c>
      <c r="M253" s="479">
        <f t="shared" si="9"/>
        <v>10374665.99</v>
      </c>
      <c r="N253" s="462">
        <v>78868.399999999994</v>
      </c>
      <c r="O253" s="464">
        <v>282952.90000000002</v>
      </c>
      <c r="P253" s="462">
        <v>286626.45</v>
      </c>
      <c r="Q253" s="464">
        <v>93648.61</v>
      </c>
      <c r="R253" s="462">
        <v>229060</v>
      </c>
      <c r="S253" s="464"/>
      <c r="T253" s="462">
        <v>49993.4</v>
      </c>
      <c r="U253" s="464">
        <v>35050</v>
      </c>
      <c r="V253" s="462">
        <v>2400</v>
      </c>
      <c r="W253" s="464">
        <v>2721.5</v>
      </c>
      <c r="X253" s="475">
        <f t="shared" si="11"/>
        <v>11435987.25</v>
      </c>
      <c r="Y253" s="483">
        <v>398241</v>
      </c>
      <c r="Z253" s="462"/>
      <c r="AA253" s="462">
        <v>774267.55</v>
      </c>
      <c r="AB253" s="462"/>
      <c r="AC253" s="462">
        <v>566624.44999999995</v>
      </c>
      <c r="AD253" s="462">
        <v>215591.55</v>
      </c>
      <c r="AE253" s="462"/>
      <c r="AF253" s="462"/>
      <c r="AG253" s="462"/>
      <c r="AH253" s="462"/>
      <c r="AI253" s="462"/>
      <c r="AJ253" s="462"/>
      <c r="AK253" s="462"/>
      <c r="AL253" s="465">
        <f t="shared" si="10"/>
        <v>1954724.55</v>
      </c>
      <c r="AM253" s="489">
        <v>69</v>
      </c>
      <c r="AN253" s="462">
        <v>5397</v>
      </c>
      <c r="AO253" s="450">
        <v>-235199.94</v>
      </c>
      <c r="AP253" s="462"/>
      <c r="AQ253" s="450">
        <v>-1840.63</v>
      </c>
      <c r="AR253" s="466">
        <v>1.1000000000000001</v>
      </c>
    </row>
    <row r="254" spans="1:44" x14ac:dyDescent="0.25">
      <c r="A254" s="460">
        <v>5812</v>
      </c>
      <c r="B254" s="461" t="s">
        <v>431</v>
      </c>
      <c r="C254" s="462">
        <v>155775.9</v>
      </c>
      <c r="D254" s="464">
        <v>11315.98</v>
      </c>
      <c r="E254" s="462"/>
      <c r="F254" s="464"/>
      <c r="G254" s="462">
        <v>1276.5</v>
      </c>
      <c r="H254" s="464">
        <v>149.69999999999999</v>
      </c>
      <c r="I254" s="462"/>
      <c r="J254" s="464">
        <v>-633.63</v>
      </c>
      <c r="K254" s="462">
        <v>522</v>
      </c>
      <c r="L254" s="487">
        <v>12397.7</v>
      </c>
      <c r="M254" s="479">
        <f t="shared" si="9"/>
        <v>180804.15000000002</v>
      </c>
      <c r="N254" s="462"/>
      <c r="O254" s="464"/>
      <c r="P254" s="462">
        <v>12100</v>
      </c>
      <c r="Q254" s="464">
        <v>74.95</v>
      </c>
      <c r="R254" s="462">
        <v>7317.2</v>
      </c>
      <c r="S254" s="464"/>
      <c r="T254" s="462"/>
      <c r="U254" s="464">
        <v>520</v>
      </c>
      <c r="V254" s="462"/>
      <c r="W254" s="464"/>
      <c r="X254" s="475">
        <f t="shared" si="11"/>
        <v>200816.30000000005</v>
      </c>
      <c r="Y254" s="483">
        <v>752.3</v>
      </c>
      <c r="Z254" s="462"/>
      <c r="AA254" s="462">
        <v>11912.25</v>
      </c>
      <c r="AB254" s="462"/>
      <c r="AC254" s="462">
        <v>12342</v>
      </c>
      <c r="AD254" s="462"/>
      <c r="AE254" s="462"/>
      <c r="AF254" s="462"/>
      <c r="AG254" s="462"/>
      <c r="AH254" s="462">
        <v>2735.8</v>
      </c>
      <c r="AI254" s="462"/>
      <c r="AJ254" s="462"/>
      <c r="AK254" s="462"/>
      <c r="AL254" s="465">
        <f t="shared" si="10"/>
        <v>27742.35</v>
      </c>
      <c r="AM254" s="489">
        <v>77</v>
      </c>
      <c r="AN254" s="462">
        <v>130</v>
      </c>
      <c r="AO254" s="450">
        <v>-4832.17</v>
      </c>
      <c r="AP254" s="462"/>
      <c r="AQ254" s="450">
        <v>0</v>
      </c>
      <c r="AR254" s="466">
        <v>0.8</v>
      </c>
    </row>
    <row r="255" spans="1:44" x14ac:dyDescent="0.25">
      <c r="A255" s="460">
        <v>5813</v>
      </c>
      <c r="B255" s="461" t="s">
        <v>432</v>
      </c>
      <c r="C255" s="462">
        <v>621837.18999999994</v>
      </c>
      <c r="D255" s="464">
        <v>92743.75</v>
      </c>
      <c r="E255" s="462"/>
      <c r="F255" s="464">
        <v>2770</v>
      </c>
      <c r="G255" s="462">
        <v>15879.15</v>
      </c>
      <c r="H255" s="464">
        <v>393.4</v>
      </c>
      <c r="I255" s="462"/>
      <c r="J255" s="464">
        <v>10789.56</v>
      </c>
      <c r="K255" s="462"/>
      <c r="L255" s="464">
        <v>84790.75</v>
      </c>
      <c r="M255" s="479">
        <f t="shared" si="9"/>
        <v>829203.8</v>
      </c>
      <c r="N255" s="462"/>
      <c r="O255" s="464">
        <v>10378.1</v>
      </c>
      <c r="P255" s="462">
        <v>20020</v>
      </c>
      <c r="Q255" s="464">
        <v>131.54</v>
      </c>
      <c r="R255" s="462">
        <v>34091.35</v>
      </c>
      <c r="S255" s="464"/>
      <c r="T255" s="462">
        <v>1771.35</v>
      </c>
      <c r="U255" s="464">
        <v>5400</v>
      </c>
      <c r="V255" s="462"/>
      <c r="W255" s="464"/>
      <c r="X255" s="475">
        <f t="shared" si="11"/>
        <v>900996.14</v>
      </c>
      <c r="Y255" s="483">
        <v>8999.4500000000007</v>
      </c>
      <c r="Z255" s="462"/>
      <c r="AA255" s="462">
        <v>50406</v>
      </c>
      <c r="AB255" s="462"/>
      <c r="AC255" s="462">
        <v>52534.65</v>
      </c>
      <c r="AD255" s="462">
        <v>5779.7</v>
      </c>
      <c r="AE255" s="462"/>
      <c r="AF255" s="462"/>
      <c r="AG255" s="462">
        <v>85614</v>
      </c>
      <c r="AH255" s="462"/>
      <c r="AI255" s="462">
        <v>16381.5</v>
      </c>
      <c r="AJ255" s="462"/>
      <c r="AK255" s="462"/>
      <c r="AL255" s="465">
        <f t="shared" si="10"/>
        <v>219715.3</v>
      </c>
      <c r="AM255" s="489">
        <v>70</v>
      </c>
      <c r="AN255" s="462">
        <v>446</v>
      </c>
      <c r="AO255" s="450">
        <v>-9968.73</v>
      </c>
      <c r="AP255" s="462"/>
      <c r="AQ255" s="450">
        <v>-1.72</v>
      </c>
      <c r="AR255" s="466">
        <v>1.2</v>
      </c>
    </row>
    <row r="256" spans="1:44" x14ac:dyDescent="0.25">
      <c r="A256" s="460">
        <v>5816</v>
      </c>
      <c r="B256" s="461" t="s">
        <v>10</v>
      </c>
      <c r="C256" s="462">
        <v>3065381.94</v>
      </c>
      <c r="D256" s="464">
        <v>319488.03999999998</v>
      </c>
      <c r="E256" s="462"/>
      <c r="F256" s="464"/>
      <c r="G256" s="462">
        <v>216538.55</v>
      </c>
      <c r="H256" s="464">
        <v>13962</v>
      </c>
      <c r="I256" s="462"/>
      <c r="J256" s="464">
        <v>188760.21</v>
      </c>
      <c r="K256" s="462">
        <v>22613.5</v>
      </c>
      <c r="L256" s="464">
        <v>208184.3</v>
      </c>
      <c r="M256" s="479">
        <f t="shared" si="9"/>
        <v>4034928.5399999996</v>
      </c>
      <c r="N256" s="462">
        <v>9123.2000000000007</v>
      </c>
      <c r="O256" s="464">
        <v>1261.2</v>
      </c>
      <c r="P256" s="462">
        <v>120484.85</v>
      </c>
      <c r="Q256" s="464">
        <v>18297.8</v>
      </c>
      <c r="R256" s="462">
        <v>125314.9</v>
      </c>
      <c r="S256" s="464">
        <v>900</v>
      </c>
      <c r="T256" s="462">
        <v>9924.1</v>
      </c>
      <c r="U256" s="464">
        <v>9120</v>
      </c>
      <c r="V256" s="462">
        <v>1795.8</v>
      </c>
      <c r="W256" s="464"/>
      <c r="X256" s="475">
        <f t="shared" si="11"/>
        <v>4331150.3899999997</v>
      </c>
      <c r="Y256" s="483">
        <v>72293.600000000006</v>
      </c>
      <c r="Z256" s="462"/>
      <c r="AA256" s="462">
        <v>454830.95</v>
      </c>
      <c r="AB256" s="462"/>
      <c r="AC256" s="462">
        <v>160323.73000000001</v>
      </c>
      <c r="AD256" s="462">
        <v>69383.8</v>
      </c>
      <c r="AE256" s="462"/>
      <c r="AF256" s="462"/>
      <c r="AG256" s="462"/>
      <c r="AH256" s="462"/>
      <c r="AI256" s="462"/>
      <c r="AJ256" s="462"/>
      <c r="AK256" s="462"/>
      <c r="AL256" s="465">
        <f t="shared" si="10"/>
        <v>756832.08000000007</v>
      </c>
      <c r="AM256" s="489">
        <v>72</v>
      </c>
      <c r="AN256" s="462">
        <v>2393</v>
      </c>
      <c r="AO256" s="450">
        <v>-64163.8</v>
      </c>
      <c r="AP256" s="462"/>
      <c r="AQ256" s="450">
        <v>-127.57</v>
      </c>
      <c r="AR256" s="466">
        <v>0.7</v>
      </c>
    </row>
    <row r="257" spans="1:44" x14ac:dyDescent="0.25">
      <c r="A257" s="460">
        <v>5817</v>
      </c>
      <c r="B257" s="461" t="s">
        <v>11</v>
      </c>
      <c r="C257" s="462">
        <v>1356615.49</v>
      </c>
      <c r="D257" s="464">
        <v>147676.95000000001</v>
      </c>
      <c r="E257" s="462"/>
      <c r="F257" s="464">
        <v>4740</v>
      </c>
      <c r="G257" s="462">
        <v>30385.5</v>
      </c>
      <c r="H257" s="464">
        <v>713.05</v>
      </c>
      <c r="I257" s="462"/>
      <c r="J257" s="464">
        <v>43441.94</v>
      </c>
      <c r="K257" s="462">
        <v>3544.5</v>
      </c>
      <c r="L257" s="464">
        <v>103011.9</v>
      </c>
      <c r="M257" s="479">
        <f t="shared" si="9"/>
        <v>1690129.3299999998</v>
      </c>
      <c r="N257" s="462">
        <v>254.85</v>
      </c>
      <c r="O257" s="464">
        <v>8052</v>
      </c>
      <c r="P257" s="462">
        <v>42546.75</v>
      </c>
      <c r="Q257" s="464"/>
      <c r="R257" s="462">
        <v>25765.45</v>
      </c>
      <c r="S257" s="464"/>
      <c r="T257" s="462"/>
      <c r="U257" s="464">
        <v>4125</v>
      </c>
      <c r="V257" s="462"/>
      <c r="W257" s="464"/>
      <c r="X257" s="475">
        <f t="shared" si="11"/>
        <v>1770873.38</v>
      </c>
      <c r="Y257" s="483">
        <v>78148.149999999994</v>
      </c>
      <c r="Z257" s="462"/>
      <c r="AA257" s="462">
        <v>235681.3</v>
      </c>
      <c r="AB257" s="462"/>
      <c r="AC257" s="462">
        <v>69815.75</v>
      </c>
      <c r="AD257" s="462">
        <v>45277.5</v>
      </c>
      <c r="AE257" s="462"/>
      <c r="AF257" s="462"/>
      <c r="AG257" s="462"/>
      <c r="AH257" s="462">
        <v>27102.15</v>
      </c>
      <c r="AI257" s="462"/>
      <c r="AJ257" s="462"/>
      <c r="AK257" s="462"/>
      <c r="AL257" s="465">
        <f t="shared" si="10"/>
        <v>456024.85</v>
      </c>
      <c r="AM257" s="489">
        <v>79.5</v>
      </c>
      <c r="AN257" s="462">
        <v>885</v>
      </c>
      <c r="AO257" s="450">
        <v>-21376.25</v>
      </c>
      <c r="AP257" s="462"/>
      <c r="AQ257" s="450">
        <v>-4.33</v>
      </c>
      <c r="AR257" s="466">
        <v>1</v>
      </c>
    </row>
    <row r="258" spans="1:44" x14ac:dyDescent="0.25">
      <c r="A258" s="460">
        <v>5819</v>
      </c>
      <c r="B258" s="461" t="s">
        <v>12</v>
      </c>
      <c r="C258" s="462">
        <v>337793.55</v>
      </c>
      <c r="D258" s="464">
        <v>97351.35</v>
      </c>
      <c r="E258" s="462"/>
      <c r="F258" s="464"/>
      <c r="G258" s="462">
        <v>453566.05</v>
      </c>
      <c r="H258" s="464">
        <v>852.05000000000098</v>
      </c>
      <c r="I258" s="462"/>
      <c r="J258" s="464">
        <v>44083.09</v>
      </c>
      <c r="K258" s="462">
        <v>1413.3</v>
      </c>
      <c r="L258" s="464">
        <v>73951.850000000006</v>
      </c>
      <c r="M258" s="479">
        <f t="shared" si="9"/>
        <v>1009011.24</v>
      </c>
      <c r="N258" s="462">
        <v>18513.650000000001</v>
      </c>
      <c r="O258" s="464">
        <v>287.8</v>
      </c>
      <c r="P258" s="462">
        <v>24893</v>
      </c>
      <c r="Q258" s="464">
        <v>1270.77</v>
      </c>
      <c r="R258" s="462">
        <v>11659.3</v>
      </c>
      <c r="S258" s="464"/>
      <c r="T258" s="462"/>
      <c r="U258" s="464">
        <v>890</v>
      </c>
      <c r="V258" s="462"/>
      <c r="W258" s="464"/>
      <c r="X258" s="475">
        <f t="shared" si="11"/>
        <v>1066525.76</v>
      </c>
      <c r="Y258" s="483">
        <v>7373.62</v>
      </c>
      <c r="Z258" s="462"/>
      <c r="AA258" s="462">
        <v>16421.599999999999</v>
      </c>
      <c r="AB258" s="462"/>
      <c r="AC258" s="462">
        <v>35622.199999999997</v>
      </c>
      <c r="AD258" s="462">
        <v>2551.75</v>
      </c>
      <c r="AE258" s="462"/>
      <c r="AF258" s="462"/>
      <c r="AG258" s="462"/>
      <c r="AH258" s="462"/>
      <c r="AI258" s="462"/>
      <c r="AJ258" s="462"/>
      <c r="AK258" s="462"/>
      <c r="AL258" s="465">
        <f t="shared" si="10"/>
        <v>61969.17</v>
      </c>
      <c r="AM258" s="489">
        <v>67</v>
      </c>
      <c r="AN258" s="462">
        <v>338</v>
      </c>
      <c r="AO258" s="450">
        <v>-8398.57</v>
      </c>
      <c r="AP258" s="462"/>
      <c r="AQ258" s="450">
        <v>-250.6</v>
      </c>
      <c r="AR258" s="466">
        <v>1</v>
      </c>
    </row>
    <row r="259" spans="1:44" x14ac:dyDescent="0.25">
      <c r="A259" s="460">
        <v>5821</v>
      </c>
      <c r="B259" s="461" t="s">
        <v>13</v>
      </c>
      <c r="C259" s="462">
        <v>415874.12</v>
      </c>
      <c r="D259" s="464">
        <v>56273.96</v>
      </c>
      <c r="E259" s="462"/>
      <c r="F259" s="464"/>
      <c r="G259" s="462">
        <v>5337.05</v>
      </c>
      <c r="H259" s="464">
        <v>182.75</v>
      </c>
      <c r="I259" s="462"/>
      <c r="J259" s="464">
        <v>32243.17</v>
      </c>
      <c r="K259" s="462">
        <v>1306.5</v>
      </c>
      <c r="L259" s="464">
        <v>45578.3</v>
      </c>
      <c r="M259" s="479">
        <f t="shared" si="9"/>
        <v>556795.85</v>
      </c>
      <c r="N259" s="462"/>
      <c r="O259" s="464"/>
      <c r="P259" s="462">
        <v>24211</v>
      </c>
      <c r="Q259" s="464">
        <v>15611.6</v>
      </c>
      <c r="R259" s="462">
        <v>14385.1</v>
      </c>
      <c r="S259" s="464"/>
      <c r="T259" s="462"/>
      <c r="U259" s="464">
        <v>2550</v>
      </c>
      <c r="V259" s="462"/>
      <c r="W259" s="464"/>
      <c r="X259" s="475">
        <f t="shared" si="11"/>
        <v>613553.54999999993</v>
      </c>
      <c r="Y259" s="483">
        <v>26880</v>
      </c>
      <c r="Z259" s="462"/>
      <c r="AA259" s="462">
        <v>52526.5</v>
      </c>
      <c r="AB259" s="462"/>
      <c r="AC259" s="462">
        <v>23828.3</v>
      </c>
      <c r="AD259" s="462">
        <v>21857.7</v>
      </c>
      <c r="AE259" s="462"/>
      <c r="AF259" s="462"/>
      <c r="AG259" s="462"/>
      <c r="AH259" s="462">
        <v>8333.2999999999993</v>
      </c>
      <c r="AI259" s="462"/>
      <c r="AJ259" s="462">
        <v>72.5</v>
      </c>
      <c r="AK259" s="462"/>
      <c r="AL259" s="465">
        <f t="shared" si="10"/>
        <v>133498.29999999999</v>
      </c>
      <c r="AM259" s="489">
        <v>72</v>
      </c>
      <c r="AN259" s="462">
        <v>361</v>
      </c>
      <c r="AO259" s="450">
        <v>-12516.84</v>
      </c>
      <c r="AP259" s="462"/>
      <c r="AQ259" s="450">
        <v>0</v>
      </c>
      <c r="AR259" s="466">
        <v>1</v>
      </c>
    </row>
    <row r="260" spans="1:44" x14ac:dyDescent="0.25">
      <c r="A260" s="460">
        <v>5822</v>
      </c>
      <c r="B260" s="461" t="s">
        <v>14</v>
      </c>
      <c r="C260" s="462">
        <v>12433186.33</v>
      </c>
      <c r="D260" s="464">
        <v>1248529.02</v>
      </c>
      <c r="E260" s="462"/>
      <c r="F260" s="464"/>
      <c r="G260" s="462">
        <v>1861535.1</v>
      </c>
      <c r="H260" s="464">
        <v>47458.5</v>
      </c>
      <c r="I260" s="462"/>
      <c r="J260" s="464">
        <v>789087.44</v>
      </c>
      <c r="K260" s="462">
        <v>155208.70000000001</v>
      </c>
      <c r="L260" s="464">
        <v>1218963.6499999999</v>
      </c>
      <c r="M260" s="479">
        <f t="shared" si="9"/>
        <v>17753968.739999998</v>
      </c>
      <c r="N260" s="462">
        <v>64714.25</v>
      </c>
      <c r="O260" s="464">
        <v>1531872.7</v>
      </c>
      <c r="P260" s="462">
        <v>548393.9</v>
      </c>
      <c r="Q260" s="464">
        <v>122624.91</v>
      </c>
      <c r="R260" s="462">
        <v>372110.4</v>
      </c>
      <c r="S260" s="464">
        <v>86052.25</v>
      </c>
      <c r="T260" s="462">
        <v>32310</v>
      </c>
      <c r="U260" s="464">
        <v>26225</v>
      </c>
      <c r="V260" s="462">
        <v>51934.15</v>
      </c>
      <c r="W260" s="464"/>
      <c r="X260" s="475">
        <f t="shared" si="11"/>
        <v>20590206.299999993</v>
      </c>
      <c r="Y260" s="483">
        <v>911569.85</v>
      </c>
      <c r="Z260" s="462"/>
      <c r="AA260" s="462">
        <v>2241459.2999999998</v>
      </c>
      <c r="AB260" s="462"/>
      <c r="AC260" s="462">
        <v>1111882.23</v>
      </c>
      <c r="AD260" s="462">
        <v>448966.15</v>
      </c>
      <c r="AE260" s="462"/>
      <c r="AF260" s="462"/>
      <c r="AG260" s="462">
        <v>1020</v>
      </c>
      <c r="AH260" s="462"/>
      <c r="AI260" s="462"/>
      <c r="AJ260" s="462"/>
      <c r="AK260" s="462"/>
      <c r="AL260" s="465">
        <f t="shared" si="10"/>
        <v>4714897.53</v>
      </c>
      <c r="AM260" s="489">
        <v>75</v>
      </c>
      <c r="AN260" s="462">
        <v>9301</v>
      </c>
      <c r="AO260" s="450">
        <v>-513437</v>
      </c>
      <c r="AP260" s="462"/>
      <c r="AQ260" s="450">
        <v>-1131.3</v>
      </c>
      <c r="AR260" s="466">
        <v>1</v>
      </c>
    </row>
    <row r="261" spans="1:44" x14ac:dyDescent="0.25">
      <c r="A261" s="460">
        <v>5827</v>
      </c>
      <c r="B261" s="461" t="s">
        <v>15</v>
      </c>
      <c r="C261" s="462">
        <v>391207.92</v>
      </c>
      <c r="D261" s="464">
        <v>43871.43</v>
      </c>
      <c r="E261" s="462"/>
      <c r="F261" s="464">
        <v>1370</v>
      </c>
      <c r="G261" s="462">
        <v>20223.3</v>
      </c>
      <c r="H261" s="464">
        <v>103.3</v>
      </c>
      <c r="I261" s="462"/>
      <c r="J261" s="464">
        <v>16416.759999999998</v>
      </c>
      <c r="K261" s="462">
        <v>112</v>
      </c>
      <c r="L261" s="464">
        <v>33800.050000000003</v>
      </c>
      <c r="M261" s="479">
        <f t="shared" si="9"/>
        <v>507104.75999999995</v>
      </c>
      <c r="N261" s="462">
        <v>24264.25</v>
      </c>
      <c r="O261" s="464"/>
      <c r="P261" s="462">
        <v>25635.4</v>
      </c>
      <c r="Q261" s="464">
        <v>-5530.66</v>
      </c>
      <c r="R261" s="462">
        <v>33020.9</v>
      </c>
      <c r="S261" s="464"/>
      <c r="T261" s="462"/>
      <c r="U261" s="464">
        <v>1525</v>
      </c>
      <c r="V261" s="462"/>
      <c r="W261" s="464"/>
      <c r="X261" s="475">
        <f t="shared" si="11"/>
        <v>586019.65</v>
      </c>
      <c r="Y261" s="483"/>
      <c r="Z261" s="462"/>
      <c r="AA261" s="462">
        <v>42364.4</v>
      </c>
      <c r="AB261" s="462"/>
      <c r="AC261" s="462">
        <v>13100</v>
      </c>
      <c r="AD261" s="462"/>
      <c r="AE261" s="462"/>
      <c r="AF261" s="462"/>
      <c r="AG261" s="462"/>
      <c r="AH261" s="462"/>
      <c r="AI261" s="462"/>
      <c r="AJ261" s="462"/>
      <c r="AK261" s="462"/>
      <c r="AL261" s="465">
        <f t="shared" si="10"/>
        <v>55464.4</v>
      </c>
      <c r="AM261" s="489">
        <v>80</v>
      </c>
      <c r="AN261" s="462">
        <v>260</v>
      </c>
      <c r="AO261" s="450">
        <v>-5180.71</v>
      </c>
      <c r="AP261" s="462"/>
      <c r="AQ261" s="450">
        <v>0</v>
      </c>
      <c r="AR261" s="466">
        <v>1</v>
      </c>
    </row>
    <row r="262" spans="1:44" x14ac:dyDescent="0.25">
      <c r="A262" s="460">
        <v>5828</v>
      </c>
      <c r="B262" s="461" t="s">
        <v>624</v>
      </c>
      <c r="C262" s="462">
        <v>162710.98000000001</v>
      </c>
      <c r="D262" s="464">
        <v>16754.740000000002</v>
      </c>
      <c r="E262" s="462"/>
      <c r="F262" s="464"/>
      <c r="G262" s="462">
        <v>1295.4000000000001</v>
      </c>
      <c r="H262" s="464">
        <v>-45.95</v>
      </c>
      <c r="I262" s="462"/>
      <c r="J262" s="464">
        <v>1499.69</v>
      </c>
      <c r="K262" s="462"/>
      <c r="L262" s="464">
        <v>20473.8</v>
      </c>
      <c r="M262" s="479">
        <f t="shared" si="9"/>
        <v>202688.65999999997</v>
      </c>
      <c r="N262" s="462"/>
      <c r="O262" s="464">
        <v>892.6</v>
      </c>
      <c r="P262" s="462">
        <v>4015.9</v>
      </c>
      <c r="Q262" s="464">
        <v>5785.05</v>
      </c>
      <c r="R262" s="462">
        <v>5391.1</v>
      </c>
      <c r="S262" s="464"/>
      <c r="T262" s="462"/>
      <c r="U262" s="464">
        <v>520</v>
      </c>
      <c r="V262" s="462"/>
      <c r="W262" s="464"/>
      <c r="X262" s="475">
        <f t="shared" si="11"/>
        <v>219293.30999999997</v>
      </c>
      <c r="Y262" s="483"/>
      <c r="Z262" s="462"/>
      <c r="AA262" s="462">
        <v>20534.5</v>
      </c>
      <c r="AB262" s="462"/>
      <c r="AC262" s="462">
        <v>11034.75</v>
      </c>
      <c r="AD262" s="462"/>
      <c r="AE262" s="462"/>
      <c r="AF262" s="462"/>
      <c r="AG262" s="462"/>
      <c r="AH262" s="462">
        <v>2731.3</v>
      </c>
      <c r="AI262" s="462"/>
      <c r="AJ262" s="462"/>
      <c r="AK262" s="462"/>
      <c r="AL262" s="465">
        <f t="shared" si="10"/>
        <v>34300.550000000003</v>
      </c>
      <c r="AM262" s="489">
        <v>84</v>
      </c>
      <c r="AN262" s="462">
        <v>131</v>
      </c>
      <c r="AO262" s="450">
        <v>-4036</v>
      </c>
      <c r="AP262" s="462"/>
      <c r="AQ262" s="450">
        <v>-0.13</v>
      </c>
      <c r="AR262" s="466">
        <v>1.5</v>
      </c>
    </row>
    <row r="263" spans="1:44" x14ac:dyDescent="0.25">
      <c r="A263" s="460">
        <v>5830</v>
      </c>
      <c r="B263" s="461" t="s">
        <v>16</v>
      </c>
      <c r="C263" s="462">
        <v>623477.31000000006</v>
      </c>
      <c r="D263" s="464">
        <v>83711.37</v>
      </c>
      <c r="E263" s="462"/>
      <c r="F263" s="464">
        <v>2490</v>
      </c>
      <c r="G263" s="462">
        <v>7127.5</v>
      </c>
      <c r="H263" s="464">
        <v>257.05</v>
      </c>
      <c r="I263" s="462"/>
      <c r="J263" s="464">
        <v>10967.04</v>
      </c>
      <c r="K263" s="462">
        <v>1360.5</v>
      </c>
      <c r="L263" s="464">
        <v>53467.85</v>
      </c>
      <c r="M263" s="479">
        <f t="shared" si="9"/>
        <v>782858.62000000011</v>
      </c>
      <c r="N263" s="462"/>
      <c r="O263" s="464"/>
      <c r="P263" s="462">
        <v>28417.85</v>
      </c>
      <c r="Q263" s="464"/>
      <c r="R263" s="462">
        <v>28796.7</v>
      </c>
      <c r="S263" s="464"/>
      <c r="T263" s="462"/>
      <c r="U263" s="464">
        <v>2400</v>
      </c>
      <c r="V263" s="462"/>
      <c r="W263" s="464"/>
      <c r="X263" s="475">
        <f t="shared" si="11"/>
        <v>842473.17</v>
      </c>
      <c r="Y263" s="483">
        <v>7000</v>
      </c>
      <c r="Z263" s="462"/>
      <c r="AA263" s="462">
        <v>58523.85</v>
      </c>
      <c r="AB263" s="462"/>
      <c r="AC263" s="462">
        <v>25601.7</v>
      </c>
      <c r="AD263" s="462">
        <v>2000</v>
      </c>
      <c r="AE263" s="462"/>
      <c r="AF263" s="462"/>
      <c r="AG263" s="462"/>
      <c r="AH263" s="462"/>
      <c r="AI263" s="462"/>
      <c r="AJ263" s="462"/>
      <c r="AK263" s="462"/>
      <c r="AL263" s="465">
        <f t="shared" si="10"/>
        <v>93125.55</v>
      </c>
      <c r="AM263" s="489">
        <v>79</v>
      </c>
      <c r="AN263" s="462">
        <v>424</v>
      </c>
      <c r="AO263" s="450">
        <v>-13598.79</v>
      </c>
      <c r="AP263" s="462"/>
      <c r="AQ263" s="450">
        <v>-6.08</v>
      </c>
      <c r="AR263" s="466">
        <v>1</v>
      </c>
    </row>
    <row r="264" spans="1:44" x14ac:dyDescent="0.25">
      <c r="A264" s="460">
        <v>5831</v>
      </c>
      <c r="B264" s="461" t="s">
        <v>492</v>
      </c>
      <c r="C264" s="462">
        <v>3959395.75</v>
      </c>
      <c r="D264" s="464">
        <v>634342.12</v>
      </c>
      <c r="E264" s="462"/>
      <c r="F264" s="464"/>
      <c r="G264" s="462">
        <v>415940.7</v>
      </c>
      <c r="H264" s="464">
        <v>507.99999999999801</v>
      </c>
      <c r="I264" s="462"/>
      <c r="J264" s="464">
        <v>157629.22</v>
      </c>
      <c r="K264" s="462">
        <v>15634.5</v>
      </c>
      <c r="L264" s="464">
        <v>232271.3</v>
      </c>
      <c r="M264" s="479">
        <f t="shared" ref="M264:M324" si="12">SUM(C264:L264)</f>
        <v>5415721.5899999999</v>
      </c>
      <c r="N264" s="462">
        <v>31674.95</v>
      </c>
      <c r="O264" s="464">
        <v>109325.7</v>
      </c>
      <c r="P264" s="462">
        <v>128402.45</v>
      </c>
      <c r="Q264" s="464">
        <v>-1331.71</v>
      </c>
      <c r="R264" s="462">
        <v>84098.85</v>
      </c>
      <c r="S264" s="464"/>
      <c r="T264" s="462"/>
      <c r="U264" s="464">
        <v>15225</v>
      </c>
      <c r="V264" s="462"/>
      <c r="W264" s="464"/>
      <c r="X264" s="475">
        <f t="shared" si="11"/>
        <v>5783116.8300000001</v>
      </c>
      <c r="Y264" s="483">
        <v>223742</v>
      </c>
      <c r="Z264" s="462"/>
      <c r="AA264" s="462">
        <v>307880.7</v>
      </c>
      <c r="AB264" s="462"/>
      <c r="AC264" s="462">
        <v>255299.57</v>
      </c>
      <c r="AD264" s="462">
        <v>57946.45</v>
      </c>
      <c r="AE264" s="462"/>
      <c r="AF264" s="462"/>
      <c r="AG264" s="462"/>
      <c r="AH264" s="462">
        <v>133426.95000000001</v>
      </c>
      <c r="AI264" s="462"/>
      <c r="AJ264" s="462"/>
      <c r="AK264" s="462"/>
      <c r="AL264" s="465">
        <f t="shared" ref="AL264:AL324" si="13">SUM(Y264:AK264)</f>
        <v>978295.66999999993</v>
      </c>
      <c r="AM264" s="489">
        <v>73</v>
      </c>
      <c r="AN264" s="462">
        <v>2974</v>
      </c>
      <c r="AO264" s="450">
        <v>-83670.2</v>
      </c>
      <c r="AP264" s="462"/>
      <c r="AQ264" s="450">
        <v>-150.69</v>
      </c>
      <c r="AR264" s="466">
        <v>0.6</v>
      </c>
    </row>
    <row r="265" spans="1:44" x14ac:dyDescent="0.25">
      <c r="A265" s="460">
        <v>5841</v>
      </c>
      <c r="B265" s="461" t="s">
        <v>17</v>
      </c>
      <c r="C265" s="462">
        <v>5350351.17</v>
      </c>
      <c r="D265" s="464">
        <v>1483151.41</v>
      </c>
      <c r="E265" s="462"/>
      <c r="F265" s="464"/>
      <c r="G265" s="462">
        <v>356418.2</v>
      </c>
      <c r="H265" s="464">
        <v>53019.85</v>
      </c>
      <c r="I265" s="462">
        <v>448662.6</v>
      </c>
      <c r="J265" s="464">
        <v>394498.73</v>
      </c>
      <c r="K265" s="462">
        <v>32864</v>
      </c>
      <c r="L265" s="464">
        <v>1331758.3799999999</v>
      </c>
      <c r="M265" s="479">
        <f t="shared" si="12"/>
        <v>9450724.3399999999</v>
      </c>
      <c r="N265" s="462"/>
      <c r="O265" s="464">
        <v>316487.7</v>
      </c>
      <c r="P265" s="462">
        <v>445879.5</v>
      </c>
      <c r="Q265" s="464">
        <v>17982.62</v>
      </c>
      <c r="R265" s="462">
        <v>405446.1</v>
      </c>
      <c r="S265" s="464">
        <f>35249.8+194.5</f>
        <v>35444.300000000003</v>
      </c>
      <c r="T265" s="462"/>
      <c r="U265" s="464">
        <v>22920</v>
      </c>
      <c r="V265" s="462">
        <v>943.3</v>
      </c>
      <c r="W265" s="464"/>
      <c r="X265" s="475">
        <f t="shared" ref="X265:X324" si="14">SUM(M265:W265)</f>
        <v>10695827.859999999</v>
      </c>
      <c r="Y265" s="483">
        <v>156918.57999999999</v>
      </c>
      <c r="Z265" s="462"/>
      <c r="AA265" s="462">
        <v>1072117.04</v>
      </c>
      <c r="AB265" s="462"/>
      <c r="AC265" s="462">
        <v>619081.23</v>
      </c>
      <c r="AD265" s="462"/>
      <c r="AE265" s="462"/>
      <c r="AF265" s="462"/>
      <c r="AG265" s="462">
        <v>516636.9</v>
      </c>
      <c r="AH265" s="462">
        <v>158665.9</v>
      </c>
      <c r="AI265" s="462"/>
      <c r="AJ265" s="462"/>
      <c r="AK265" s="462"/>
      <c r="AL265" s="465">
        <f t="shared" si="13"/>
        <v>2523419.65</v>
      </c>
      <c r="AM265" s="489">
        <v>83</v>
      </c>
      <c r="AN265" s="462">
        <v>3477</v>
      </c>
      <c r="AO265" s="450">
        <v>-188026.66</v>
      </c>
      <c r="AP265" s="462"/>
      <c r="AQ265" s="450">
        <v>-800.02</v>
      </c>
      <c r="AR265" s="466">
        <v>1.5</v>
      </c>
    </row>
    <row r="266" spans="1:44" x14ac:dyDescent="0.25">
      <c r="A266" s="460">
        <v>5842</v>
      </c>
      <c r="B266" s="461" t="s">
        <v>18</v>
      </c>
      <c r="C266" s="462">
        <v>764693.45</v>
      </c>
      <c r="D266" s="464">
        <v>203437</v>
      </c>
      <c r="E266" s="462"/>
      <c r="F266" s="464"/>
      <c r="G266" s="462">
        <v>11930.35</v>
      </c>
      <c r="H266" s="464">
        <v>260.8</v>
      </c>
      <c r="I266" s="462">
        <v>20833.599999999999</v>
      </c>
      <c r="J266" s="464">
        <v>16773.27</v>
      </c>
      <c r="K266" s="462">
        <v>387.5</v>
      </c>
      <c r="L266" s="464">
        <v>126156.6</v>
      </c>
      <c r="M266" s="479">
        <f t="shared" si="12"/>
        <v>1144472.57</v>
      </c>
      <c r="N266" s="462"/>
      <c r="O266" s="464">
        <v>160449.20000000001</v>
      </c>
      <c r="P266" s="462">
        <v>26405.35</v>
      </c>
      <c r="Q266" s="464"/>
      <c r="R266" s="462">
        <v>25996.2</v>
      </c>
      <c r="S266" s="464"/>
      <c r="T266" s="462"/>
      <c r="U266" s="464">
        <v>3440</v>
      </c>
      <c r="V266" s="462"/>
      <c r="W266" s="464"/>
      <c r="X266" s="475">
        <f t="shared" si="14"/>
        <v>1360763.32</v>
      </c>
      <c r="Y266" s="483">
        <v>54508.95</v>
      </c>
      <c r="Z266" s="462"/>
      <c r="AA266" s="462">
        <v>77833.3</v>
      </c>
      <c r="AB266" s="462"/>
      <c r="AC266" s="462">
        <v>40641.449999999997</v>
      </c>
      <c r="AD266" s="462">
        <v>21510</v>
      </c>
      <c r="AE266" s="462"/>
      <c r="AF266" s="462"/>
      <c r="AG266" s="462"/>
      <c r="AH266" s="462"/>
      <c r="AI266" s="462"/>
      <c r="AJ266" s="462"/>
      <c r="AK266" s="462"/>
      <c r="AL266" s="465">
        <f t="shared" si="13"/>
        <v>194493.7</v>
      </c>
      <c r="AM266" s="489">
        <v>81</v>
      </c>
      <c r="AN266" s="462">
        <v>546</v>
      </c>
      <c r="AO266" s="450">
        <v>-6930.42</v>
      </c>
      <c r="AP266" s="462"/>
      <c r="AQ266" s="450">
        <v>-418.58</v>
      </c>
      <c r="AR266" s="466">
        <v>1.5</v>
      </c>
    </row>
    <row r="267" spans="1:44" x14ac:dyDescent="0.25">
      <c r="A267" s="460">
        <v>5843</v>
      </c>
      <c r="B267" s="461" t="s">
        <v>19</v>
      </c>
      <c r="C267" s="462">
        <v>2113070.58</v>
      </c>
      <c r="D267" s="464">
        <v>1286464.44</v>
      </c>
      <c r="E267" s="462"/>
      <c r="F267" s="464"/>
      <c r="G267" s="462">
        <v>243979.95</v>
      </c>
      <c r="H267" s="464">
        <v>10929.2</v>
      </c>
      <c r="I267" s="462">
        <v>1593270.22</v>
      </c>
      <c r="J267" s="464">
        <v>100403.79</v>
      </c>
      <c r="K267" s="462">
        <v>28267</v>
      </c>
      <c r="L267" s="464">
        <v>1075412</v>
      </c>
      <c r="M267" s="479">
        <f t="shared" si="12"/>
        <v>6451797.1800000006</v>
      </c>
      <c r="N267" s="462"/>
      <c r="O267" s="464">
        <v>589253.9</v>
      </c>
      <c r="P267" s="462">
        <v>215426.9</v>
      </c>
      <c r="Q267" s="464">
        <v>6126.52</v>
      </c>
      <c r="R267" s="462">
        <v>876013.55</v>
      </c>
      <c r="S267" s="464"/>
      <c r="T267" s="462">
        <v>2430.5</v>
      </c>
      <c r="U267" s="464">
        <v>5370</v>
      </c>
      <c r="V267" s="462"/>
      <c r="W267" s="464"/>
      <c r="X267" s="475">
        <f t="shared" si="14"/>
        <v>8146418.5500000007</v>
      </c>
      <c r="Y267" s="483">
        <v>78000</v>
      </c>
      <c r="Z267" s="462"/>
      <c r="AA267" s="462">
        <v>227440</v>
      </c>
      <c r="AB267" s="462"/>
      <c r="AC267" s="462">
        <v>234747</v>
      </c>
      <c r="AD267" s="462">
        <v>137850</v>
      </c>
      <c r="AE267" s="462"/>
      <c r="AF267" s="462"/>
      <c r="AG267" s="462">
        <v>766146</v>
      </c>
      <c r="AH267" s="462">
        <v>85439</v>
      </c>
      <c r="AI267" s="462"/>
      <c r="AJ267" s="462"/>
      <c r="AK267" s="462"/>
      <c r="AL267" s="465">
        <f t="shared" si="13"/>
        <v>1529622</v>
      </c>
      <c r="AM267" s="489">
        <v>69</v>
      </c>
      <c r="AN267" s="462">
        <v>892</v>
      </c>
      <c r="AO267" s="450">
        <v>-6623.46</v>
      </c>
      <c r="AP267" s="462"/>
      <c r="AQ267" s="450">
        <v>-6102.86</v>
      </c>
      <c r="AR267" s="466">
        <v>1.5</v>
      </c>
    </row>
    <row r="268" spans="1:44" x14ac:dyDescent="0.25">
      <c r="A268" s="460">
        <v>5851</v>
      </c>
      <c r="B268" s="461" t="s">
        <v>20</v>
      </c>
      <c r="C268" s="462">
        <v>894766.63</v>
      </c>
      <c r="D268" s="464">
        <v>130468.59</v>
      </c>
      <c r="E268" s="462"/>
      <c r="F268" s="464"/>
      <c r="G268" s="462">
        <v>288264.09999999998</v>
      </c>
      <c r="H268" s="464">
        <v>4468.95</v>
      </c>
      <c r="I268" s="462">
        <v>77283.350000000006</v>
      </c>
      <c r="J268" s="464">
        <v>53521.59</v>
      </c>
      <c r="K268" s="462">
        <v>27171</v>
      </c>
      <c r="L268" s="464">
        <v>222037.5</v>
      </c>
      <c r="M268" s="479">
        <f t="shared" si="12"/>
        <v>1697981.71</v>
      </c>
      <c r="N268" s="462">
        <v>34609.599999999999</v>
      </c>
      <c r="O268" s="464">
        <v>10856.9</v>
      </c>
      <c r="P268" s="462">
        <v>10333.200000000001</v>
      </c>
      <c r="Q268" s="464">
        <v>254.33</v>
      </c>
      <c r="R268" s="462">
        <v>855188.45</v>
      </c>
      <c r="S268" s="464">
        <v>48199.45</v>
      </c>
      <c r="T268" s="462"/>
      <c r="U268" s="464">
        <v>1900</v>
      </c>
      <c r="V268" s="462"/>
      <c r="W268" s="464"/>
      <c r="X268" s="475">
        <f t="shared" si="14"/>
        <v>2659323.64</v>
      </c>
      <c r="Y268" s="483"/>
      <c r="Z268" s="462"/>
      <c r="AA268" s="462">
        <v>185928.3</v>
      </c>
      <c r="AB268" s="462"/>
      <c r="AC268" s="462">
        <v>23969.45</v>
      </c>
      <c r="AD268" s="462"/>
      <c r="AE268" s="462"/>
      <c r="AF268" s="462"/>
      <c r="AG268" s="462"/>
      <c r="AH268" s="462">
        <v>56649.95</v>
      </c>
      <c r="AI268" s="462"/>
      <c r="AJ268" s="462"/>
      <c r="AK268" s="462"/>
      <c r="AL268" s="465">
        <f t="shared" si="13"/>
        <v>266547.7</v>
      </c>
      <c r="AM268" s="489">
        <v>62</v>
      </c>
      <c r="AN268" s="462">
        <v>432</v>
      </c>
      <c r="AO268" s="450">
        <v>-9934.33</v>
      </c>
      <c r="AP268" s="462"/>
      <c r="AQ268" s="450">
        <v>-277.47000000000003</v>
      </c>
      <c r="AR268" s="466">
        <v>1.1000000000000001</v>
      </c>
    </row>
    <row r="269" spans="1:44" x14ac:dyDescent="0.25">
      <c r="A269" s="460">
        <v>5852</v>
      </c>
      <c r="B269" s="461" t="s">
        <v>21</v>
      </c>
      <c r="C269" s="462">
        <v>1058540.44</v>
      </c>
      <c r="D269" s="464">
        <v>374118.98</v>
      </c>
      <c r="E269" s="462"/>
      <c r="F269" s="464"/>
      <c r="G269" s="462">
        <v>12825.05</v>
      </c>
      <c r="H269" s="464">
        <v>4504.3999999999996</v>
      </c>
      <c r="I269" s="462">
        <v>321122</v>
      </c>
      <c r="J269" s="464">
        <v>42172.88</v>
      </c>
      <c r="K269" s="462">
        <v>7815</v>
      </c>
      <c r="L269" s="464">
        <v>169734.6</v>
      </c>
      <c r="M269" s="479">
        <f t="shared" si="12"/>
        <v>1990833.3499999999</v>
      </c>
      <c r="N269" s="462">
        <v>8097.2</v>
      </c>
      <c r="O269" s="464"/>
      <c r="P269" s="462">
        <v>21175</v>
      </c>
      <c r="Q269" s="464">
        <v>4877.99</v>
      </c>
      <c r="R269" s="462">
        <v>6166.7</v>
      </c>
      <c r="S269" s="464"/>
      <c r="T269" s="462"/>
      <c r="U269" s="464">
        <v>3570</v>
      </c>
      <c r="V269" s="462"/>
      <c r="W269" s="464"/>
      <c r="X269" s="475">
        <f t="shared" si="14"/>
        <v>2034720.2399999998</v>
      </c>
      <c r="Y269" s="483">
        <v>117614.5</v>
      </c>
      <c r="Z269" s="462"/>
      <c r="AA269" s="462">
        <v>37377</v>
      </c>
      <c r="AB269" s="462"/>
      <c r="AC269" s="462">
        <v>24159.9</v>
      </c>
      <c r="AD269" s="462"/>
      <c r="AE269" s="462"/>
      <c r="AF269" s="462"/>
      <c r="AG269" s="462">
        <v>9276</v>
      </c>
      <c r="AH269" s="462"/>
      <c r="AI269" s="462"/>
      <c r="AJ269" s="462"/>
      <c r="AK269" s="462"/>
      <c r="AL269" s="465">
        <f t="shared" si="13"/>
        <v>188427.4</v>
      </c>
      <c r="AM269" s="489">
        <v>65.5</v>
      </c>
      <c r="AN269" s="462">
        <v>485</v>
      </c>
      <c r="AO269" s="450">
        <v>-35588.120000000003</v>
      </c>
      <c r="AP269" s="462"/>
      <c r="AQ269" s="450">
        <v>-213.14</v>
      </c>
      <c r="AR269" s="466">
        <v>1</v>
      </c>
    </row>
    <row r="270" spans="1:44" x14ac:dyDescent="0.25">
      <c r="A270" s="460">
        <v>5853</v>
      </c>
      <c r="B270" s="461" t="s">
        <v>22</v>
      </c>
      <c r="C270" s="462">
        <v>2071956.26</v>
      </c>
      <c r="D270" s="464">
        <v>304468.64</v>
      </c>
      <c r="E270" s="462"/>
      <c r="F270" s="464"/>
      <c r="G270" s="462">
        <v>87396.75</v>
      </c>
      <c r="H270" s="464">
        <v>7365.5</v>
      </c>
      <c r="I270" s="462">
        <v>184424.35</v>
      </c>
      <c r="J270" s="464">
        <v>65180.06</v>
      </c>
      <c r="K270" s="462">
        <v>-20837</v>
      </c>
      <c r="L270" s="464">
        <v>188350.3</v>
      </c>
      <c r="M270" s="479">
        <f t="shared" si="12"/>
        <v>2888304.86</v>
      </c>
      <c r="N270" s="462">
        <v>56250.6</v>
      </c>
      <c r="O270" s="464">
        <v>230659</v>
      </c>
      <c r="P270" s="462">
        <v>102437.6</v>
      </c>
      <c r="Q270" s="464">
        <v>31512.02</v>
      </c>
      <c r="R270" s="462">
        <v>14094.95</v>
      </c>
      <c r="S270" s="464">
        <v>15240.55</v>
      </c>
      <c r="T270" s="462"/>
      <c r="U270" s="464">
        <v>4250</v>
      </c>
      <c r="V270" s="462"/>
      <c r="W270" s="464"/>
      <c r="X270" s="475">
        <f t="shared" si="14"/>
        <v>3342749.58</v>
      </c>
      <c r="Y270" s="483">
        <v>-4463.7</v>
      </c>
      <c r="Z270" s="462"/>
      <c r="AA270" s="462">
        <v>157831.1</v>
      </c>
      <c r="AB270" s="462"/>
      <c r="AC270" s="462">
        <v>43999.5</v>
      </c>
      <c r="AD270" s="462"/>
      <c r="AE270" s="462"/>
      <c r="AF270" s="462"/>
      <c r="AG270" s="462">
        <v>9000</v>
      </c>
      <c r="AH270" s="462"/>
      <c r="AI270" s="462"/>
      <c r="AJ270" s="462"/>
      <c r="AK270" s="462"/>
      <c r="AL270" s="465">
        <f t="shared" si="13"/>
        <v>206366.9</v>
      </c>
      <c r="AM270" s="489">
        <v>71</v>
      </c>
      <c r="AN270" s="462">
        <v>766</v>
      </c>
      <c r="AO270" s="450">
        <v>-41098.03</v>
      </c>
      <c r="AP270" s="462"/>
      <c r="AQ270" s="450">
        <v>-149.99</v>
      </c>
      <c r="AR270" s="466">
        <v>1</v>
      </c>
    </row>
    <row r="271" spans="1:44" x14ac:dyDescent="0.25">
      <c r="A271" s="460">
        <v>5854</v>
      </c>
      <c r="B271" s="461" t="s">
        <v>23</v>
      </c>
      <c r="C271" s="462">
        <v>652616.85</v>
      </c>
      <c r="D271" s="464">
        <v>112052.6</v>
      </c>
      <c r="E271" s="462"/>
      <c r="F271" s="464"/>
      <c r="G271" s="462">
        <v>50568.15</v>
      </c>
      <c r="H271" s="464">
        <v>431.3</v>
      </c>
      <c r="I271" s="462"/>
      <c r="J271" s="464">
        <v>1689.25</v>
      </c>
      <c r="K271" s="462">
        <v>1269</v>
      </c>
      <c r="L271" s="464">
        <v>92355.85</v>
      </c>
      <c r="M271" s="479">
        <f t="shared" si="12"/>
        <v>910983</v>
      </c>
      <c r="N271" s="462">
        <v>21571.65</v>
      </c>
      <c r="O271" s="464">
        <v>0</v>
      </c>
      <c r="P271" s="462">
        <v>34948.699999999997</v>
      </c>
      <c r="Q271" s="464"/>
      <c r="R271" s="462">
        <v>6362.45</v>
      </c>
      <c r="S271" s="464"/>
      <c r="T271" s="462"/>
      <c r="U271" s="464">
        <v>1050</v>
      </c>
      <c r="V271" s="462"/>
      <c r="W271" s="464"/>
      <c r="X271" s="475">
        <f t="shared" si="14"/>
        <v>974915.79999999993</v>
      </c>
      <c r="Y271" s="483">
        <v>25244</v>
      </c>
      <c r="Z271" s="462"/>
      <c r="AA271" s="462">
        <v>97860.35</v>
      </c>
      <c r="AB271" s="462"/>
      <c r="AC271" s="462">
        <v>30415</v>
      </c>
      <c r="AD271" s="462"/>
      <c r="AE271" s="462"/>
      <c r="AF271" s="462"/>
      <c r="AG271" s="462">
        <v>752</v>
      </c>
      <c r="AH271" s="462">
        <v>7982.05</v>
      </c>
      <c r="AI271" s="462"/>
      <c r="AJ271" s="462"/>
      <c r="AK271" s="462"/>
      <c r="AL271" s="465">
        <f t="shared" si="13"/>
        <v>162253.4</v>
      </c>
      <c r="AM271" s="489">
        <v>80</v>
      </c>
      <c r="AN271" s="462">
        <v>359</v>
      </c>
      <c r="AO271" s="450">
        <v>-33869.4</v>
      </c>
      <c r="AP271" s="462"/>
      <c r="AQ271" s="450">
        <v>-105.29</v>
      </c>
      <c r="AR271" s="466">
        <v>1.5</v>
      </c>
    </row>
    <row r="272" spans="1:44" x14ac:dyDescent="0.25">
      <c r="A272" s="460">
        <v>5855</v>
      </c>
      <c r="B272" s="461" t="s">
        <v>24</v>
      </c>
      <c r="C272" s="462">
        <v>2297763.8399999999</v>
      </c>
      <c r="D272" s="464">
        <v>555837.66</v>
      </c>
      <c r="E272" s="462"/>
      <c r="F272" s="464"/>
      <c r="G272" s="462">
        <v>63903.6</v>
      </c>
      <c r="H272" s="464">
        <v>20380.900000000001</v>
      </c>
      <c r="I272" s="462">
        <v>692574.78</v>
      </c>
      <c r="J272" s="464">
        <v>-82534.73</v>
      </c>
      <c r="K272" s="462">
        <v>23822.5</v>
      </c>
      <c r="L272" s="464">
        <v>162231.70000000001</v>
      </c>
      <c r="M272" s="479">
        <f t="shared" si="12"/>
        <v>3733980.2500000005</v>
      </c>
      <c r="N272" s="462">
        <v>1937.3</v>
      </c>
      <c r="O272" s="464"/>
      <c r="P272" s="462">
        <v>438117.7</v>
      </c>
      <c r="Q272" s="464">
        <v>1530.17</v>
      </c>
      <c r="R272" s="462">
        <v>481664.6</v>
      </c>
      <c r="S272" s="464"/>
      <c r="T272" s="462"/>
      <c r="U272" s="464">
        <v>1960</v>
      </c>
      <c r="V272" s="462">
        <v>90</v>
      </c>
      <c r="W272" s="464"/>
      <c r="X272" s="475">
        <f t="shared" si="14"/>
        <v>4659280.0200000005</v>
      </c>
      <c r="Y272" s="483">
        <v>92435.15</v>
      </c>
      <c r="Z272" s="462">
        <v>136666.70000000001</v>
      </c>
      <c r="AA272" s="462"/>
      <c r="AB272" s="462"/>
      <c r="AC272" s="462">
        <v>26270.5</v>
      </c>
      <c r="AD272" s="462"/>
      <c r="AE272" s="462"/>
      <c r="AF272" s="462"/>
      <c r="AG272" s="462">
        <v>9203.65</v>
      </c>
      <c r="AH272" s="462"/>
      <c r="AI272" s="462"/>
      <c r="AJ272" s="462"/>
      <c r="AK272" s="462"/>
      <c r="AL272" s="465">
        <f t="shared" si="13"/>
        <v>264576</v>
      </c>
      <c r="AM272" s="489">
        <v>49</v>
      </c>
      <c r="AN272" s="462">
        <v>633</v>
      </c>
      <c r="AO272" s="450">
        <v>-6243.07</v>
      </c>
      <c r="AP272" s="462"/>
      <c r="AQ272" s="450">
        <v>-1498.19</v>
      </c>
      <c r="AR272" s="466">
        <v>0.5</v>
      </c>
    </row>
    <row r="273" spans="1:44" x14ac:dyDescent="0.25">
      <c r="A273" s="460">
        <v>5856</v>
      </c>
      <c r="B273" s="461" t="s">
        <v>25</v>
      </c>
      <c r="C273" s="462">
        <v>1535196.41</v>
      </c>
      <c r="D273" s="464">
        <v>242786.95</v>
      </c>
      <c r="E273" s="462"/>
      <c r="F273" s="464"/>
      <c r="G273" s="462">
        <v>3513.95</v>
      </c>
      <c r="H273" s="464">
        <v>731.3</v>
      </c>
      <c r="I273" s="462">
        <v>167155.5</v>
      </c>
      <c r="J273" s="464">
        <v>49515.54</v>
      </c>
      <c r="K273" s="462">
        <v>1786</v>
      </c>
      <c r="L273" s="464">
        <v>220515.9</v>
      </c>
      <c r="M273" s="479">
        <f t="shared" si="12"/>
        <v>2221201.5499999998</v>
      </c>
      <c r="N273" s="462">
        <v>20042.849999999999</v>
      </c>
      <c r="O273" s="464">
        <v>9973.2999999999993</v>
      </c>
      <c r="P273" s="462">
        <v>51810</v>
      </c>
      <c r="Q273" s="464"/>
      <c r="R273" s="462">
        <v>41026.050000000003</v>
      </c>
      <c r="S273" s="464"/>
      <c r="T273" s="462"/>
      <c r="U273" s="464">
        <v>2675</v>
      </c>
      <c r="V273" s="462"/>
      <c r="W273" s="464"/>
      <c r="X273" s="475">
        <f t="shared" si="14"/>
        <v>2346728.7499999995</v>
      </c>
      <c r="Y273" s="483">
        <v>19807.400000000001</v>
      </c>
      <c r="Z273" s="462"/>
      <c r="AA273" s="462">
        <v>148346.79999999999</v>
      </c>
      <c r="AB273" s="462"/>
      <c r="AC273" s="462">
        <v>68034.45</v>
      </c>
      <c r="AD273" s="462">
        <v>2092.6999999999998</v>
      </c>
      <c r="AE273" s="462"/>
      <c r="AF273" s="462"/>
      <c r="AG273" s="462"/>
      <c r="AH273" s="462"/>
      <c r="AI273" s="462"/>
      <c r="AJ273" s="462"/>
      <c r="AK273" s="462"/>
      <c r="AL273" s="465">
        <f t="shared" si="13"/>
        <v>238281.34999999998</v>
      </c>
      <c r="AM273" s="489">
        <v>68</v>
      </c>
      <c r="AN273" s="462">
        <v>695</v>
      </c>
      <c r="AO273" s="450">
        <v>-3398.75</v>
      </c>
      <c r="AP273" s="462"/>
      <c r="AQ273" s="450">
        <v>-243.96</v>
      </c>
      <c r="AR273" s="466">
        <v>1.3</v>
      </c>
    </row>
    <row r="274" spans="1:44" x14ac:dyDescent="0.25">
      <c r="A274" s="460">
        <v>5857</v>
      </c>
      <c r="B274" s="461" t="s">
        <v>26</v>
      </c>
      <c r="C274" s="462">
        <v>3081745.5</v>
      </c>
      <c r="D274" s="464">
        <v>565020.09</v>
      </c>
      <c r="E274" s="462"/>
      <c r="F274" s="464"/>
      <c r="G274" s="462">
        <v>68127.649999999994</v>
      </c>
      <c r="H274" s="464">
        <v>1387.8</v>
      </c>
      <c r="I274" s="462">
        <v>-27111.55</v>
      </c>
      <c r="J274" s="464">
        <v>103071.4</v>
      </c>
      <c r="K274" s="462">
        <v>8805.5</v>
      </c>
      <c r="L274" s="464">
        <v>327264.5</v>
      </c>
      <c r="M274" s="479">
        <f t="shared" si="12"/>
        <v>4128310.8899999997</v>
      </c>
      <c r="N274" s="462">
        <v>85888.1</v>
      </c>
      <c r="O274" s="464">
        <v>319661.3</v>
      </c>
      <c r="P274" s="462">
        <v>484278.3</v>
      </c>
      <c r="Q274" s="464">
        <v>11008.25</v>
      </c>
      <c r="R274" s="462">
        <v>173847.65</v>
      </c>
      <c r="S274" s="464"/>
      <c r="T274" s="462"/>
      <c r="U274" s="464">
        <v>2300</v>
      </c>
      <c r="V274" s="462"/>
      <c r="W274" s="464"/>
      <c r="X274" s="475">
        <f t="shared" si="14"/>
        <v>5205294.4899999993</v>
      </c>
      <c r="Y274" s="483">
        <v>222095</v>
      </c>
      <c r="Z274" s="462"/>
      <c r="AA274" s="462">
        <v>96651.85</v>
      </c>
      <c r="AB274" s="462"/>
      <c r="AC274" s="462">
        <v>81693.75</v>
      </c>
      <c r="AD274" s="462"/>
      <c r="AE274" s="462"/>
      <c r="AF274" s="462"/>
      <c r="AG274" s="462">
        <v>1651.65</v>
      </c>
      <c r="AH274" s="462">
        <v>28622.05</v>
      </c>
      <c r="AI274" s="462"/>
      <c r="AJ274" s="462"/>
      <c r="AK274" s="462"/>
      <c r="AL274" s="465">
        <f t="shared" si="13"/>
        <v>430714.3</v>
      </c>
      <c r="AM274" s="489">
        <v>66</v>
      </c>
      <c r="AN274" s="462">
        <v>1230</v>
      </c>
      <c r="AO274" s="450">
        <v>-10552.96</v>
      </c>
      <c r="AP274" s="462"/>
      <c r="AQ274" s="450">
        <v>-1096.77</v>
      </c>
      <c r="AR274" s="466">
        <v>1</v>
      </c>
    </row>
    <row r="275" spans="1:44" x14ac:dyDescent="0.25">
      <c r="A275" s="460">
        <v>5858</v>
      </c>
      <c r="B275" s="461" t="s">
        <v>27</v>
      </c>
      <c r="C275" s="462">
        <v>1352187.64</v>
      </c>
      <c r="D275" s="464">
        <v>408944.3</v>
      </c>
      <c r="E275" s="462"/>
      <c r="F275" s="464"/>
      <c r="G275" s="462">
        <v>17213.599999999999</v>
      </c>
      <c r="H275" s="464">
        <v>1801.25</v>
      </c>
      <c r="I275" s="462">
        <v>108430.2</v>
      </c>
      <c r="J275" s="464">
        <v>91937.61</v>
      </c>
      <c r="K275" s="462">
        <v>1042.2</v>
      </c>
      <c r="L275" s="464">
        <v>214900.6</v>
      </c>
      <c r="M275" s="479">
        <f t="shared" si="12"/>
        <v>2196457.4</v>
      </c>
      <c r="N275" s="462">
        <v>13569.15</v>
      </c>
      <c r="O275" s="464">
        <v>1419</v>
      </c>
      <c r="P275" s="462">
        <v>14172.85</v>
      </c>
      <c r="Q275" s="464">
        <v>6913.24</v>
      </c>
      <c r="R275" s="462">
        <v>-21957.200000000001</v>
      </c>
      <c r="S275" s="464"/>
      <c r="T275" s="462"/>
      <c r="U275" s="464">
        <v>1560</v>
      </c>
      <c r="V275" s="462"/>
      <c r="W275" s="464"/>
      <c r="X275" s="475">
        <f t="shared" si="14"/>
        <v>2212134.44</v>
      </c>
      <c r="Y275" s="483">
        <v>-3128.4</v>
      </c>
      <c r="Z275" s="462"/>
      <c r="AA275" s="462">
        <v>23110.5</v>
      </c>
      <c r="AB275" s="462"/>
      <c r="AC275" s="462">
        <v>35285.599999999999</v>
      </c>
      <c r="AD275" s="462">
        <v>10264.5</v>
      </c>
      <c r="AE275" s="462"/>
      <c r="AF275" s="462"/>
      <c r="AG275" s="462">
        <v>458</v>
      </c>
      <c r="AH275" s="462">
        <v>18095.05</v>
      </c>
      <c r="AI275" s="462"/>
      <c r="AJ275" s="462"/>
      <c r="AK275" s="462"/>
      <c r="AL275" s="465">
        <f t="shared" si="13"/>
        <v>84085.25</v>
      </c>
      <c r="AM275" s="489">
        <v>60</v>
      </c>
      <c r="AN275" s="462">
        <v>625</v>
      </c>
      <c r="AO275" s="450">
        <v>-28553.16</v>
      </c>
      <c r="AP275" s="462"/>
      <c r="AQ275" s="450">
        <v>-465.83</v>
      </c>
      <c r="AR275" s="466">
        <v>1.5</v>
      </c>
    </row>
    <row r="276" spans="1:44" x14ac:dyDescent="0.25">
      <c r="A276" s="460">
        <v>5859</v>
      </c>
      <c r="B276" s="461" t="s">
        <v>28</v>
      </c>
      <c r="C276" s="462">
        <v>5963548.1100000003</v>
      </c>
      <c r="D276" s="464">
        <v>1253366.25</v>
      </c>
      <c r="E276" s="462"/>
      <c r="F276" s="464"/>
      <c r="G276" s="462">
        <v>85446.2</v>
      </c>
      <c r="H276" s="464">
        <v>7008.95</v>
      </c>
      <c r="I276" s="462">
        <v>219514.5</v>
      </c>
      <c r="J276" s="464">
        <v>246685.91</v>
      </c>
      <c r="K276" s="462">
        <v>21259.200000000001</v>
      </c>
      <c r="L276" s="464">
        <v>596007.9</v>
      </c>
      <c r="M276" s="479">
        <f t="shared" si="12"/>
        <v>8392837.0200000014</v>
      </c>
      <c r="N276" s="462">
        <v>70477.75</v>
      </c>
      <c r="O276" s="464">
        <v>43011</v>
      </c>
      <c r="P276" s="462">
        <v>347015.55</v>
      </c>
      <c r="Q276" s="464">
        <v>16566.48</v>
      </c>
      <c r="R276" s="462">
        <v>269391.55</v>
      </c>
      <c r="S276" s="464"/>
      <c r="T276" s="462"/>
      <c r="U276" s="464">
        <v>12950</v>
      </c>
      <c r="V276" s="462"/>
      <c r="W276" s="464"/>
      <c r="X276" s="475">
        <f t="shared" si="14"/>
        <v>9152249.3500000034</v>
      </c>
      <c r="Y276" s="483">
        <v>12754.4</v>
      </c>
      <c r="Z276" s="462"/>
      <c r="AA276" s="462">
        <v>322787.84999999998</v>
      </c>
      <c r="AB276" s="462"/>
      <c r="AC276" s="462">
        <v>169227.75</v>
      </c>
      <c r="AD276" s="462"/>
      <c r="AE276" s="462"/>
      <c r="AF276" s="462"/>
      <c r="AG276" s="462"/>
      <c r="AH276" s="462"/>
      <c r="AI276" s="462"/>
      <c r="AJ276" s="462"/>
      <c r="AK276" s="462"/>
      <c r="AL276" s="465">
        <f t="shared" si="13"/>
        <v>504770</v>
      </c>
      <c r="AM276" s="489">
        <v>64</v>
      </c>
      <c r="AN276" s="462">
        <v>2660</v>
      </c>
      <c r="AO276" s="450">
        <v>-59709.2</v>
      </c>
      <c r="AP276" s="462"/>
      <c r="AQ276" s="450">
        <v>-2149.92</v>
      </c>
      <c r="AR276" s="466">
        <v>1</v>
      </c>
    </row>
    <row r="277" spans="1:44" x14ac:dyDescent="0.25">
      <c r="A277" s="460">
        <v>5860</v>
      </c>
      <c r="B277" s="461" t="s">
        <v>29</v>
      </c>
      <c r="C277" s="462">
        <v>3765531.08</v>
      </c>
      <c r="D277" s="464">
        <v>804091.78</v>
      </c>
      <c r="E277" s="462"/>
      <c r="F277" s="464"/>
      <c r="G277" s="462">
        <v>30683.95</v>
      </c>
      <c r="H277" s="464">
        <v>3467.6</v>
      </c>
      <c r="I277" s="462">
        <v>429344.07</v>
      </c>
      <c r="J277" s="464">
        <v>70110.52</v>
      </c>
      <c r="K277" s="462">
        <v>26589</v>
      </c>
      <c r="L277" s="464">
        <v>592457.05000000005</v>
      </c>
      <c r="M277" s="479">
        <f t="shared" si="12"/>
        <v>5722275.0499999998</v>
      </c>
      <c r="N277" s="462">
        <v>16298.85</v>
      </c>
      <c r="O277" s="464">
        <v>15030</v>
      </c>
      <c r="P277" s="462">
        <v>318433.95</v>
      </c>
      <c r="Q277" s="464">
        <v>28406.86</v>
      </c>
      <c r="R277" s="462">
        <v>156397.04999999999</v>
      </c>
      <c r="S277" s="464"/>
      <c r="T277" s="462"/>
      <c r="U277" s="464">
        <v>7886.65</v>
      </c>
      <c r="V277" s="462"/>
      <c r="W277" s="464"/>
      <c r="X277" s="475">
        <f t="shared" si="14"/>
        <v>6264728.4100000001</v>
      </c>
      <c r="Y277" s="483">
        <v>34163.300000000003</v>
      </c>
      <c r="Z277" s="462"/>
      <c r="AA277" s="462">
        <v>223651.6</v>
      </c>
      <c r="AB277" s="462"/>
      <c r="AC277" s="462">
        <v>87811.54</v>
      </c>
      <c r="AD277" s="462"/>
      <c r="AE277" s="462"/>
      <c r="AF277" s="462"/>
      <c r="AG277" s="462"/>
      <c r="AH277" s="462"/>
      <c r="AI277" s="462"/>
      <c r="AJ277" s="462"/>
      <c r="AK277" s="462"/>
      <c r="AL277" s="465">
        <f t="shared" si="13"/>
        <v>345626.44</v>
      </c>
      <c r="AM277" s="489">
        <v>60</v>
      </c>
      <c r="AN277" s="462">
        <v>1453</v>
      </c>
      <c r="AO277" s="450">
        <v>-46635.53</v>
      </c>
      <c r="AP277" s="462"/>
      <c r="AQ277" s="450">
        <v>-2338.84</v>
      </c>
      <c r="AR277" s="466">
        <v>1.3</v>
      </c>
    </row>
    <row r="278" spans="1:44" x14ac:dyDescent="0.25">
      <c r="A278" s="460">
        <v>5861</v>
      </c>
      <c r="B278" s="461" t="s">
        <v>30</v>
      </c>
      <c r="C278" s="462">
        <v>11090342.15</v>
      </c>
      <c r="D278" s="464">
        <v>2409582.91</v>
      </c>
      <c r="E278" s="462"/>
      <c r="F278" s="464"/>
      <c r="G278" s="462">
        <v>30011429.649999999</v>
      </c>
      <c r="H278" s="464">
        <v>1216981.05</v>
      </c>
      <c r="I278" s="462">
        <v>997451.13</v>
      </c>
      <c r="J278" s="464">
        <v>2088099.43</v>
      </c>
      <c r="K278" s="462">
        <v>282657.5</v>
      </c>
      <c r="L278" s="464">
        <v>1691636.05</v>
      </c>
      <c r="M278" s="479">
        <f t="shared" si="12"/>
        <v>49788179.869999997</v>
      </c>
      <c r="N278" s="462">
        <v>709686.45</v>
      </c>
      <c r="O278" s="464">
        <v>808467.1</v>
      </c>
      <c r="P278" s="462">
        <v>493965.65</v>
      </c>
      <c r="Q278" s="464">
        <v>58722.47</v>
      </c>
      <c r="R278" s="462">
        <v>239195.75</v>
      </c>
      <c r="S278" s="464"/>
      <c r="T278" s="462"/>
      <c r="U278" s="464">
        <v>22406.25</v>
      </c>
      <c r="V278" s="462"/>
      <c r="W278" s="464"/>
      <c r="X278" s="475">
        <f t="shared" si="14"/>
        <v>52120623.539999999</v>
      </c>
      <c r="Y278" s="483">
        <v>25182.799999999999</v>
      </c>
      <c r="Z278" s="462">
        <v>418530.8</v>
      </c>
      <c r="AA278" s="462">
        <v>1020368.25</v>
      </c>
      <c r="AB278" s="462"/>
      <c r="AC278" s="462">
        <v>456791.2</v>
      </c>
      <c r="AD278" s="462"/>
      <c r="AE278" s="462"/>
      <c r="AF278" s="462"/>
      <c r="AG278" s="462">
        <v>102942.39999999999</v>
      </c>
      <c r="AH278" s="462">
        <v>221658.85</v>
      </c>
      <c r="AI278" s="462"/>
      <c r="AJ278" s="462"/>
      <c r="AK278" s="462"/>
      <c r="AL278" s="465">
        <f t="shared" si="13"/>
        <v>2245474.2999999998</v>
      </c>
      <c r="AM278" s="489">
        <v>59.5</v>
      </c>
      <c r="AN278" s="462">
        <v>6142</v>
      </c>
      <c r="AO278" s="450">
        <v>-168541.72</v>
      </c>
      <c r="AP278" s="462"/>
      <c r="AQ278" s="450">
        <v>-8450.23</v>
      </c>
      <c r="AR278" s="466">
        <v>1</v>
      </c>
    </row>
    <row r="279" spans="1:44" x14ac:dyDescent="0.25">
      <c r="A279" s="460">
        <v>5862</v>
      </c>
      <c r="B279" s="461" t="s">
        <v>31</v>
      </c>
      <c r="C279" s="462">
        <v>561618.56000000006</v>
      </c>
      <c r="D279" s="464">
        <v>77860.509999999995</v>
      </c>
      <c r="E279" s="462"/>
      <c r="F279" s="464"/>
      <c r="G279" s="462">
        <v>2423.4</v>
      </c>
      <c r="H279" s="464">
        <v>1752.55</v>
      </c>
      <c r="I279" s="462"/>
      <c r="J279" s="464">
        <v>15914.58</v>
      </c>
      <c r="K279" s="462"/>
      <c r="L279" s="464">
        <v>40725.75</v>
      </c>
      <c r="M279" s="479">
        <f t="shared" si="12"/>
        <v>700295.35000000009</v>
      </c>
      <c r="N279" s="462">
        <v>8135.4</v>
      </c>
      <c r="O279" s="464">
        <v>27268.799999999999</v>
      </c>
      <c r="P279" s="462">
        <v>13200</v>
      </c>
      <c r="Q279" s="464"/>
      <c r="R279" s="462">
        <v>9618.7999999999993</v>
      </c>
      <c r="S279" s="464"/>
      <c r="T279" s="462"/>
      <c r="U279" s="464">
        <v>950</v>
      </c>
      <c r="V279" s="462"/>
      <c r="W279" s="464"/>
      <c r="X279" s="475">
        <f t="shared" si="14"/>
        <v>759468.35000000021</v>
      </c>
      <c r="Y279" s="483"/>
      <c r="Z279" s="462"/>
      <c r="AA279" s="462">
        <v>45312.4</v>
      </c>
      <c r="AB279" s="462"/>
      <c r="AC279" s="462">
        <v>15865.45</v>
      </c>
      <c r="AD279" s="462"/>
      <c r="AE279" s="462"/>
      <c r="AF279" s="462"/>
      <c r="AG279" s="462"/>
      <c r="AH279" s="462"/>
      <c r="AI279" s="462"/>
      <c r="AJ279" s="462"/>
      <c r="AK279" s="462"/>
      <c r="AL279" s="465">
        <f t="shared" si="13"/>
        <v>61177.850000000006</v>
      </c>
      <c r="AM279" s="489">
        <v>84</v>
      </c>
      <c r="AN279" s="462">
        <v>236</v>
      </c>
      <c r="AO279" s="450">
        <v>-7337.61</v>
      </c>
      <c r="AP279" s="462"/>
      <c r="AQ279" s="450">
        <v>-163.41</v>
      </c>
      <c r="AR279" s="466">
        <v>0.9</v>
      </c>
    </row>
    <row r="280" spans="1:44" x14ac:dyDescent="0.25">
      <c r="A280" s="460">
        <v>5863</v>
      </c>
      <c r="B280" s="461" t="s">
        <v>32</v>
      </c>
      <c r="C280" s="462">
        <v>1509289.47</v>
      </c>
      <c r="D280" s="464">
        <v>146847.76999999999</v>
      </c>
      <c r="E280" s="462"/>
      <c r="F280" s="464"/>
      <c r="G280" s="462">
        <v>-6363.05</v>
      </c>
      <c r="H280" s="464">
        <v>1716.15</v>
      </c>
      <c r="I280" s="462"/>
      <c r="J280" s="464">
        <v>-3175.02</v>
      </c>
      <c r="K280" s="462">
        <v>507</v>
      </c>
      <c r="L280" s="464">
        <v>73798.2</v>
      </c>
      <c r="M280" s="479">
        <f t="shared" si="12"/>
        <v>1722620.5199999998</v>
      </c>
      <c r="N280" s="462">
        <v>15799.95</v>
      </c>
      <c r="O280" s="464"/>
      <c r="P280" s="462">
        <v>17588.150000000001</v>
      </c>
      <c r="Q280" s="464"/>
      <c r="R280" s="462"/>
      <c r="S280" s="464"/>
      <c r="T280" s="462">
        <v>325</v>
      </c>
      <c r="U280" s="464">
        <v>1300</v>
      </c>
      <c r="V280" s="462"/>
      <c r="W280" s="464"/>
      <c r="X280" s="475">
        <f t="shared" si="14"/>
        <v>1757633.6199999996</v>
      </c>
      <c r="Y280" s="483"/>
      <c r="Z280" s="462"/>
      <c r="AA280" s="462">
        <v>14722.05</v>
      </c>
      <c r="AB280" s="462"/>
      <c r="AC280" s="462">
        <v>19673.599999999999</v>
      </c>
      <c r="AD280" s="462"/>
      <c r="AE280" s="462"/>
      <c r="AF280" s="462"/>
      <c r="AG280" s="462">
        <v>1142.45</v>
      </c>
      <c r="AH280" s="462">
        <v>6024.15</v>
      </c>
      <c r="AI280" s="462"/>
      <c r="AJ280" s="462"/>
      <c r="AK280" s="462"/>
      <c r="AL280" s="465">
        <f t="shared" si="13"/>
        <v>41562.249999999993</v>
      </c>
      <c r="AM280" s="489">
        <v>70</v>
      </c>
      <c r="AN280" s="462">
        <v>352</v>
      </c>
      <c r="AO280" s="450">
        <v>-5536.93</v>
      </c>
      <c r="AP280" s="462"/>
      <c r="AQ280" s="450">
        <v>-97.62</v>
      </c>
      <c r="AR280" s="466">
        <v>1</v>
      </c>
    </row>
    <row r="281" spans="1:44" x14ac:dyDescent="0.25">
      <c r="A281" s="460">
        <v>5871</v>
      </c>
      <c r="B281" s="461" t="s">
        <v>33</v>
      </c>
      <c r="C281" s="462">
        <f>2788958.68-6179.4</f>
        <v>2782779.2800000003</v>
      </c>
      <c r="D281" s="464">
        <v>494784.89</v>
      </c>
      <c r="E281" s="462"/>
      <c r="F281" s="464"/>
      <c r="G281" s="462">
        <v>-391690.6</v>
      </c>
      <c r="H281" s="464">
        <v>3326.4</v>
      </c>
      <c r="I281" s="462"/>
      <c r="J281" s="464">
        <v>85515.43</v>
      </c>
      <c r="K281" s="462">
        <v>1827.5</v>
      </c>
      <c r="L281" s="464">
        <v>239271.1</v>
      </c>
      <c r="M281" s="479">
        <f t="shared" si="12"/>
        <v>3215814.0000000005</v>
      </c>
      <c r="N281" s="462">
        <v>637314</v>
      </c>
      <c r="O281" s="464">
        <v>26165</v>
      </c>
      <c r="P281" s="462">
        <v>91019.35</v>
      </c>
      <c r="Q281" s="464">
        <v>3839.56</v>
      </c>
      <c r="R281" s="462">
        <v>87370.2</v>
      </c>
      <c r="S281" s="464"/>
      <c r="T281" s="462"/>
      <c r="U281" s="464">
        <v>10000</v>
      </c>
      <c r="V281" s="462"/>
      <c r="W281" s="464"/>
      <c r="X281" s="475">
        <f t="shared" si="14"/>
        <v>4071522.1100000008</v>
      </c>
      <c r="Y281" s="483">
        <v>5319.15</v>
      </c>
      <c r="Z281" s="462">
        <v>2197.9</v>
      </c>
      <c r="AA281" s="462">
        <v>296592.09999999998</v>
      </c>
      <c r="AB281" s="462"/>
      <c r="AC281" s="462">
        <v>143660.9</v>
      </c>
      <c r="AD281" s="462"/>
      <c r="AE281" s="462"/>
      <c r="AF281" s="462"/>
      <c r="AG281" s="462">
        <v>60015.199999999997</v>
      </c>
      <c r="AH281" s="462"/>
      <c r="AI281" s="462"/>
      <c r="AJ281" s="462"/>
      <c r="AK281" s="462"/>
      <c r="AL281" s="465">
        <f t="shared" si="13"/>
        <v>507785.24999999994</v>
      </c>
      <c r="AM281" s="489">
        <v>77.489999999999995</v>
      </c>
      <c r="AN281" s="462">
        <v>1439</v>
      </c>
      <c r="AO281" s="450">
        <v>-29337.68</v>
      </c>
      <c r="AP281" s="462"/>
      <c r="AQ281" s="450">
        <v>-96.6</v>
      </c>
      <c r="AR281" s="466">
        <v>1</v>
      </c>
    </row>
    <row r="282" spans="1:44" x14ac:dyDescent="0.25">
      <c r="A282" s="460">
        <v>5872</v>
      </c>
      <c r="B282" s="461" t="s">
        <v>239</v>
      </c>
      <c r="C282" s="462">
        <v>6795048.1699999999</v>
      </c>
      <c r="D282" s="464">
        <v>946249.21</v>
      </c>
      <c r="E282" s="462"/>
      <c r="F282" s="464"/>
      <c r="G282" s="462">
        <v>11866524.449999999</v>
      </c>
      <c r="H282" s="464">
        <v>439084.1</v>
      </c>
      <c r="I282" s="462"/>
      <c r="J282" s="464">
        <v>1343658.41</v>
      </c>
      <c r="K282" s="462">
        <v>16760.5</v>
      </c>
      <c r="L282" s="464">
        <v>455209.45</v>
      </c>
      <c r="M282" s="479">
        <f t="shared" si="12"/>
        <v>21862534.289999999</v>
      </c>
      <c r="N282" s="462">
        <v>5100792.1500000004</v>
      </c>
      <c r="O282" s="464">
        <v>18221.8</v>
      </c>
      <c r="P282" s="462">
        <v>171905.9</v>
      </c>
      <c r="Q282" s="464">
        <v>29015.99</v>
      </c>
      <c r="R282" s="462">
        <v>219957.3</v>
      </c>
      <c r="S282" s="464"/>
      <c r="T282" s="462">
        <v>3100</v>
      </c>
      <c r="U282" s="464">
        <v>28850</v>
      </c>
      <c r="V282" s="462"/>
      <c r="W282" s="464"/>
      <c r="X282" s="475">
        <f t="shared" si="14"/>
        <v>27434377.429999996</v>
      </c>
      <c r="Y282" s="483">
        <v>34432</v>
      </c>
      <c r="Z282" s="462">
        <v>17213</v>
      </c>
      <c r="AA282" s="462">
        <v>961561.1</v>
      </c>
      <c r="AB282" s="462"/>
      <c r="AC282" s="462">
        <v>429766.40000000002</v>
      </c>
      <c r="AD282" s="462">
        <v>28581</v>
      </c>
      <c r="AE282" s="462">
        <v>14289</v>
      </c>
      <c r="AF282" s="462"/>
      <c r="AG282" s="462">
        <v>111394.6</v>
      </c>
      <c r="AH282" s="462"/>
      <c r="AI282" s="462"/>
      <c r="AJ282" s="462"/>
      <c r="AK282" s="462"/>
      <c r="AL282" s="465">
        <f t="shared" si="13"/>
        <v>1597237.1</v>
      </c>
      <c r="AM282" s="489">
        <v>69.7</v>
      </c>
      <c r="AN282" s="462">
        <v>4608</v>
      </c>
      <c r="AO282" s="450">
        <v>-94200.98</v>
      </c>
      <c r="AP282" s="462"/>
      <c r="AQ282" s="450">
        <v>-416.92</v>
      </c>
      <c r="AR282" s="466">
        <v>0.7</v>
      </c>
    </row>
    <row r="283" spans="1:44" x14ac:dyDescent="0.25">
      <c r="A283" s="460">
        <v>5873</v>
      </c>
      <c r="B283" s="461" t="s">
        <v>240</v>
      </c>
      <c r="C283" s="462">
        <v>1295669.74</v>
      </c>
      <c r="D283" s="464">
        <v>313381.48</v>
      </c>
      <c r="E283" s="462"/>
      <c r="F283" s="464"/>
      <c r="G283" s="462">
        <v>198501</v>
      </c>
      <c r="H283" s="464">
        <v>7755.3</v>
      </c>
      <c r="I283" s="462"/>
      <c r="J283" s="464">
        <v>54999.93</v>
      </c>
      <c r="K283" s="462"/>
      <c r="L283" s="464">
        <v>81163</v>
      </c>
      <c r="M283" s="479">
        <f t="shared" si="12"/>
        <v>1951470.45</v>
      </c>
      <c r="N283" s="462">
        <v>806704.85</v>
      </c>
      <c r="O283" s="464">
        <v>7167.6</v>
      </c>
      <c r="P283" s="462">
        <v>58272.5</v>
      </c>
      <c r="Q283" s="464">
        <v>2372.81</v>
      </c>
      <c r="R283" s="462">
        <v>51373.85</v>
      </c>
      <c r="S283" s="464"/>
      <c r="T283" s="462"/>
      <c r="U283" s="464">
        <v>7050</v>
      </c>
      <c r="V283" s="462"/>
      <c r="W283" s="464"/>
      <c r="X283" s="475">
        <f t="shared" si="14"/>
        <v>2884412.06</v>
      </c>
      <c r="Y283" s="483">
        <v>5985</v>
      </c>
      <c r="Z283" s="462"/>
      <c r="AA283" s="462">
        <v>228000.4</v>
      </c>
      <c r="AB283" s="462"/>
      <c r="AC283" s="462">
        <v>88342.3</v>
      </c>
      <c r="AD283" s="462">
        <v>7980</v>
      </c>
      <c r="AE283" s="462"/>
      <c r="AF283" s="462"/>
      <c r="AG283" s="462">
        <v>25884</v>
      </c>
      <c r="AH283" s="462"/>
      <c r="AI283" s="462"/>
      <c r="AJ283" s="462"/>
      <c r="AK283" s="462"/>
      <c r="AL283" s="465">
        <f t="shared" si="13"/>
        <v>356191.7</v>
      </c>
      <c r="AM283" s="489">
        <v>65</v>
      </c>
      <c r="AN283" s="462">
        <v>873</v>
      </c>
      <c r="AO283" s="450">
        <v>-19656.509999999998</v>
      </c>
      <c r="AP283" s="462"/>
      <c r="AQ283" s="450">
        <v>-136.06</v>
      </c>
      <c r="AR283" s="466">
        <v>0.6</v>
      </c>
    </row>
    <row r="284" spans="1:44" x14ac:dyDescent="0.25">
      <c r="A284" s="460">
        <v>5881</v>
      </c>
      <c r="B284" s="461" t="s">
        <v>241</v>
      </c>
      <c r="C284" s="462">
        <v>16959573.609999999</v>
      </c>
      <c r="D284" s="464">
        <v>3242526.13</v>
      </c>
      <c r="E284" s="462"/>
      <c r="F284" s="464"/>
      <c r="G284" s="462">
        <v>593912.19999999995</v>
      </c>
      <c r="H284" s="464">
        <v>20325.05</v>
      </c>
      <c r="I284" s="462">
        <v>639726.47</v>
      </c>
      <c r="J284" s="464">
        <v>257478.04</v>
      </c>
      <c r="K284" s="462">
        <v>56274</v>
      </c>
      <c r="L284" s="464">
        <v>1550001.6</v>
      </c>
      <c r="M284" s="479">
        <f t="shared" si="12"/>
        <v>23319817.099999998</v>
      </c>
      <c r="N284" s="462">
        <v>78289.55</v>
      </c>
      <c r="O284" s="464">
        <v>1055691.7</v>
      </c>
      <c r="P284" s="462">
        <v>1006294.55</v>
      </c>
      <c r="Q284" s="464">
        <v>126992.67</v>
      </c>
      <c r="R284" s="462">
        <v>741092.65</v>
      </c>
      <c r="S284" s="464"/>
      <c r="T284" s="462"/>
      <c r="U284" s="464">
        <v>55150</v>
      </c>
      <c r="V284" s="462"/>
      <c r="W284" s="464"/>
      <c r="X284" s="475">
        <f t="shared" si="14"/>
        <v>26383328.219999999</v>
      </c>
      <c r="Y284" s="483">
        <v>105540.5</v>
      </c>
      <c r="Z284" s="462"/>
      <c r="AA284" s="462">
        <v>448877.05</v>
      </c>
      <c r="AB284" s="462"/>
      <c r="AC284" s="462">
        <v>739690.3</v>
      </c>
      <c r="AD284" s="462">
        <v>202980.4</v>
      </c>
      <c r="AE284" s="462"/>
      <c r="AF284" s="462"/>
      <c r="AG284" s="462"/>
      <c r="AH284" s="462"/>
      <c r="AI284" s="462"/>
      <c r="AJ284" s="462"/>
      <c r="AK284" s="462"/>
      <c r="AL284" s="465">
        <f t="shared" si="13"/>
        <v>1497088.25</v>
      </c>
      <c r="AM284" s="489">
        <v>70</v>
      </c>
      <c r="AN284" s="462">
        <v>6116</v>
      </c>
      <c r="AO284" s="450">
        <v>-143524.78</v>
      </c>
      <c r="AP284" s="462"/>
      <c r="AQ284" s="450">
        <v>-34734.68</v>
      </c>
      <c r="AR284" s="466">
        <v>1</v>
      </c>
    </row>
    <row r="285" spans="1:44" x14ac:dyDescent="0.25">
      <c r="A285" s="460">
        <v>5882</v>
      </c>
      <c r="B285" s="461" t="s">
        <v>242</v>
      </c>
      <c r="C285" s="462">
        <v>7117644.9100000001</v>
      </c>
      <c r="D285" s="464">
        <v>1598048.34</v>
      </c>
      <c r="E285" s="462"/>
      <c r="F285" s="464"/>
      <c r="G285" s="462">
        <v>249340.7</v>
      </c>
      <c r="H285" s="464">
        <v>15716.25</v>
      </c>
      <c r="I285" s="462">
        <v>371642.95</v>
      </c>
      <c r="J285" s="464">
        <v>148507.79</v>
      </c>
      <c r="K285" s="462">
        <v>31313</v>
      </c>
      <c r="L285" s="464">
        <v>818902.27</v>
      </c>
      <c r="M285" s="479">
        <f t="shared" si="12"/>
        <v>10351116.209999997</v>
      </c>
      <c r="N285" s="462">
        <v>10525.4</v>
      </c>
      <c r="O285" s="464">
        <v>543857.30000000005</v>
      </c>
      <c r="P285" s="462">
        <v>369527.8</v>
      </c>
      <c r="Q285" s="464">
        <v>4039.25</v>
      </c>
      <c r="R285" s="462">
        <v>285968.7</v>
      </c>
      <c r="S285" s="464"/>
      <c r="T285" s="462"/>
      <c r="U285" s="464">
        <v>11840</v>
      </c>
      <c r="V285" s="462"/>
      <c r="W285" s="464"/>
      <c r="X285" s="475">
        <f t="shared" si="14"/>
        <v>11576874.659999998</v>
      </c>
      <c r="Y285" s="483">
        <v>228655.19</v>
      </c>
      <c r="Z285" s="462"/>
      <c r="AA285" s="462">
        <v>322903.82</v>
      </c>
      <c r="AB285" s="462"/>
      <c r="AC285" s="462">
        <v>220238.6</v>
      </c>
      <c r="AD285" s="462"/>
      <c r="AE285" s="462"/>
      <c r="AF285" s="462"/>
      <c r="AG285" s="462"/>
      <c r="AH285" s="462"/>
      <c r="AI285" s="462"/>
      <c r="AJ285" s="462"/>
      <c r="AK285" s="462"/>
      <c r="AL285" s="465">
        <f t="shared" si="13"/>
        <v>771797.61</v>
      </c>
      <c r="AM285" s="489">
        <v>68</v>
      </c>
      <c r="AN285" s="462">
        <v>2916</v>
      </c>
      <c r="AO285" s="450">
        <v>-78409.47</v>
      </c>
      <c r="AP285" s="462"/>
      <c r="AQ285" s="450">
        <v>-2662.29</v>
      </c>
      <c r="AR285" s="466">
        <v>1</v>
      </c>
    </row>
    <row r="286" spans="1:44" x14ac:dyDescent="0.25">
      <c r="A286" s="460">
        <v>5883</v>
      </c>
      <c r="B286" s="461" t="s">
        <v>243</v>
      </c>
      <c r="C286" s="462">
        <v>6973998.8399999999</v>
      </c>
      <c r="D286" s="464">
        <v>1530636.93</v>
      </c>
      <c r="E286" s="462"/>
      <c r="F286" s="464"/>
      <c r="G286" s="462">
        <v>237728.35</v>
      </c>
      <c r="H286" s="464">
        <v>8255.2999999999993</v>
      </c>
      <c r="I286" s="462">
        <v>359460.3</v>
      </c>
      <c r="J286" s="464">
        <v>164316.44</v>
      </c>
      <c r="K286" s="462">
        <v>15641.5</v>
      </c>
      <c r="L286" s="464">
        <v>619679.9</v>
      </c>
      <c r="M286" s="479">
        <f t="shared" si="12"/>
        <v>9909717.5600000005</v>
      </c>
      <c r="N286" s="462">
        <v>3263.25</v>
      </c>
      <c r="O286" s="464">
        <v>130046.3</v>
      </c>
      <c r="P286" s="462">
        <v>415281.65</v>
      </c>
      <c r="Q286" s="464">
        <v>32502.52</v>
      </c>
      <c r="R286" s="462">
        <v>400764.15</v>
      </c>
      <c r="S286" s="464"/>
      <c r="T286" s="462"/>
      <c r="U286" s="464">
        <v>4625</v>
      </c>
      <c r="V286" s="462"/>
      <c r="W286" s="464"/>
      <c r="X286" s="475">
        <f t="shared" si="14"/>
        <v>10896200.430000002</v>
      </c>
      <c r="Y286" s="483"/>
      <c r="Z286" s="462"/>
      <c r="AA286" s="462"/>
      <c r="AB286" s="462"/>
      <c r="AC286" s="462">
        <v>340174.8</v>
      </c>
      <c r="AD286" s="462">
        <v>188988.97</v>
      </c>
      <c r="AE286" s="462"/>
      <c r="AF286" s="462"/>
      <c r="AG286" s="462"/>
      <c r="AH286" s="462"/>
      <c r="AI286" s="462"/>
      <c r="AJ286" s="462"/>
      <c r="AK286" s="462"/>
      <c r="AL286" s="465">
        <f t="shared" si="13"/>
        <v>529163.77</v>
      </c>
      <c r="AM286" s="489">
        <v>64</v>
      </c>
      <c r="AN286" s="462">
        <v>2212</v>
      </c>
      <c r="AO286" s="450">
        <v>-266742.76</v>
      </c>
      <c r="AP286" s="462"/>
      <c r="AQ286" s="450">
        <v>-3948.99</v>
      </c>
      <c r="AR286" s="466">
        <v>1</v>
      </c>
    </row>
    <row r="287" spans="1:44" x14ac:dyDescent="0.25">
      <c r="A287" s="460">
        <v>5884</v>
      </c>
      <c r="B287" s="461" t="s">
        <v>53</v>
      </c>
      <c r="C287" s="462">
        <v>5120817.09</v>
      </c>
      <c r="D287" s="464">
        <v>712082.24</v>
      </c>
      <c r="E287" s="462"/>
      <c r="F287" s="464"/>
      <c r="G287" s="462">
        <v>839895.2</v>
      </c>
      <c r="H287" s="464">
        <v>17500.900000000001</v>
      </c>
      <c r="I287" s="462">
        <v>20731.150000000001</v>
      </c>
      <c r="J287" s="464">
        <v>173633.26</v>
      </c>
      <c r="K287" s="462">
        <v>135645.5</v>
      </c>
      <c r="L287" s="464">
        <v>907818.1</v>
      </c>
      <c r="M287" s="479">
        <f t="shared" si="12"/>
        <v>7928123.4400000004</v>
      </c>
      <c r="N287" s="462">
        <v>361450.95</v>
      </c>
      <c r="O287" s="464">
        <v>109453.9</v>
      </c>
      <c r="P287" s="462">
        <v>156607.9</v>
      </c>
      <c r="Q287" s="464">
        <v>61180.95</v>
      </c>
      <c r="R287" s="462">
        <v>191471.6</v>
      </c>
      <c r="S287" s="464"/>
      <c r="T287" s="462"/>
      <c r="U287" s="464">
        <v>16150</v>
      </c>
      <c r="V287" s="462"/>
      <c r="W287" s="464"/>
      <c r="X287" s="475">
        <f t="shared" si="14"/>
        <v>8824438.7400000002</v>
      </c>
      <c r="Y287" s="483">
        <v>1687.55</v>
      </c>
      <c r="Z287" s="462"/>
      <c r="AA287" s="462">
        <v>311167.38</v>
      </c>
      <c r="AB287" s="462">
        <v>634229.6</v>
      </c>
      <c r="AC287" s="462">
        <v>244134.06</v>
      </c>
      <c r="AD287" s="462"/>
      <c r="AE287" s="462"/>
      <c r="AF287" s="462"/>
      <c r="AG287" s="462">
        <v>18146</v>
      </c>
      <c r="AH287" s="462">
        <v>289195.8</v>
      </c>
      <c r="AI287" s="462"/>
      <c r="AJ287" s="462"/>
      <c r="AK287" s="462"/>
      <c r="AL287" s="465">
        <f t="shared" si="13"/>
        <v>1498560.3900000001</v>
      </c>
      <c r="AM287" s="489">
        <v>66</v>
      </c>
      <c r="AN287" s="462">
        <v>3403</v>
      </c>
      <c r="AO287" s="450">
        <v>-152496.71</v>
      </c>
      <c r="AP287" s="462"/>
      <c r="AQ287" s="450">
        <v>-423.67</v>
      </c>
      <c r="AR287" s="466">
        <v>1.2</v>
      </c>
    </row>
    <row r="288" spans="1:44" x14ac:dyDescent="0.25">
      <c r="A288" s="460">
        <v>5885</v>
      </c>
      <c r="B288" s="461" t="s">
        <v>54</v>
      </c>
      <c r="C288" s="462">
        <v>4131870.08</v>
      </c>
      <c r="D288" s="464">
        <v>834876.15</v>
      </c>
      <c r="E288" s="462"/>
      <c r="F288" s="464"/>
      <c r="G288" s="462">
        <v>317447.8</v>
      </c>
      <c r="H288" s="464">
        <v>379.35</v>
      </c>
      <c r="I288" s="462">
        <v>111937.62</v>
      </c>
      <c r="J288" s="464">
        <v>99980.46</v>
      </c>
      <c r="K288" s="462">
        <v>12803.5</v>
      </c>
      <c r="L288" s="464">
        <v>410323.35</v>
      </c>
      <c r="M288" s="479">
        <f t="shared" si="12"/>
        <v>5919618.3099999996</v>
      </c>
      <c r="N288" s="462"/>
      <c r="O288" s="464">
        <v>40192.300000000003</v>
      </c>
      <c r="P288" s="462">
        <v>166478.15</v>
      </c>
      <c r="Q288" s="464">
        <v>3939.75</v>
      </c>
      <c r="R288" s="462">
        <v>225931.45</v>
      </c>
      <c r="S288" s="464"/>
      <c r="T288" s="462"/>
      <c r="U288" s="464">
        <v>8800</v>
      </c>
      <c r="V288" s="462"/>
      <c r="W288" s="464"/>
      <c r="X288" s="475">
        <f t="shared" si="14"/>
        <v>6364959.96</v>
      </c>
      <c r="Y288" s="483"/>
      <c r="Z288" s="462"/>
      <c r="AA288" s="462"/>
      <c r="AB288" s="462"/>
      <c r="AC288" s="462"/>
      <c r="AD288" s="462"/>
      <c r="AE288" s="462"/>
      <c r="AF288" s="462"/>
      <c r="AG288" s="462"/>
      <c r="AH288" s="462"/>
      <c r="AI288" s="462"/>
      <c r="AJ288" s="462"/>
      <c r="AK288" s="462"/>
      <c r="AL288" s="465">
        <f t="shared" si="13"/>
        <v>0</v>
      </c>
      <c r="AM288" s="489">
        <v>71</v>
      </c>
      <c r="AN288" s="462">
        <v>1488</v>
      </c>
      <c r="AO288" s="450">
        <v>-41987.15</v>
      </c>
      <c r="AP288" s="462"/>
      <c r="AQ288" s="450">
        <v>-2321.9499999999998</v>
      </c>
      <c r="AR288" s="466">
        <v>1.2</v>
      </c>
    </row>
    <row r="289" spans="1:44" x14ac:dyDescent="0.25">
      <c r="A289" s="460">
        <v>5886</v>
      </c>
      <c r="B289" s="461" t="s">
        <v>55</v>
      </c>
      <c r="C289" s="462">
        <v>44068268.960000001</v>
      </c>
      <c r="D289" s="464">
        <v>10686423.039999999</v>
      </c>
      <c r="E289" s="462"/>
      <c r="F289" s="464"/>
      <c r="G289" s="462">
        <v>9180434.9000000004</v>
      </c>
      <c r="H289" s="464">
        <v>110937.35</v>
      </c>
      <c r="I289" s="462">
        <v>4032035.03</v>
      </c>
      <c r="J289" s="464">
        <v>2841932.72</v>
      </c>
      <c r="K289" s="462">
        <v>567399.5</v>
      </c>
      <c r="L289" s="464">
        <v>9512204.6899999995</v>
      </c>
      <c r="M289" s="479">
        <f t="shared" si="12"/>
        <v>80999636.189999998</v>
      </c>
      <c r="N289" s="462">
        <v>798361.7</v>
      </c>
      <c r="O289" s="464">
        <v>7284641.7000000002</v>
      </c>
      <c r="P289" s="462">
        <v>4256950.2</v>
      </c>
      <c r="Q289" s="464">
        <v>359751.06</v>
      </c>
      <c r="R289" s="462">
        <v>2142780.15</v>
      </c>
      <c r="S289" s="464"/>
      <c r="T289" s="462"/>
      <c r="U289" s="464">
        <v>95500</v>
      </c>
      <c r="V289" s="462"/>
      <c r="W289" s="464"/>
      <c r="X289" s="475">
        <f t="shared" si="14"/>
        <v>95937621.000000015</v>
      </c>
      <c r="Y289" s="483"/>
      <c r="Z289" s="462"/>
      <c r="AA289" s="462">
        <v>2580062.4</v>
      </c>
      <c r="AB289" s="462"/>
      <c r="AC289" s="462">
        <v>3927215.25</v>
      </c>
      <c r="AD289" s="462"/>
      <c r="AE289" s="462"/>
      <c r="AF289" s="462"/>
      <c r="AG289" s="462"/>
      <c r="AH289" s="462"/>
      <c r="AI289" s="462"/>
      <c r="AJ289" s="462"/>
      <c r="AK289" s="462"/>
      <c r="AL289" s="465">
        <f t="shared" si="13"/>
        <v>6507277.6500000004</v>
      </c>
      <c r="AM289" s="489">
        <v>65</v>
      </c>
      <c r="AN289" s="462">
        <v>26402</v>
      </c>
      <c r="AO289" s="450">
        <v>-1771754.39</v>
      </c>
      <c r="AP289" s="462"/>
      <c r="AQ289" s="450">
        <v>-26361.8</v>
      </c>
      <c r="AR289" s="466">
        <v>1.5</v>
      </c>
    </row>
    <row r="290" spans="1:44" x14ac:dyDescent="0.25">
      <c r="A290" s="460">
        <v>5888</v>
      </c>
      <c r="B290" s="461" t="s">
        <v>625</v>
      </c>
      <c r="C290" s="462">
        <v>15106958.050000001</v>
      </c>
      <c r="D290" s="464">
        <v>2937242.27</v>
      </c>
      <c r="E290" s="462"/>
      <c r="F290" s="464"/>
      <c r="G290" s="462">
        <v>700975.05</v>
      </c>
      <c r="H290" s="464">
        <v>46207.75</v>
      </c>
      <c r="I290" s="462">
        <v>301334.34999999998</v>
      </c>
      <c r="J290" s="464">
        <v>259509.06</v>
      </c>
      <c r="K290" s="462">
        <v>47802.5</v>
      </c>
      <c r="L290" s="464">
        <v>1669941.45</v>
      </c>
      <c r="M290" s="479">
        <f t="shared" si="12"/>
        <v>21069970.48</v>
      </c>
      <c r="N290" s="462">
        <v>160090.6</v>
      </c>
      <c r="O290" s="464">
        <v>15168.1</v>
      </c>
      <c r="P290" s="462">
        <v>688884.65</v>
      </c>
      <c r="Q290" s="464">
        <v>25601.599999999999</v>
      </c>
      <c r="R290" s="462">
        <v>649817.44999999995</v>
      </c>
      <c r="S290" s="464"/>
      <c r="T290" s="462"/>
      <c r="U290" s="464">
        <v>37300</v>
      </c>
      <c r="V290" s="462"/>
      <c r="W290" s="464"/>
      <c r="X290" s="475">
        <f t="shared" si="14"/>
        <v>22646832.880000003</v>
      </c>
      <c r="Y290" s="483">
        <v>301348.40000000002</v>
      </c>
      <c r="Z290" s="462"/>
      <c r="AA290" s="462">
        <v>745636.5</v>
      </c>
      <c r="AB290" s="462">
        <v>1079010.2</v>
      </c>
      <c r="AC290" s="462">
        <v>379721.92</v>
      </c>
      <c r="AD290" s="462">
        <v>518640.44</v>
      </c>
      <c r="AE290" s="462"/>
      <c r="AF290" s="462"/>
      <c r="AG290" s="462">
        <v>95261</v>
      </c>
      <c r="AH290" s="462"/>
      <c r="AI290" s="462"/>
      <c r="AJ290" s="462"/>
      <c r="AK290" s="462"/>
      <c r="AL290" s="465">
        <f t="shared" si="13"/>
        <v>3119618.46</v>
      </c>
      <c r="AM290" s="489">
        <v>67</v>
      </c>
      <c r="AN290" s="462">
        <v>5130</v>
      </c>
      <c r="AO290" s="450">
        <v>-224943.4</v>
      </c>
      <c r="AP290" s="462"/>
      <c r="AQ290" s="450">
        <v>-14218.56</v>
      </c>
      <c r="AR290" s="466">
        <v>1.2</v>
      </c>
    </row>
    <row r="291" spans="1:44" x14ac:dyDescent="0.25">
      <c r="A291" s="460">
        <v>5889</v>
      </c>
      <c r="B291" s="461" t="s">
        <v>56</v>
      </c>
      <c r="C291" s="462">
        <v>23907515.059999999</v>
      </c>
      <c r="D291" s="464">
        <v>5191614.26</v>
      </c>
      <c r="E291" s="462"/>
      <c r="F291" s="464"/>
      <c r="G291" s="462">
        <v>2154067.15</v>
      </c>
      <c r="H291" s="464">
        <v>4780244.8499999996</v>
      </c>
      <c r="I291" s="462">
        <v>900668.37</v>
      </c>
      <c r="J291" s="464">
        <v>806839.05</v>
      </c>
      <c r="K291" s="462">
        <v>148271.5</v>
      </c>
      <c r="L291" s="464">
        <v>2478885.25</v>
      </c>
      <c r="M291" s="479">
        <f t="shared" si="12"/>
        <v>40368105.489999995</v>
      </c>
      <c r="N291" s="462">
        <v>87843.5</v>
      </c>
      <c r="O291" s="464">
        <v>1634367.2</v>
      </c>
      <c r="P291" s="462">
        <v>1653244.75</v>
      </c>
      <c r="Q291" s="464">
        <v>215753.89</v>
      </c>
      <c r="R291" s="462">
        <v>982584.85</v>
      </c>
      <c r="S291" s="464"/>
      <c r="T291" s="462"/>
      <c r="U291" s="464">
        <v>39650</v>
      </c>
      <c r="V291" s="462"/>
      <c r="W291" s="464">
        <v>300791.49</v>
      </c>
      <c r="X291" s="475">
        <f t="shared" si="14"/>
        <v>45282341.170000002</v>
      </c>
      <c r="Y291" s="483">
        <v>6534.5</v>
      </c>
      <c r="Z291" s="462"/>
      <c r="AA291" s="462">
        <v>895172.35</v>
      </c>
      <c r="AB291" s="462">
        <v>1716847.25</v>
      </c>
      <c r="AC291" s="462">
        <v>1223376.8799999999</v>
      </c>
      <c r="AD291" s="462"/>
      <c r="AE291" s="462"/>
      <c r="AF291" s="462"/>
      <c r="AG291" s="462"/>
      <c r="AH291" s="462">
        <v>215177.8</v>
      </c>
      <c r="AI291" s="462"/>
      <c r="AJ291" s="462"/>
      <c r="AK291" s="462"/>
      <c r="AL291" s="465">
        <f t="shared" si="13"/>
        <v>4057108.78</v>
      </c>
      <c r="AM291" s="489">
        <v>64</v>
      </c>
      <c r="AN291" s="462">
        <v>11637</v>
      </c>
      <c r="AO291" s="450">
        <v>-564306.15</v>
      </c>
      <c r="AP291" s="462"/>
      <c r="AQ291" s="450">
        <v>-15300.05</v>
      </c>
      <c r="AR291" s="466">
        <v>1.2</v>
      </c>
    </row>
    <row r="292" spans="1:44" x14ac:dyDescent="0.25">
      <c r="A292" s="460">
        <v>5890</v>
      </c>
      <c r="B292" s="461" t="s">
        <v>57</v>
      </c>
      <c r="C292" s="462">
        <v>34580850.039999999</v>
      </c>
      <c r="D292" s="464">
        <v>3979073.56</v>
      </c>
      <c r="E292" s="462"/>
      <c r="F292" s="464"/>
      <c r="G292" s="462">
        <v>9966571.4000000004</v>
      </c>
      <c r="H292" s="464">
        <v>11174600.25</v>
      </c>
      <c r="I292" s="462">
        <v>437163.27</v>
      </c>
      <c r="J292" s="464">
        <v>2980212.95</v>
      </c>
      <c r="K292" s="462">
        <v>533162</v>
      </c>
      <c r="L292" s="464">
        <v>4103788.25</v>
      </c>
      <c r="M292" s="479">
        <f t="shared" si="12"/>
        <v>67755421.719999999</v>
      </c>
      <c r="N292" s="462">
        <v>1024428.9</v>
      </c>
      <c r="O292" s="464">
        <v>2244620.2999999998</v>
      </c>
      <c r="P292" s="462">
        <v>1360969</v>
      </c>
      <c r="Q292" s="464">
        <v>635847.81000000006</v>
      </c>
      <c r="R292" s="462">
        <v>447889.45</v>
      </c>
      <c r="S292" s="464"/>
      <c r="T292" s="462"/>
      <c r="U292" s="464">
        <v>54000</v>
      </c>
      <c r="V292" s="462"/>
      <c r="W292" s="464"/>
      <c r="X292" s="475">
        <f t="shared" si="14"/>
        <v>73523177.180000007</v>
      </c>
      <c r="Y292" s="483"/>
      <c r="Z292" s="462"/>
      <c r="AA292" s="462">
        <v>927127.6</v>
      </c>
      <c r="AB292" s="462"/>
      <c r="AC292" s="462">
        <v>1200290.17</v>
      </c>
      <c r="AD292" s="462"/>
      <c r="AE292" s="462"/>
      <c r="AF292" s="462"/>
      <c r="AG292" s="462"/>
      <c r="AH292" s="462">
        <v>673260.5</v>
      </c>
      <c r="AI292" s="462"/>
      <c r="AJ292" s="462">
        <v>192360.15</v>
      </c>
      <c r="AK292" s="462"/>
      <c r="AL292" s="465">
        <f t="shared" si="13"/>
        <v>2993038.42</v>
      </c>
      <c r="AM292" s="489">
        <v>73</v>
      </c>
      <c r="AN292" s="462">
        <v>19605</v>
      </c>
      <c r="AO292" s="450">
        <v>-1321485.03</v>
      </c>
      <c r="AP292" s="462"/>
      <c r="AQ292" s="450">
        <v>-13277.46</v>
      </c>
      <c r="AR292" s="466">
        <v>1.2</v>
      </c>
    </row>
    <row r="293" spans="1:44" x14ac:dyDescent="0.25">
      <c r="A293" s="460">
        <v>5891</v>
      </c>
      <c r="B293" s="461" t="s">
        <v>58</v>
      </c>
      <c r="C293" s="462">
        <v>1833630.03</v>
      </c>
      <c r="D293" s="464">
        <v>539749.65</v>
      </c>
      <c r="E293" s="462"/>
      <c r="F293" s="464"/>
      <c r="G293" s="462">
        <v>57180.2</v>
      </c>
      <c r="H293" s="464">
        <v>11051.7</v>
      </c>
      <c r="I293" s="462">
        <v>9709.7999999999993</v>
      </c>
      <c r="J293" s="464">
        <v>72551.199999999997</v>
      </c>
      <c r="K293" s="462">
        <v>11092</v>
      </c>
      <c r="L293" s="464">
        <v>272885.59999999998</v>
      </c>
      <c r="M293" s="479">
        <f t="shared" si="12"/>
        <v>2807850.1800000006</v>
      </c>
      <c r="N293" s="462"/>
      <c r="O293" s="464">
        <v>94128.5</v>
      </c>
      <c r="P293" s="462">
        <v>139283.70000000001</v>
      </c>
      <c r="Q293" s="464">
        <v>3290.7</v>
      </c>
      <c r="R293" s="462">
        <v>88549.4</v>
      </c>
      <c r="S293" s="464"/>
      <c r="T293" s="462"/>
      <c r="U293" s="464">
        <v>8100</v>
      </c>
      <c r="V293" s="462">
        <v>237918.55</v>
      </c>
      <c r="W293" s="464"/>
      <c r="X293" s="475">
        <f t="shared" si="14"/>
        <v>3379121.0300000007</v>
      </c>
      <c r="Y293" s="483">
        <v>51702.45</v>
      </c>
      <c r="Z293" s="462"/>
      <c r="AA293" s="462">
        <v>123184.6</v>
      </c>
      <c r="AB293" s="462"/>
      <c r="AC293" s="462">
        <v>88486.7</v>
      </c>
      <c r="AD293" s="462"/>
      <c r="AE293" s="462"/>
      <c r="AF293" s="462"/>
      <c r="AG293" s="462"/>
      <c r="AH293" s="462">
        <v>49546.55</v>
      </c>
      <c r="AI293" s="462"/>
      <c r="AJ293" s="462"/>
      <c r="AK293" s="462">
        <v>14084.75</v>
      </c>
      <c r="AL293" s="465">
        <f t="shared" si="13"/>
        <v>327005.05</v>
      </c>
      <c r="AM293" s="489">
        <v>69</v>
      </c>
      <c r="AN293" s="462">
        <v>850</v>
      </c>
      <c r="AO293" s="450">
        <v>-39310.370000000003</v>
      </c>
      <c r="AP293" s="462"/>
      <c r="AQ293" s="450">
        <v>-126.33</v>
      </c>
      <c r="AR293" s="466">
        <v>1.2</v>
      </c>
    </row>
    <row r="294" spans="1:44" x14ac:dyDescent="0.25">
      <c r="A294" s="460">
        <v>5902</v>
      </c>
      <c r="B294" s="461" t="s">
        <v>59</v>
      </c>
      <c r="C294" s="462">
        <v>608469.34</v>
      </c>
      <c r="D294" s="464">
        <v>44751.65</v>
      </c>
      <c r="E294" s="462"/>
      <c r="F294" s="464"/>
      <c r="G294" s="462">
        <v>1006.15</v>
      </c>
      <c r="H294" s="464">
        <v>235.7</v>
      </c>
      <c r="I294" s="462"/>
      <c r="J294" s="464">
        <v>-3508.81</v>
      </c>
      <c r="K294" s="462"/>
      <c r="L294" s="464">
        <v>50316.1</v>
      </c>
      <c r="M294" s="479">
        <f t="shared" si="12"/>
        <v>701270.12999999989</v>
      </c>
      <c r="N294" s="462"/>
      <c r="O294" s="464"/>
      <c r="P294" s="462">
        <v>2090</v>
      </c>
      <c r="Q294" s="464"/>
      <c r="R294" s="462">
        <v>14364.6</v>
      </c>
      <c r="S294" s="464"/>
      <c r="T294" s="462">
        <v>400</v>
      </c>
      <c r="U294" s="464">
        <v>4250</v>
      </c>
      <c r="V294" s="462"/>
      <c r="W294" s="464"/>
      <c r="X294" s="475">
        <f t="shared" si="14"/>
        <v>722374.72999999986</v>
      </c>
      <c r="Y294" s="483"/>
      <c r="Z294" s="462"/>
      <c r="AA294" s="462">
        <v>48803</v>
      </c>
      <c r="AB294" s="462"/>
      <c r="AC294" s="462">
        <v>23839.9</v>
      </c>
      <c r="AD294" s="462">
        <v>191.55</v>
      </c>
      <c r="AE294" s="462"/>
      <c r="AF294" s="462"/>
      <c r="AG294" s="462"/>
      <c r="AH294" s="462"/>
      <c r="AI294" s="462"/>
      <c r="AJ294" s="462"/>
      <c r="AK294" s="462"/>
      <c r="AL294" s="465">
        <f t="shared" si="13"/>
        <v>72834.45</v>
      </c>
      <c r="AM294" s="489">
        <v>76</v>
      </c>
      <c r="AN294" s="462">
        <v>368</v>
      </c>
      <c r="AO294" s="450">
        <v>-7.12</v>
      </c>
      <c r="AP294" s="462"/>
      <c r="AQ294" s="450">
        <v>0</v>
      </c>
      <c r="AR294" s="466">
        <v>1</v>
      </c>
    </row>
    <row r="295" spans="1:44" x14ac:dyDescent="0.25">
      <c r="A295" s="460">
        <v>5903</v>
      </c>
      <c r="B295" s="461" t="s">
        <v>60</v>
      </c>
      <c r="C295" s="462">
        <v>357891.92</v>
      </c>
      <c r="D295" s="464">
        <v>50151.55</v>
      </c>
      <c r="E295" s="462"/>
      <c r="F295" s="464"/>
      <c r="G295" s="462">
        <v>1366.55</v>
      </c>
      <c r="H295" s="464">
        <v>76.650000000000006</v>
      </c>
      <c r="I295" s="462"/>
      <c r="J295" s="464">
        <v>2574.14</v>
      </c>
      <c r="K295" s="462"/>
      <c r="L295" s="464">
        <v>23150.95</v>
      </c>
      <c r="M295" s="479">
        <f t="shared" si="12"/>
        <v>435211.76</v>
      </c>
      <c r="N295" s="462">
        <v>23214.2</v>
      </c>
      <c r="O295" s="464">
        <v>2581.9</v>
      </c>
      <c r="P295" s="462">
        <v>3664</v>
      </c>
      <c r="Q295" s="464"/>
      <c r="R295" s="462">
        <v>5724.8</v>
      </c>
      <c r="S295" s="464"/>
      <c r="T295" s="462"/>
      <c r="U295" s="464">
        <v>1040</v>
      </c>
      <c r="V295" s="462"/>
      <c r="W295" s="464"/>
      <c r="X295" s="475">
        <f t="shared" si="14"/>
        <v>471436.66000000003</v>
      </c>
      <c r="Y295" s="483"/>
      <c r="Z295" s="462"/>
      <c r="AA295" s="462">
        <v>15243</v>
      </c>
      <c r="AB295" s="462"/>
      <c r="AC295" s="462">
        <v>7505.3</v>
      </c>
      <c r="AD295" s="462"/>
      <c r="AE295" s="462"/>
      <c r="AF295" s="462"/>
      <c r="AG295" s="462"/>
      <c r="AH295" s="462"/>
      <c r="AI295" s="462"/>
      <c r="AJ295" s="462"/>
      <c r="AK295" s="462"/>
      <c r="AL295" s="465">
        <f t="shared" si="13"/>
        <v>22748.3</v>
      </c>
      <c r="AM295" s="489">
        <v>74</v>
      </c>
      <c r="AN295" s="462">
        <v>230</v>
      </c>
      <c r="AO295" s="450">
        <v>-4544.17</v>
      </c>
      <c r="AP295" s="462"/>
      <c r="AQ295" s="450">
        <v>0</v>
      </c>
      <c r="AR295" s="466">
        <v>0.7</v>
      </c>
    </row>
    <row r="296" spans="1:44" x14ac:dyDescent="0.25">
      <c r="A296" s="460">
        <v>5904</v>
      </c>
      <c r="B296" s="461" t="s">
        <v>61</v>
      </c>
      <c r="C296" s="462">
        <v>1234044.81</v>
      </c>
      <c r="D296" s="464">
        <v>182837.24</v>
      </c>
      <c r="E296" s="462"/>
      <c r="F296" s="464"/>
      <c r="G296" s="462">
        <v>11032.9</v>
      </c>
      <c r="H296" s="464">
        <v>363.7</v>
      </c>
      <c r="I296" s="462"/>
      <c r="J296" s="464">
        <v>7447.73</v>
      </c>
      <c r="K296" s="462">
        <v>2943.5</v>
      </c>
      <c r="L296" s="464">
        <v>91847.9</v>
      </c>
      <c r="M296" s="479">
        <f t="shared" si="12"/>
        <v>1530517.7799999998</v>
      </c>
      <c r="N296" s="462">
        <v>32253.4</v>
      </c>
      <c r="O296" s="464"/>
      <c r="P296" s="462">
        <v>24494.7</v>
      </c>
      <c r="Q296" s="464">
        <v>378.13</v>
      </c>
      <c r="R296" s="462">
        <v>23912.9</v>
      </c>
      <c r="S296" s="464"/>
      <c r="T296" s="462">
        <v>447.25</v>
      </c>
      <c r="U296" s="464">
        <v>4550</v>
      </c>
      <c r="V296" s="462"/>
      <c r="W296" s="464"/>
      <c r="X296" s="475">
        <f t="shared" si="14"/>
        <v>1616554.1599999995</v>
      </c>
      <c r="Y296" s="483"/>
      <c r="Z296" s="462"/>
      <c r="AA296" s="462">
        <v>139955.4</v>
      </c>
      <c r="AB296" s="462"/>
      <c r="AC296" s="462">
        <v>37259.199999999997</v>
      </c>
      <c r="AD296" s="462">
        <v>4774</v>
      </c>
      <c r="AE296" s="462"/>
      <c r="AF296" s="462"/>
      <c r="AG296" s="462"/>
      <c r="AH296" s="462">
        <v>22563</v>
      </c>
      <c r="AI296" s="462"/>
      <c r="AJ296" s="462"/>
      <c r="AK296" s="462"/>
      <c r="AL296" s="465">
        <f t="shared" si="13"/>
        <v>204551.59999999998</v>
      </c>
      <c r="AM296" s="489">
        <v>66</v>
      </c>
      <c r="AN296" s="462">
        <v>548</v>
      </c>
      <c r="AO296" s="450">
        <v>-18561.63</v>
      </c>
      <c r="AP296" s="462"/>
      <c r="AQ296" s="450">
        <v>-9.6300000000000008</v>
      </c>
      <c r="AR296" s="466">
        <v>1</v>
      </c>
    </row>
    <row r="297" spans="1:44" x14ac:dyDescent="0.25">
      <c r="A297" s="460">
        <v>5905</v>
      </c>
      <c r="B297" s="461" t="s">
        <v>62</v>
      </c>
      <c r="C297" s="462">
        <v>972954.91</v>
      </c>
      <c r="D297" s="464">
        <v>156200.01999999999</v>
      </c>
      <c r="E297" s="462"/>
      <c r="F297" s="464"/>
      <c r="G297" s="462">
        <v>259260.65</v>
      </c>
      <c r="H297" s="464">
        <v>806.05</v>
      </c>
      <c r="I297" s="462"/>
      <c r="J297" s="464">
        <v>28416.1</v>
      </c>
      <c r="K297" s="462">
        <v>3209.4</v>
      </c>
      <c r="L297" s="464">
        <v>87222.85</v>
      </c>
      <c r="M297" s="479">
        <f t="shared" si="12"/>
        <v>1508069.98</v>
      </c>
      <c r="N297" s="462">
        <v>116404.5</v>
      </c>
      <c r="O297" s="464">
        <v>9060.6</v>
      </c>
      <c r="P297" s="462">
        <v>84054.1</v>
      </c>
      <c r="Q297" s="464">
        <v>3542.84</v>
      </c>
      <c r="R297" s="462">
        <v>102915.85</v>
      </c>
      <c r="S297" s="464"/>
      <c r="T297" s="462"/>
      <c r="U297" s="464"/>
      <c r="V297" s="462"/>
      <c r="W297" s="464"/>
      <c r="X297" s="475">
        <f t="shared" si="14"/>
        <v>1824047.8700000003</v>
      </c>
      <c r="Y297" s="483">
        <v>11107.58</v>
      </c>
      <c r="Z297" s="462"/>
      <c r="AA297" s="462"/>
      <c r="AB297" s="462"/>
      <c r="AC297" s="462">
        <v>22323.5</v>
      </c>
      <c r="AD297" s="462">
        <v>23332.85</v>
      </c>
      <c r="AE297" s="462"/>
      <c r="AF297" s="462"/>
      <c r="AG297" s="462"/>
      <c r="AH297" s="462"/>
      <c r="AI297" s="462"/>
      <c r="AJ297" s="462"/>
      <c r="AK297" s="462"/>
      <c r="AL297" s="465">
        <f t="shared" si="13"/>
        <v>56763.93</v>
      </c>
      <c r="AM297" s="489">
        <v>71</v>
      </c>
      <c r="AN297" s="462">
        <v>652</v>
      </c>
      <c r="AO297" s="450">
        <v>-17862.150000000001</v>
      </c>
      <c r="AP297" s="462"/>
      <c r="AQ297" s="450">
        <v>-0.12</v>
      </c>
      <c r="AR297" s="466">
        <v>1</v>
      </c>
    </row>
    <row r="298" spans="1:44" x14ac:dyDescent="0.25">
      <c r="A298" s="460">
        <v>5907</v>
      </c>
      <c r="B298" s="461" t="s">
        <v>63</v>
      </c>
      <c r="C298" s="462">
        <v>559639.72</v>
      </c>
      <c r="D298" s="464">
        <v>92953.66</v>
      </c>
      <c r="E298" s="462"/>
      <c r="F298" s="464">
        <v>1700</v>
      </c>
      <c r="G298" s="462">
        <v>4961.75</v>
      </c>
      <c r="H298" s="464">
        <v>20.75</v>
      </c>
      <c r="I298" s="462"/>
      <c r="J298" s="464">
        <v>7345.91</v>
      </c>
      <c r="K298" s="462">
        <v>134</v>
      </c>
      <c r="L298" s="464">
        <v>36681.4</v>
      </c>
      <c r="M298" s="479">
        <f t="shared" si="12"/>
        <v>703437.19000000006</v>
      </c>
      <c r="N298" s="462">
        <v>7359.95</v>
      </c>
      <c r="O298" s="464">
        <v>27471</v>
      </c>
      <c r="P298" s="462">
        <v>11414.15</v>
      </c>
      <c r="Q298" s="464">
        <v>261.39</v>
      </c>
      <c r="R298" s="462">
        <v>11156.85</v>
      </c>
      <c r="S298" s="464"/>
      <c r="T298" s="462"/>
      <c r="U298" s="464">
        <v>1800</v>
      </c>
      <c r="V298" s="462">
        <v>1340</v>
      </c>
      <c r="W298" s="464"/>
      <c r="X298" s="475">
        <f t="shared" si="14"/>
        <v>764240.53</v>
      </c>
      <c r="Y298" s="483">
        <v>27000</v>
      </c>
      <c r="Z298" s="462"/>
      <c r="AA298" s="462">
        <v>6621.2</v>
      </c>
      <c r="AB298" s="462"/>
      <c r="AC298" s="462">
        <v>12218.95</v>
      </c>
      <c r="AD298" s="462">
        <v>6721.2</v>
      </c>
      <c r="AE298" s="462"/>
      <c r="AF298" s="462"/>
      <c r="AG298" s="462"/>
      <c r="AH298" s="462"/>
      <c r="AI298" s="462"/>
      <c r="AJ298" s="462"/>
      <c r="AK298" s="462"/>
      <c r="AL298" s="465">
        <f t="shared" si="13"/>
        <v>52561.349999999991</v>
      </c>
      <c r="AM298" s="489">
        <v>78</v>
      </c>
      <c r="AN298" s="462">
        <v>300</v>
      </c>
      <c r="AO298" s="450">
        <v>-15420.56</v>
      </c>
      <c r="AP298" s="462"/>
      <c r="AQ298" s="450">
        <v>-368.2</v>
      </c>
      <c r="AR298" s="466">
        <v>1</v>
      </c>
    </row>
    <row r="299" spans="1:44" x14ac:dyDescent="0.25">
      <c r="A299" s="460">
        <v>5908</v>
      </c>
      <c r="B299" s="461" t="s">
        <v>64</v>
      </c>
      <c r="C299" s="462">
        <v>178286.4</v>
      </c>
      <c r="D299" s="464">
        <v>42775.69</v>
      </c>
      <c r="E299" s="462"/>
      <c r="F299" s="464"/>
      <c r="G299" s="462">
        <v>2056.75</v>
      </c>
      <c r="H299" s="464">
        <v>201.4</v>
      </c>
      <c r="I299" s="462"/>
      <c r="J299" s="464">
        <v>2210.1799999999998</v>
      </c>
      <c r="K299" s="462">
        <v>49.5</v>
      </c>
      <c r="L299" s="464">
        <v>16035.1</v>
      </c>
      <c r="M299" s="479">
        <f t="shared" si="12"/>
        <v>241615.02</v>
      </c>
      <c r="N299" s="462"/>
      <c r="O299" s="464"/>
      <c r="P299" s="462">
        <v>76.8</v>
      </c>
      <c r="Q299" s="464">
        <v>800.42</v>
      </c>
      <c r="R299" s="462">
        <v>11889.2</v>
      </c>
      <c r="S299" s="464"/>
      <c r="T299" s="462"/>
      <c r="U299" s="464">
        <v>1122</v>
      </c>
      <c r="V299" s="462"/>
      <c r="W299" s="464"/>
      <c r="X299" s="475">
        <f t="shared" si="14"/>
        <v>255503.44</v>
      </c>
      <c r="Y299" s="483">
        <v>45500</v>
      </c>
      <c r="Z299" s="462"/>
      <c r="AA299" s="462">
        <v>22700</v>
      </c>
      <c r="AB299" s="462"/>
      <c r="AC299" s="462">
        <v>5057</v>
      </c>
      <c r="AD299" s="462">
        <v>12000</v>
      </c>
      <c r="AE299" s="462"/>
      <c r="AF299" s="462"/>
      <c r="AG299" s="462"/>
      <c r="AH299" s="462"/>
      <c r="AI299" s="462"/>
      <c r="AJ299" s="462"/>
      <c r="AK299" s="462"/>
      <c r="AL299" s="465">
        <f t="shared" si="13"/>
        <v>85257</v>
      </c>
      <c r="AM299" s="489">
        <v>79</v>
      </c>
      <c r="AN299" s="462">
        <v>140</v>
      </c>
      <c r="AO299" s="450">
        <v>-12120.27</v>
      </c>
      <c r="AP299" s="462"/>
      <c r="AQ299" s="450">
        <v>0</v>
      </c>
      <c r="AR299" s="466">
        <v>1</v>
      </c>
    </row>
    <row r="300" spans="1:44" x14ac:dyDescent="0.25">
      <c r="A300" s="460">
        <v>5909</v>
      </c>
      <c r="B300" s="461" t="s">
        <v>65</v>
      </c>
      <c r="C300" s="462">
        <v>1404507.74</v>
      </c>
      <c r="D300" s="464">
        <v>196505.42</v>
      </c>
      <c r="E300" s="462"/>
      <c r="F300" s="464"/>
      <c r="G300" s="462">
        <v>27599.65</v>
      </c>
      <c r="H300" s="464">
        <v>1622.4</v>
      </c>
      <c r="I300" s="462"/>
      <c r="J300" s="464">
        <v>10706.4</v>
      </c>
      <c r="K300" s="462">
        <v>747</v>
      </c>
      <c r="L300" s="464">
        <v>146747.4</v>
      </c>
      <c r="M300" s="479">
        <f t="shared" si="12"/>
        <v>1788436.0099999995</v>
      </c>
      <c r="N300" s="462">
        <v>10706.85</v>
      </c>
      <c r="O300" s="464"/>
      <c r="P300" s="462">
        <v>72548.100000000006</v>
      </c>
      <c r="Q300" s="464"/>
      <c r="R300" s="462">
        <v>24328.05</v>
      </c>
      <c r="S300" s="464"/>
      <c r="T300" s="462">
        <v>563.9</v>
      </c>
      <c r="U300" s="464">
        <v>860</v>
      </c>
      <c r="V300" s="462">
        <v>2000</v>
      </c>
      <c r="W300" s="464"/>
      <c r="X300" s="475">
        <f t="shared" si="14"/>
        <v>1899442.9099999997</v>
      </c>
      <c r="Y300" s="483">
        <v>2990.74</v>
      </c>
      <c r="Z300" s="462"/>
      <c r="AA300" s="462">
        <v>57044.36</v>
      </c>
      <c r="AB300" s="462"/>
      <c r="AC300" s="462">
        <v>40622.199999999997</v>
      </c>
      <c r="AD300" s="462">
        <v>3692.19</v>
      </c>
      <c r="AE300" s="462"/>
      <c r="AF300" s="462"/>
      <c r="AG300" s="462">
        <v>62935.11</v>
      </c>
      <c r="AH300" s="462"/>
      <c r="AI300" s="462"/>
      <c r="AJ300" s="462"/>
      <c r="AK300" s="462"/>
      <c r="AL300" s="465">
        <f t="shared" si="13"/>
        <v>167284.59999999998</v>
      </c>
      <c r="AM300" s="489">
        <v>70</v>
      </c>
      <c r="AN300" s="462">
        <v>670</v>
      </c>
      <c r="AO300" s="450">
        <v>-211.14</v>
      </c>
      <c r="AP300" s="462">
        <v>-54124.55</v>
      </c>
      <c r="AQ300" s="450">
        <v>-122.56</v>
      </c>
      <c r="AR300" s="466">
        <v>1</v>
      </c>
    </row>
    <row r="301" spans="1:44" x14ac:dyDescent="0.25">
      <c r="A301" s="460">
        <v>5910</v>
      </c>
      <c r="B301" s="461" t="s">
        <v>66</v>
      </c>
      <c r="C301" s="462">
        <v>669738.42000000004</v>
      </c>
      <c r="D301" s="464">
        <v>85523.839999999997</v>
      </c>
      <c r="E301" s="462"/>
      <c r="F301" s="464">
        <v>2180</v>
      </c>
      <c r="G301" s="462">
        <v>1298.8</v>
      </c>
      <c r="H301" s="464">
        <v>78.2</v>
      </c>
      <c r="I301" s="462"/>
      <c r="J301" s="464">
        <v>3791.13</v>
      </c>
      <c r="K301" s="462"/>
      <c r="L301" s="464">
        <v>48254</v>
      </c>
      <c r="M301" s="479">
        <f t="shared" si="12"/>
        <v>810864.39</v>
      </c>
      <c r="N301" s="462"/>
      <c r="O301" s="464">
        <v>306</v>
      </c>
      <c r="P301" s="462">
        <v>30635</v>
      </c>
      <c r="Q301" s="464"/>
      <c r="R301" s="462">
        <v>6614.4</v>
      </c>
      <c r="S301" s="464"/>
      <c r="T301" s="462">
        <v>460</v>
      </c>
      <c r="U301" s="464">
        <v>2998</v>
      </c>
      <c r="V301" s="462"/>
      <c r="W301" s="464"/>
      <c r="X301" s="475">
        <f t="shared" si="14"/>
        <v>851877.79</v>
      </c>
      <c r="Y301" s="483">
        <v>31670</v>
      </c>
      <c r="Z301" s="462"/>
      <c r="AA301" s="462">
        <v>28888</v>
      </c>
      <c r="AB301" s="462"/>
      <c r="AC301" s="462">
        <v>21537</v>
      </c>
      <c r="AD301" s="462"/>
      <c r="AE301" s="462"/>
      <c r="AF301" s="462"/>
      <c r="AG301" s="462"/>
      <c r="AH301" s="462"/>
      <c r="AI301" s="462"/>
      <c r="AJ301" s="462"/>
      <c r="AK301" s="462"/>
      <c r="AL301" s="465">
        <f t="shared" si="13"/>
        <v>82095</v>
      </c>
      <c r="AM301" s="489">
        <v>79</v>
      </c>
      <c r="AN301" s="462">
        <v>380</v>
      </c>
      <c r="AO301" s="450">
        <v>-13179.19</v>
      </c>
      <c r="AP301" s="462"/>
      <c r="AQ301" s="450">
        <v>-1.04</v>
      </c>
      <c r="AR301" s="466">
        <v>1</v>
      </c>
    </row>
    <row r="302" spans="1:44" x14ac:dyDescent="0.25">
      <c r="A302" s="460">
        <v>5911</v>
      </c>
      <c r="B302" s="461" t="s">
        <v>67</v>
      </c>
      <c r="C302" s="462">
        <v>527671.77</v>
      </c>
      <c r="D302" s="464">
        <v>45213.08</v>
      </c>
      <c r="E302" s="462"/>
      <c r="F302" s="464">
        <v>1340</v>
      </c>
      <c r="G302" s="462">
        <v>3764.7</v>
      </c>
      <c r="H302" s="464">
        <v>90.2</v>
      </c>
      <c r="I302" s="462"/>
      <c r="J302" s="464">
        <v>5558.47</v>
      </c>
      <c r="K302" s="462">
        <v>348</v>
      </c>
      <c r="L302" s="464">
        <v>27837.25</v>
      </c>
      <c r="M302" s="479">
        <f t="shared" si="12"/>
        <v>611823.46999999986</v>
      </c>
      <c r="N302" s="462"/>
      <c r="O302" s="464"/>
      <c r="P302" s="462">
        <v>2081.75</v>
      </c>
      <c r="Q302" s="464"/>
      <c r="R302" s="462"/>
      <c r="S302" s="464"/>
      <c r="T302" s="462"/>
      <c r="U302" s="464">
        <v>850</v>
      </c>
      <c r="V302" s="462"/>
      <c r="W302" s="464"/>
      <c r="X302" s="475">
        <f t="shared" si="14"/>
        <v>614755.21999999986</v>
      </c>
      <c r="Y302" s="483">
        <v>9789</v>
      </c>
      <c r="Z302" s="462"/>
      <c r="AA302" s="462">
        <v>32102.400000000001</v>
      </c>
      <c r="AB302" s="462"/>
      <c r="AC302" s="462">
        <v>13825.05</v>
      </c>
      <c r="AD302" s="462">
        <v>6000</v>
      </c>
      <c r="AE302" s="462"/>
      <c r="AF302" s="462"/>
      <c r="AG302" s="462"/>
      <c r="AH302" s="462"/>
      <c r="AI302" s="462"/>
      <c r="AJ302" s="462"/>
      <c r="AK302" s="462"/>
      <c r="AL302" s="465">
        <f t="shared" si="13"/>
        <v>61716.45</v>
      </c>
      <c r="AM302" s="489">
        <v>79</v>
      </c>
      <c r="AN302" s="462">
        <v>237</v>
      </c>
      <c r="AO302" s="450">
        <v>-115.21</v>
      </c>
      <c r="AP302" s="462"/>
      <c r="AQ302" s="450">
        <v>-123.64</v>
      </c>
      <c r="AR302" s="466">
        <v>1</v>
      </c>
    </row>
    <row r="303" spans="1:44" x14ac:dyDescent="0.25">
      <c r="A303" s="460">
        <v>5912</v>
      </c>
      <c r="B303" s="461" t="s">
        <v>68</v>
      </c>
      <c r="C303" s="462">
        <v>183964.85</v>
      </c>
      <c r="D303" s="464">
        <v>16837.63</v>
      </c>
      <c r="E303" s="462"/>
      <c r="F303" s="464">
        <v>870</v>
      </c>
      <c r="G303" s="462">
        <v>1911.4</v>
      </c>
      <c r="H303" s="464">
        <v>-23.05</v>
      </c>
      <c r="I303" s="462"/>
      <c r="J303" s="464">
        <v>4427.5600000000004</v>
      </c>
      <c r="K303" s="462"/>
      <c r="L303" s="464">
        <v>15767.5</v>
      </c>
      <c r="M303" s="479">
        <f t="shared" si="12"/>
        <v>223755.89</v>
      </c>
      <c r="N303" s="462"/>
      <c r="O303" s="464">
        <v>383.3</v>
      </c>
      <c r="P303" s="462">
        <v>3803.05</v>
      </c>
      <c r="Q303" s="464"/>
      <c r="R303" s="462">
        <v>5833.35</v>
      </c>
      <c r="S303" s="464"/>
      <c r="T303" s="462"/>
      <c r="U303" s="464">
        <v>1100</v>
      </c>
      <c r="V303" s="462"/>
      <c r="W303" s="464"/>
      <c r="X303" s="475">
        <f t="shared" si="14"/>
        <v>234875.59</v>
      </c>
      <c r="Y303" s="483">
        <v>10500</v>
      </c>
      <c r="Z303" s="462"/>
      <c r="AA303" s="462">
        <v>16708.5</v>
      </c>
      <c r="AB303" s="462"/>
      <c r="AC303" s="462">
        <v>5997.65</v>
      </c>
      <c r="AD303" s="462">
        <v>5125</v>
      </c>
      <c r="AE303" s="462"/>
      <c r="AF303" s="462"/>
      <c r="AG303" s="462"/>
      <c r="AH303" s="462"/>
      <c r="AI303" s="462"/>
      <c r="AJ303" s="462"/>
      <c r="AK303" s="462"/>
      <c r="AL303" s="465">
        <f t="shared" si="13"/>
        <v>38331.15</v>
      </c>
      <c r="AM303" s="489">
        <v>81</v>
      </c>
      <c r="AN303" s="462">
        <v>126</v>
      </c>
      <c r="AO303" s="450">
        <v>-48.4</v>
      </c>
      <c r="AP303" s="462"/>
      <c r="AQ303" s="450">
        <v>0</v>
      </c>
      <c r="AR303" s="466">
        <v>1</v>
      </c>
    </row>
    <row r="304" spans="1:44" x14ac:dyDescent="0.25">
      <c r="A304" s="460">
        <v>5913</v>
      </c>
      <c r="B304" s="461" t="s">
        <v>69</v>
      </c>
      <c r="C304" s="462">
        <v>1237215</v>
      </c>
      <c r="D304" s="464">
        <v>168419.21</v>
      </c>
      <c r="E304" s="462"/>
      <c r="F304" s="464"/>
      <c r="G304" s="462">
        <v>29206.35</v>
      </c>
      <c r="H304" s="464">
        <v>66.150000000000006</v>
      </c>
      <c r="I304" s="462"/>
      <c r="J304" s="464">
        <v>9114.7199999999993</v>
      </c>
      <c r="K304" s="462">
        <v>1950.5</v>
      </c>
      <c r="L304" s="464">
        <v>101124.9</v>
      </c>
      <c r="M304" s="479">
        <f t="shared" si="12"/>
        <v>1547096.8299999998</v>
      </c>
      <c r="N304" s="462">
        <v>18696.400000000001</v>
      </c>
      <c r="O304" s="464">
        <v>5.7</v>
      </c>
      <c r="P304" s="462">
        <v>40875.050000000003</v>
      </c>
      <c r="Q304" s="464">
        <v>8015.85</v>
      </c>
      <c r="R304" s="462">
        <v>79671.5</v>
      </c>
      <c r="S304" s="464"/>
      <c r="T304" s="462">
        <v>447.25</v>
      </c>
      <c r="U304" s="464">
        <v>5575.1</v>
      </c>
      <c r="V304" s="462">
        <v>48</v>
      </c>
      <c r="W304" s="464"/>
      <c r="X304" s="475">
        <f t="shared" si="14"/>
        <v>1700431.68</v>
      </c>
      <c r="Y304" s="483">
        <v>17970</v>
      </c>
      <c r="Z304" s="462"/>
      <c r="AA304" s="462">
        <v>71678</v>
      </c>
      <c r="AB304" s="462"/>
      <c r="AC304" s="462">
        <v>35549.5</v>
      </c>
      <c r="AD304" s="462">
        <v>48554</v>
      </c>
      <c r="AE304" s="462"/>
      <c r="AF304" s="462"/>
      <c r="AG304" s="462"/>
      <c r="AH304" s="462">
        <v>17245.3</v>
      </c>
      <c r="AI304" s="462"/>
      <c r="AJ304" s="462"/>
      <c r="AK304" s="462"/>
      <c r="AL304" s="465">
        <f t="shared" si="13"/>
        <v>190996.8</v>
      </c>
      <c r="AM304" s="489">
        <v>73</v>
      </c>
      <c r="AN304" s="462">
        <v>779</v>
      </c>
      <c r="AO304" s="450">
        <v>-20359.32</v>
      </c>
      <c r="AP304" s="462"/>
      <c r="AQ304" s="450">
        <v>-1.39</v>
      </c>
      <c r="AR304" s="466">
        <v>1</v>
      </c>
    </row>
    <row r="305" spans="1:44" x14ac:dyDescent="0.25">
      <c r="A305" s="460">
        <v>5914</v>
      </c>
      <c r="B305" s="461" t="s">
        <v>70</v>
      </c>
      <c r="C305" s="462">
        <v>515953.88</v>
      </c>
      <c r="D305" s="464">
        <v>65571.210000000006</v>
      </c>
      <c r="E305" s="462"/>
      <c r="F305" s="464">
        <v>2210</v>
      </c>
      <c r="G305" s="462">
        <v>2508.5500000000002</v>
      </c>
      <c r="H305" s="464">
        <v>1173</v>
      </c>
      <c r="I305" s="462"/>
      <c r="J305" s="464">
        <v>28459.040000000001</v>
      </c>
      <c r="K305" s="462">
        <v>2515</v>
      </c>
      <c r="L305" s="464">
        <v>46115.15</v>
      </c>
      <c r="M305" s="479">
        <f t="shared" si="12"/>
        <v>664505.83000000007</v>
      </c>
      <c r="N305" s="462"/>
      <c r="O305" s="464">
        <v>1544.4</v>
      </c>
      <c r="P305" s="462">
        <v>9570</v>
      </c>
      <c r="Q305" s="464"/>
      <c r="R305" s="462">
        <v>3033.35</v>
      </c>
      <c r="S305" s="464"/>
      <c r="T305" s="462">
        <v>1206</v>
      </c>
      <c r="U305" s="464">
        <v>1380</v>
      </c>
      <c r="V305" s="462"/>
      <c r="W305" s="464"/>
      <c r="X305" s="475">
        <f t="shared" si="14"/>
        <v>681239.58000000007</v>
      </c>
      <c r="Y305" s="483">
        <v>18130</v>
      </c>
      <c r="Z305" s="462"/>
      <c r="AA305" s="462">
        <v>74641.75</v>
      </c>
      <c r="AB305" s="462"/>
      <c r="AC305" s="462">
        <v>31424.6</v>
      </c>
      <c r="AD305" s="462"/>
      <c r="AE305" s="462"/>
      <c r="AF305" s="462"/>
      <c r="AG305" s="462"/>
      <c r="AH305" s="462"/>
      <c r="AI305" s="462"/>
      <c r="AJ305" s="462"/>
      <c r="AK305" s="462"/>
      <c r="AL305" s="465">
        <f t="shared" si="13"/>
        <v>124196.35</v>
      </c>
      <c r="AM305" s="489">
        <v>75</v>
      </c>
      <c r="AN305" s="462">
        <v>350</v>
      </c>
      <c r="AO305" s="450">
        <v>-1651.21</v>
      </c>
      <c r="AP305" s="462"/>
      <c r="AQ305" s="450">
        <v>0</v>
      </c>
      <c r="AR305" s="466">
        <v>1</v>
      </c>
    </row>
    <row r="306" spans="1:44" x14ac:dyDescent="0.25">
      <c r="A306" s="460">
        <v>5915</v>
      </c>
      <c r="B306" s="461" t="s">
        <v>71</v>
      </c>
      <c r="C306" s="462">
        <v>222911.66</v>
      </c>
      <c r="D306" s="464">
        <v>30086.49</v>
      </c>
      <c r="E306" s="462"/>
      <c r="F306" s="464"/>
      <c r="G306" s="462">
        <v>5403.4</v>
      </c>
      <c r="H306" s="464">
        <v>32.700000000000003</v>
      </c>
      <c r="I306" s="462"/>
      <c r="J306" s="464">
        <v>9686.25</v>
      </c>
      <c r="K306" s="462"/>
      <c r="L306" s="464">
        <v>19215.25</v>
      </c>
      <c r="M306" s="479">
        <f t="shared" si="12"/>
        <v>287335.75</v>
      </c>
      <c r="N306" s="462"/>
      <c r="O306" s="464"/>
      <c r="P306" s="462">
        <v>126.3</v>
      </c>
      <c r="Q306" s="464"/>
      <c r="R306" s="462"/>
      <c r="S306" s="464"/>
      <c r="T306" s="462"/>
      <c r="U306" s="464">
        <v>2650</v>
      </c>
      <c r="V306" s="462"/>
      <c r="W306" s="464"/>
      <c r="X306" s="475">
        <f t="shared" si="14"/>
        <v>290112.05</v>
      </c>
      <c r="Y306" s="483"/>
      <c r="Z306" s="462"/>
      <c r="AA306" s="462">
        <v>51345</v>
      </c>
      <c r="AB306" s="462"/>
      <c r="AC306" s="462">
        <v>1540</v>
      </c>
      <c r="AD306" s="462"/>
      <c r="AE306" s="462"/>
      <c r="AF306" s="462"/>
      <c r="AG306" s="462"/>
      <c r="AH306" s="462"/>
      <c r="AI306" s="462"/>
      <c r="AJ306" s="462"/>
      <c r="AK306" s="462"/>
      <c r="AL306" s="465">
        <f t="shared" si="13"/>
        <v>52885</v>
      </c>
      <c r="AM306" s="489">
        <v>75</v>
      </c>
      <c r="AN306" s="462">
        <v>170</v>
      </c>
      <c r="AO306" s="450">
        <v>-992.08</v>
      </c>
      <c r="AP306" s="462"/>
      <c r="AQ306" s="450">
        <v>-205.8</v>
      </c>
      <c r="AR306" s="466">
        <v>0.85</v>
      </c>
    </row>
    <row r="307" spans="1:44" x14ac:dyDescent="0.25">
      <c r="A307" s="460">
        <v>5919</v>
      </c>
      <c r="B307" s="461" t="s">
        <v>438</v>
      </c>
      <c r="C307" s="462">
        <v>983443.6</v>
      </c>
      <c r="D307" s="464">
        <v>104406.02</v>
      </c>
      <c r="E307" s="462"/>
      <c r="F307" s="464">
        <v>3220</v>
      </c>
      <c r="G307" s="462">
        <v>54960.9</v>
      </c>
      <c r="H307" s="464">
        <v>252.9</v>
      </c>
      <c r="I307" s="462"/>
      <c r="J307" s="464">
        <v>12202.28</v>
      </c>
      <c r="K307" s="462">
        <v>5221</v>
      </c>
      <c r="L307" s="464">
        <v>106085.2</v>
      </c>
      <c r="M307" s="479">
        <f t="shared" si="12"/>
        <v>1269791.8999999997</v>
      </c>
      <c r="N307" s="462">
        <v>8035.8</v>
      </c>
      <c r="O307" s="464">
        <v>158416</v>
      </c>
      <c r="P307" s="462">
        <v>2389.85</v>
      </c>
      <c r="Q307" s="464">
        <v>8420.07</v>
      </c>
      <c r="R307" s="462">
        <v>5621.2</v>
      </c>
      <c r="S307" s="464"/>
      <c r="T307" s="462">
        <v>1022.25</v>
      </c>
      <c r="U307" s="464">
        <v>3650</v>
      </c>
      <c r="V307" s="462"/>
      <c r="W307" s="464"/>
      <c r="X307" s="475">
        <f t="shared" si="14"/>
        <v>1457347.0699999998</v>
      </c>
      <c r="Y307" s="483">
        <v>25282.3</v>
      </c>
      <c r="Z307" s="462">
        <v>1684.8</v>
      </c>
      <c r="AA307" s="462">
        <v>106195.4</v>
      </c>
      <c r="AB307" s="462"/>
      <c r="AC307" s="462">
        <v>41386.400000000001</v>
      </c>
      <c r="AD307" s="462">
        <v>23091</v>
      </c>
      <c r="AE307" s="462"/>
      <c r="AF307" s="462"/>
      <c r="AG307" s="462"/>
      <c r="AH307" s="462"/>
      <c r="AI307" s="462"/>
      <c r="AJ307" s="462"/>
      <c r="AK307" s="462"/>
      <c r="AL307" s="465">
        <f t="shared" si="13"/>
        <v>197639.9</v>
      </c>
      <c r="AM307" s="489">
        <v>74</v>
      </c>
      <c r="AN307" s="462">
        <v>614</v>
      </c>
      <c r="AO307" s="450">
        <v>-11124.04</v>
      </c>
      <c r="AP307" s="462"/>
      <c r="AQ307" s="450">
        <v>-0.03</v>
      </c>
      <c r="AR307" s="466">
        <v>1.2</v>
      </c>
    </row>
    <row r="308" spans="1:44" x14ac:dyDescent="0.25">
      <c r="A308" s="460">
        <v>5921</v>
      </c>
      <c r="B308" s="461" t="s">
        <v>439</v>
      </c>
      <c r="C308" s="462">
        <v>332629.49</v>
      </c>
      <c r="D308" s="464">
        <v>41899.68</v>
      </c>
      <c r="E308" s="462"/>
      <c r="F308" s="464">
        <v>1400</v>
      </c>
      <c r="G308" s="462">
        <v>29254</v>
      </c>
      <c r="H308" s="464">
        <v>239.6</v>
      </c>
      <c r="I308" s="462"/>
      <c r="J308" s="464">
        <v>21209.52</v>
      </c>
      <c r="K308" s="462"/>
      <c r="L308" s="464">
        <v>27508.85</v>
      </c>
      <c r="M308" s="479">
        <f t="shared" si="12"/>
        <v>454141.13999999996</v>
      </c>
      <c r="N308" s="462">
        <v>3758.5</v>
      </c>
      <c r="O308" s="464">
        <v>919.3</v>
      </c>
      <c r="P308" s="462">
        <v>13284.7</v>
      </c>
      <c r="Q308" s="464"/>
      <c r="R308" s="462">
        <v>18705.349999999999</v>
      </c>
      <c r="S308" s="464"/>
      <c r="T308" s="462">
        <v>530</v>
      </c>
      <c r="U308" s="464">
        <v>1552.5</v>
      </c>
      <c r="V308" s="462">
        <v>430</v>
      </c>
      <c r="W308" s="464"/>
      <c r="X308" s="475">
        <f t="shared" si="14"/>
        <v>493321.48999999993</v>
      </c>
      <c r="Y308" s="483">
        <v>11440</v>
      </c>
      <c r="Z308" s="462"/>
      <c r="AA308" s="462">
        <v>37635</v>
      </c>
      <c r="AB308" s="462"/>
      <c r="AC308" s="462">
        <v>8840</v>
      </c>
      <c r="AD308" s="462">
        <v>9360</v>
      </c>
      <c r="AE308" s="462"/>
      <c r="AF308" s="462"/>
      <c r="AG308" s="462"/>
      <c r="AH308" s="462"/>
      <c r="AI308" s="462"/>
      <c r="AJ308" s="462"/>
      <c r="AK308" s="462"/>
      <c r="AL308" s="465">
        <f t="shared" si="13"/>
        <v>67275</v>
      </c>
      <c r="AM308" s="489">
        <v>81</v>
      </c>
      <c r="AN308" s="462">
        <v>218</v>
      </c>
      <c r="AO308" s="450">
        <v>-7176.33</v>
      </c>
      <c r="AP308" s="462"/>
      <c r="AQ308" s="450">
        <v>0</v>
      </c>
      <c r="AR308" s="466">
        <v>1</v>
      </c>
    </row>
    <row r="309" spans="1:44" x14ac:dyDescent="0.25">
      <c r="A309" s="460">
        <v>5922</v>
      </c>
      <c r="B309" s="461" t="s">
        <v>312</v>
      </c>
      <c r="C309" s="462">
        <v>1247784</v>
      </c>
      <c r="D309" s="464">
        <v>165503.34</v>
      </c>
      <c r="E309" s="462"/>
      <c r="F309" s="464"/>
      <c r="G309" s="462">
        <v>932225.5</v>
      </c>
      <c r="H309" s="464">
        <v>5355.15</v>
      </c>
      <c r="I309" s="462"/>
      <c r="J309" s="464">
        <v>49341.279999999999</v>
      </c>
      <c r="K309" s="462">
        <v>57373.5</v>
      </c>
      <c r="L309" s="464">
        <v>238360</v>
      </c>
      <c r="M309" s="479">
        <f t="shared" si="12"/>
        <v>2695942.7699999996</v>
      </c>
      <c r="N309" s="462">
        <v>123327.5</v>
      </c>
      <c r="O309" s="464">
        <v>2671.5</v>
      </c>
      <c r="P309" s="462">
        <v>26071.75</v>
      </c>
      <c r="Q309" s="464">
        <v>1932.76</v>
      </c>
      <c r="R309" s="462">
        <v>26747.15</v>
      </c>
      <c r="S309" s="464">
        <v>4700</v>
      </c>
      <c r="T309" s="462">
        <v>80597.7</v>
      </c>
      <c r="U309" s="464">
        <v>1640</v>
      </c>
      <c r="V309" s="462">
        <v>117</v>
      </c>
      <c r="W309" s="464"/>
      <c r="X309" s="475">
        <f t="shared" si="14"/>
        <v>2963748.1299999994</v>
      </c>
      <c r="Y309" s="483">
        <v>14182.4</v>
      </c>
      <c r="Z309" s="462"/>
      <c r="AA309" s="462">
        <v>112503.05</v>
      </c>
      <c r="AB309" s="462"/>
      <c r="AC309" s="462">
        <v>114289.55</v>
      </c>
      <c r="AD309" s="462">
        <v>11552.8</v>
      </c>
      <c r="AE309" s="462"/>
      <c r="AF309" s="462"/>
      <c r="AG309" s="462">
        <v>4058.65</v>
      </c>
      <c r="AH309" s="462">
        <v>94262.2</v>
      </c>
      <c r="AI309" s="462"/>
      <c r="AJ309" s="462"/>
      <c r="AK309" s="462"/>
      <c r="AL309" s="465">
        <f t="shared" si="13"/>
        <v>350848.64999999997</v>
      </c>
      <c r="AM309" s="489">
        <v>61</v>
      </c>
      <c r="AN309" s="462">
        <v>733</v>
      </c>
      <c r="AO309" s="450">
        <v>-10664.16</v>
      </c>
      <c r="AP309" s="462"/>
      <c r="AQ309" s="450">
        <v>-66.33</v>
      </c>
      <c r="AR309" s="466">
        <v>0.8</v>
      </c>
    </row>
    <row r="310" spans="1:44" x14ac:dyDescent="0.25">
      <c r="A310" s="460">
        <v>5923</v>
      </c>
      <c r="B310" s="461" t="s">
        <v>313</v>
      </c>
      <c r="C310" s="462">
        <v>304786.15999999997</v>
      </c>
      <c r="D310" s="464">
        <v>34205.18</v>
      </c>
      <c r="E310" s="462"/>
      <c r="F310" s="464"/>
      <c r="G310" s="462">
        <v>9064.4500000000007</v>
      </c>
      <c r="H310" s="464">
        <v>508.65</v>
      </c>
      <c r="I310" s="462"/>
      <c r="J310" s="464">
        <v>23528.79</v>
      </c>
      <c r="K310" s="462"/>
      <c r="L310" s="487">
        <v>22675.4</v>
      </c>
      <c r="M310" s="479">
        <f t="shared" si="12"/>
        <v>394768.63</v>
      </c>
      <c r="N310" s="462">
        <v>15625.95</v>
      </c>
      <c r="O310" s="464"/>
      <c r="P310" s="462">
        <v>35147.75</v>
      </c>
      <c r="Q310" s="464">
        <v>1173.58</v>
      </c>
      <c r="R310" s="462">
        <v>17530.849999999999</v>
      </c>
      <c r="S310" s="464"/>
      <c r="T310" s="462"/>
      <c r="U310" s="464">
        <v>1687.5</v>
      </c>
      <c r="V310" s="462"/>
      <c r="W310" s="464"/>
      <c r="X310" s="475">
        <f t="shared" si="14"/>
        <v>465934.26</v>
      </c>
      <c r="Y310" s="483">
        <v>11200</v>
      </c>
      <c r="Z310" s="462"/>
      <c r="AA310" s="462">
        <v>45737.25</v>
      </c>
      <c r="AB310" s="462"/>
      <c r="AC310" s="462">
        <v>17686</v>
      </c>
      <c r="AD310" s="462">
        <v>2841.4</v>
      </c>
      <c r="AE310" s="462"/>
      <c r="AF310" s="462"/>
      <c r="AG310" s="462"/>
      <c r="AH310" s="462"/>
      <c r="AI310" s="462"/>
      <c r="AJ310" s="462"/>
      <c r="AK310" s="462"/>
      <c r="AL310" s="465">
        <f t="shared" si="13"/>
        <v>77464.649999999994</v>
      </c>
      <c r="AM310" s="489">
        <v>81</v>
      </c>
      <c r="AN310" s="462">
        <v>182</v>
      </c>
      <c r="AO310" s="450">
        <v>-579.42999999999995</v>
      </c>
      <c r="AP310" s="462"/>
      <c r="AQ310" s="450">
        <v>0</v>
      </c>
      <c r="AR310" s="466">
        <v>1</v>
      </c>
    </row>
    <row r="311" spans="1:44" x14ac:dyDescent="0.25">
      <c r="A311" s="460">
        <v>5924</v>
      </c>
      <c r="B311" s="461" t="s">
        <v>314</v>
      </c>
      <c r="C311" s="462">
        <v>594459.74</v>
      </c>
      <c r="D311" s="464">
        <v>55494.36</v>
      </c>
      <c r="E311" s="462"/>
      <c r="F311" s="464"/>
      <c r="G311" s="462">
        <v>15006.2</v>
      </c>
      <c r="H311" s="464">
        <v>-95.65</v>
      </c>
      <c r="I311" s="462"/>
      <c r="J311" s="464">
        <v>-217.8</v>
      </c>
      <c r="K311" s="462"/>
      <c r="L311" s="487">
        <v>42154.3</v>
      </c>
      <c r="M311" s="479">
        <f t="shared" si="12"/>
        <v>706801.14999999991</v>
      </c>
      <c r="N311" s="462">
        <v>16170.65</v>
      </c>
      <c r="O311" s="464"/>
      <c r="P311" s="462">
        <v>21670</v>
      </c>
      <c r="Q311" s="464">
        <v>3135.23</v>
      </c>
      <c r="R311" s="462">
        <v>6810.1</v>
      </c>
      <c r="S311" s="464"/>
      <c r="T311" s="462">
        <v>850</v>
      </c>
      <c r="U311" s="464">
        <v>2600</v>
      </c>
      <c r="V311" s="462"/>
      <c r="W311" s="464"/>
      <c r="X311" s="475">
        <f t="shared" si="14"/>
        <v>758037.12999999989</v>
      </c>
      <c r="Y311" s="483">
        <v>13896</v>
      </c>
      <c r="Z311" s="462">
        <v>6948</v>
      </c>
      <c r="AA311" s="462">
        <v>21170</v>
      </c>
      <c r="AB311" s="462"/>
      <c r="AC311" s="462">
        <v>13053</v>
      </c>
      <c r="AD311" s="462">
        <v>10422</v>
      </c>
      <c r="AE311" s="462"/>
      <c r="AF311" s="462"/>
      <c r="AG311" s="462">
        <v>4296</v>
      </c>
      <c r="AH311" s="462"/>
      <c r="AI311" s="462"/>
      <c r="AJ311" s="462"/>
      <c r="AK311" s="462"/>
      <c r="AL311" s="465">
        <f t="shared" si="13"/>
        <v>69785</v>
      </c>
      <c r="AM311" s="489">
        <v>74</v>
      </c>
      <c r="AN311" s="462">
        <v>292</v>
      </c>
      <c r="AO311" s="450">
        <v>-8644.2999999999993</v>
      </c>
      <c r="AP311" s="462"/>
      <c r="AQ311" s="450">
        <v>-34.9</v>
      </c>
      <c r="AR311" s="466">
        <v>1</v>
      </c>
    </row>
    <row r="312" spans="1:44" x14ac:dyDescent="0.25">
      <c r="A312" s="460">
        <v>5925</v>
      </c>
      <c r="B312" s="461" t="s">
        <v>443</v>
      </c>
      <c r="C312" s="462">
        <v>312567.61</v>
      </c>
      <c r="D312" s="464">
        <v>36765.21</v>
      </c>
      <c r="E312" s="462"/>
      <c r="F312" s="464">
        <v>1290</v>
      </c>
      <c r="G312" s="462">
        <v>4128.75</v>
      </c>
      <c r="H312" s="464">
        <v>13.2</v>
      </c>
      <c r="I312" s="462"/>
      <c r="J312" s="464">
        <v>6900.78</v>
      </c>
      <c r="K312" s="462"/>
      <c r="L312" s="464">
        <v>27296.7</v>
      </c>
      <c r="M312" s="479">
        <f t="shared" si="12"/>
        <v>388962.25000000006</v>
      </c>
      <c r="N312" s="462">
        <v>13995.35</v>
      </c>
      <c r="O312" s="464">
        <v>15741</v>
      </c>
      <c r="P312" s="462"/>
      <c r="Q312" s="464"/>
      <c r="R312" s="462"/>
      <c r="S312" s="464"/>
      <c r="T312" s="462">
        <v>420</v>
      </c>
      <c r="U312" s="464">
        <v>2040</v>
      </c>
      <c r="V312" s="462"/>
      <c r="W312" s="464"/>
      <c r="X312" s="475">
        <f t="shared" si="14"/>
        <v>421158.60000000003</v>
      </c>
      <c r="Y312" s="483">
        <v>-2800</v>
      </c>
      <c r="Z312" s="462"/>
      <c r="AA312" s="462">
        <v>37378</v>
      </c>
      <c r="AB312" s="462"/>
      <c r="AC312" s="462">
        <v>14005.6</v>
      </c>
      <c r="AD312" s="462">
        <v>-572.54999999999995</v>
      </c>
      <c r="AE312" s="462"/>
      <c r="AF312" s="462"/>
      <c r="AG312" s="462"/>
      <c r="AH312" s="462"/>
      <c r="AI312" s="462"/>
      <c r="AJ312" s="462"/>
      <c r="AK312" s="462"/>
      <c r="AL312" s="465">
        <f t="shared" si="13"/>
        <v>48011.049999999996</v>
      </c>
      <c r="AM312" s="489">
        <v>79</v>
      </c>
      <c r="AN312" s="462">
        <v>200</v>
      </c>
      <c r="AO312" s="450">
        <v>-3802.28</v>
      </c>
      <c r="AP312" s="462"/>
      <c r="AQ312" s="450">
        <v>0</v>
      </c>
      <c r="AR312" s="466">
        <v>1</v>
      </c>
    </row>
    <row r="313" spans="1:44" x14ac:dyDescent="0.25">
      <c r="A313" s="460">
        <v>5926</v>
      </c>
      <c r="B313" s="461" t="s">
        <v>444</v>
      </c>
      <c r="C313" s="462">
        <v>1191530.08</v>
      </c>
      <c r="D313" s="464">
        <v>200680.38</v>
      </c>
      <c r="E313" s="462"/>
      <c r="F313" s="464"/>
      <c r="G313" s="462">
        <v>105414</v>
      </c>
      <c r="H313" s="464">
        <v>446.8</v>
      </c>
      <c r="I313" s="462"/>
      <c r="J313" s="464">
        <v>15717.2</v>
      </c>
      <c r="K313" s="462"/>
      <c r="L313" s="464">
        <v>110280.55</v>
      </c>
      <c r="M313" s="479">
        <f t="shared" si="12"/>
        <v>1624069.01</v>
      </c>
      <c r="N313" s="462">
        <v>4602.2</v>
      </c>
      <c r="O313" s="464">
        <v>15067</v>
      </c>
      <c r="P313" s="462">
        <v>99107.05</v>
      </c>
      <c r="Q313" s="464"/>
      <c r="R313" s="462">
        <v>26745.15</v>
      </c>
      <c r="S313" s="464"/>
      <c r="T313" s="462">
        <v>660</v>
      </c>
      <c r="U313" s="464">
        <v>3950</v>
      </c>
      <c r="V313" s="462"/>
      <c r="W313" s="464"/>
      <c r="X313" s="475">
        <f t="shared" si="14"/>
        <v>1774200.41</v>
      </c>
      <c r="Y313" s="483">
        <v>4455</v>
      </c>
      <c r="Z313" s="462"/>
      <c r="AA313" s="462">
        <v>49390.75</v>
      </c>
      <c r="AB313" s="462"/>
      <c r="AC313" s="462">
        <v>26540.65</v>
      </c>
      <c r="AD313" s="462">
        <v>4055</v>
      </c>
      <c r="AE313" s="462">
        <v>5394.8</v>
      </c>
      <c r="AF313" s="462"/>
      <c r="AG313" s="462"/>
      <c r="AH313" s="462"/>
      <c r="AI313" s="462"/>
      <c r="AJ313" s="462"/>
      <c r="AK313" s="462"/>
      <c r="AL313" s="465">
        <f t="shared" si="13"/>
        <v>89836.2</v>
      </c>
      <c r="AM313" s="489">
        <v>71</v>
      </c>
      <c r="AN313" s="462">
        <v>760</v>
      </c>
      <c r="AO313" s="450">
        <v>-7070.92</v>
      </c>
      <c r="AP313" s="462"/>
      <c r="AQ313" s="450">
        <v>-13.8</v>
      </c>
      <c r="AR313" s="466">
        <v>1</v>
      </c>
    </row>
    <row r="314" spans="1:44" x14ac:dyDescent="0.25">
      <c r="A314" s="460">
        <v>5928</v>
      </c>
      <c r="B314" s="461" t="s">
        <v>445</v>
      </c>
      <c r="C314" s="462">
        <v>256801.73</v>
      </c>
      <c r="D314" s="464">
        <v>38649.53</v>
      </c>
      <c r="E314" s="462"/>
      <c r="F314" s="464"/>
      <c r="G314" s="462">
        <v>2134.6</v>
      </c>
      <c r="H314" s="464">
        <v>10.55</v>
      </c>
      <c r="I314" s="462"/>
      <c r="J314" s="464">
        <v>12374.53</v>
      </c>
      <c r="K314" s="462"/>
      <c r="L314" s="464">
        <v>19556.8</v>
      </c>
      <c r="M314" s="479">
        <f t="shared" si="12"/>
        <v>329527.74</v>
      </c>
      <c r="N314" s="462">
        <v>874</v>
      </c>
      <c r="O314" s="464"/>
      <c r="P314" s="462">
        <v>11150.35</v>
      </c>
      <c r="Q314" s="464"/>
      <c r="R314" s="462">
        <v>7029.15</v>
      </c>
      <c r="S314" s="464"/>
      <c r="T314" s="462"/>
      <c r="U314" s="464">
        <v>1560</v>
      </c>
      <c r="V314" s="462"/>
      <c r="W314" s="464"/>
      <c r="X314" s="475">
        <f t="shared" si="14"/>
        <v>350141.24</v>
      </c>
      <c r="Y314" s="483">
        <v>7000</v>
      </c>
      <c r="Z314" s="462"/>
      <c r="AA314" s="462">
        <v>31091.85</v>
      </c>
      <c r="AB314" s="462"/>
      <c r="AC314" s="462">
        <v>8156.25</v>
      </c>
      <c r="AD314" s="462">
        <v>1250</v>
      </c>
      <c r="AE314" s="462"/>
      <c r="AF314" s="462"/>
      <c r="AG314" s="462"/>
      <c r="AH314" s="462"/>
      <c r="AI314" s="462"/>
      <c r="AJ314" s="462"/>
      <c r="AK314" s="462"/>
      <c r="AL314" s="465">
        <f t="shared" si="13"/>
        <v>47498.1</v>
      </c>
      <c r="AM314" s="489">
        <v>73</v>
      </c>
      <c r="AN314" s="462">
        <v>172</v>
      </c>
      <c r="AO314" s="450">
        <v>-4551.58</v>
      </c>
      <c r="AP314" s="462"/>
      <c r="AQ314" s="450">
        <v>0</v>
      </c>
      <c r="AR314" s="466">
        <v>1</v>
      </c>
    </row>
    <row r="315" spans="1:44" x14ac:dyDescent="0.25">
      <c r="A315" s="460">
        <v>5929</v>
      </c>
      <c r="B315" s="461" t="s">
        <v>446</v>
      </c>
      <c r="C315" s="462">
        <v>919632.4</v>
      </c>
      <c r="D315" s="464">
        <v>96640.71</v>
      </c>
      <c r="E315" s="462"/>
      <c r="F315" s="464"/>
      <c r="G315" s="462">
        <v>24159.8</v>
      </c>
      <c r="H315" s="464">
        <v>451.85</v>
      </c>
      <c r="I315" s="462">
        <v>41100.15</v>
      </c>
      <c r="J315" s="464">
        <v>1015.35</v>
      </c>
      <c r="K315" s="462"/>
      <c r="L315" s="464">
        <v>72317.2</v>
      </c>
      <c r="M315" s="479">
        <f t="shared" si="12"/>
        <v>1155317.46</v>
      </c>
      <c r="N315" s="462">
        <v>6677.95</v>
      </c>
      <c r="O315" s="464"/>
      <c r="P315" s="462">
        <v>37206.550000000003</v>
      </c>
      <c r="Q315" s="464"/>
      <c r="R315" s="462">
        <v>15421.15</v>
      </c>
      <c r="S315" s="464"/>
      <c r="T315" s="462">
        <v>288.05</v>
      </c>
      <c r="U315" s="464">
        <v>1920</v>
      </c>
      <c r="V315" s="462"/>
      <c r="W315" s="464"/>
      <c r="X315" s="475">
        <f t="shared" si="14"/>
        <v>1216831.1599999999</v>
      </c>
      <c r="Y315" s="483">
        <v>27343.4</v>
      </c>
      <c r="Z315" s="462"/>
      <c r="AA315" s="462">
        <v>193064.35</v>
      </c>
      <c r="AB315" s="462"/>
      <c r="AC315" s="462">
        <v>41128.300000000003</v>
      </c>
      <c r="AD315" s="462"/>
      <c r="AE315" s="462"/>
      <c r="AF315" s="462"/>
      <c r="AG315" s="462"/>
      <c r="AH315" s="462">
        <v>11692.35</v>
      </c>
      <c r="AI315" s="462"/>
      <c r="AJ315" s="462"/>
      <c r="AK315" s="462"/>
      <c r="AL315" s="465">
        <f t="shared" si="13"/>
        <v>273228.39999999997</v>
      </c>
      <c r="AM315" s="489">
        <v>70</v>
      </c>
      <c r="AN315" s="462">
        <v>606</v>
      </c>
      <c r="AO315" s="450">
        <v>-12528.07</v>
      </c>
      <c r="AP315" s="462"/>
      <c r="AQ315" s="450">
        <v>-3.5</v>
      </c>
      <c r="AR315" s="466">
        <v>0.8</v>
      </c>
    </row>
    <row r="316" spans="1:44" x14ac:dyDescent="0.25">
      <c r="A316" s="460">
        <v>5930</v>
      </c>
      <c r="B316" s="461" t="s">
        <v>447</v>
      </c>
      <c r="C316" s="462">
        <v>264787.03000000003</v>
      </c>
      <c r="D316" s="464">
        <v>27356.99</v>
      </c>
      <c r="E316" s="462"/>
      <c r="F316" s="464"/>
      <c r="G316" s="462">
        <v>489.35</v>
      </c>
      <c r="H316" s="464">
        <v>38.5</v>
      </c>
      <c r="I316" s="462"/>
      <c r="J316" s="464">
        <v>3131.21</v>
      </c>
      <c r="K316" s="462">
        <v>400</v>
      </c>
      <c r="L316" s="464">
        <v>26360.6</v>
      </c>
      <c r="M316" s="479">
        <f t="shared" si="12"/>
        <v>322563.68</v>
      </c>
      <c r="N316" s="462">
        <v>4424.6000000000004</v>
      </c>
      <c r="O316" s="464"/>
      <c r="P316" s="462">
        <v>2679.65</v>
      </c>
      <c r="Q316" s="464">
        <v>18.2</v>
      </c>
      <c r="R316" s="462">
        <v>20604.849999999999</v>
      </c>
      <c r="S316" s="464"/>
      <c r="T316" s="462">
        <v>50</v>
      </c>
      <c r="U316" s="464">
        <v>400</v>
      </c>
      <c r="V316" s="462"/>
      <c r="W316" s="464"/>
      <c r="X316" s="475">
        <f t="shared" si="14"/>
        <v>350740.98</v>
      </c>
      <c r="Y316" s="483">
        <v>23250</v>
      </c>
      <c r="Z316" s="462"/>
      <c r="AA316" s="462">
        <v>17383.349999999999</v>
      </c>
      <c r="AB316" s="462"/>
      <c r="AC316" s="462">
        <v>7781.55</v>
      </c>
      <c r="AD316" s="462">
        <v>28000</v>
      </c>
      <c r="AE316" s="462"/>
      <c r="AF316" s="462"/>
      <c r="AG316" s="462"/>
      <c r="AH316" s="462"/>
      <c r="AI316" s="462"/>
      <c r="AJ316" s="462"/>
      <c r="AK316" s="462"/>
      <c r="AL316" s="465">
        <f t="shared" si="13"/>
        <v>76414.899999999994</v>
      </c>
      <c r="AM316" s="489">
        <v>66</v>
      </c>
      <c r="AN316" s="462">
        <v>202</v>
      </c>
      <c r="AO316" s="450">
        <v>-71.37</v>
      </c>
      <c r="AP316" s="462"/>
      <c r="AQ316" s="450">
        <v>0</v>
      </c>
      <c r="AR316" s="466">
        <v>1</v>
      </c>
    </row>
    <row r="317" spans="1:44" x14ac:dyDescent="0.25">
      <c r="A317" s="460">
        <v>5931</v>
      </c>
      <c r="B317" s="461" t="s">
        <v>448</v>
      </c>
      <c r="C317" s="462">
        <v>1049832.96</v>
      </c>
      <c r="D317" s="464">
        <v>94016.52</v>
      </c>
      <c r="E317" s="462"/>
      <c r="F317" s="464"/>
      <c r="G317" s="462">
        <v>34621.85</v>
      </c>
      <c r="H317" s="464">
        <v>589.15</v>
      </c>
      <c r="I317" s="462"/>
      <c r="J317" s="464">
        <v>11607.99</v>
      </c>
      <c r="K317" s="462">
        <v>1554.5</v>
      </c>
      <c r="L317" s="464">
        <v>70650.399999999994</v>
      </c>
      <c r="M317" s="479">
        <f t="shared" si="12"/>
        <v>1262873.3699999999</v>
      </c>
      <c r="N317" s="462">
        <v>6410.6</v>
      </c>
      <c r="O317" s="464"/>
      <c r="P317" s="462">
        <v>13145</v>
      </c>
      <c r="Q317" s="464">
        <v>2890.31</v>
      </c>
      <c r="R317" s="462">
        <v>10933.55</v>
      </c>
      <c r="S317" s="464"/>
      <c r="T317" s="462">
        <v>300</v>
      </c>
      <c r="U317" s="464">
        <v>3850</v>
      </c>
      <c r="V317" s="462"/>
      <c r="W317" s="464"/>
      <c r="X317" s="475">
        <f t="shared" si="14"/>
        <v>1300402.83</v>
      </c>
      <c r="Y317" s="483"/>
      <c r="Z317" s="462"/>
      <c r="AA317" s="462">
        <v>39354.25</v>
      </c>
      <c r="AB317" s="462"/>
      <c r="AC317" s="462">
        <v>30629.15</v>
      </c>
      <c r="AD317" s="462"/>
      <c r="AE317" s="462">
        <v>1200</v>
      </c>
      <c r="AF317" s="462"/>
      <c r="AG317" s="462"/>
      <c r="AH317" s="462">
        <v>11076.6</v>
      </c>
      <c r="AI317" s="462"/>
      <c r="AJ317" s="462"/>
      <c r="AK317" s="462"/>
      <c r="AL317" s="465">
        <f t="shared" si="13"/>
        <v>82260</v>
      </c>
      <c r="AM317" s="489">
        <v>77</v>
      </c>
      <c r="AN317" s="462">
        <v>446</v>
      </c>
      <c r="AO317" s="450">
        <v>-5367.81</v>
      </c>
      <c r="AP317" s="462"/>
      <c r="AQ317" s="450">
        <v>-0.26</v>
      </c>
      <c r="AR317" s="466">
        <v>1</v>
      </c>
    </row>
    <row r="318" spans="1:44" x14ac:dyDescent="0.25">
      <c r="A318" s="460">
        <v>5932</v>
      </c>
      <c r="B318" s="461" t="s">
        <v>315</v>
      </c>
      <c r="C318" s="462">
        <v>410685.98</v>
      </c>
      <c r="D318" s="464">
        <v>27320.799999999999</v>
      </c>
      <c r="E318" s="462"/>
      <c r="F318" s="464">
        <v>1210</v>
      </c>
      <c r="G318" s="462">
        <v>1728.7</v>
      </c>
      <c r="H318" s="464">
        <v>40.549999999999997</v>
      </c>
      <c r="I318" s="462">
        <v>27678.7</v>
      </c>
      <c r="J318" s="464">
        <v>4517.66</v>
      </c>
      <c r="K318" s="462">
        <v>50</v>
      </c>
      <c r="L318" s="464">
        <v>28895.7</v>
      </c>
      <c r="M318" s="479">
        <f t="shared" si="12"/>
        <v>502128.08999999997</v>
      </c>
      <c r="N318" s="462"/>
      <c r="O318" s="464">
        <v>14725.4</v>
      </c>
      <c r="P318" s="462">
        <v>1650</v>
      </c>
      <c r="Q318" s="464"/>
      <c r="R318" s="462">
        <v>910</v>
      </c>
      <c r="S318" s="464"/>
      <c r="T318" s="462">
        <v>470</v>
      </c>
      <c r="U318" s="464">
        <v>1800</v>
      </c>
      <c r="V318" s="462"/>
      <c r="W318" s="464"/>
      <c r="X318" s="475">
        <f t="shared" si="14"/>
        <v>521683.49</v>
      </c>
      <c r="Y318" s="483">
        <v>-2875</v>
      </c>
      <c r="Z318" s="462"/>
      <c r="AA318" s="462">
        <v>13473.35</v>
      </c>
      <c r="AB318" s="462"/>
      <c r="AC318" s="462">
        <v>8845.85</v>
      </c>
      <c r="AD318" s="462">
        <v>-4435</v>
      </c>
      <c r="AE318" s="462"/>
      <c r="AF318" s="462"/>
      <c r="AG318" s="462"/>
      <c r="AH318" s="462"/>
      <c r="AI318" s="462"/>
      <c r="AJ318" s="462"/>
      <c r="AK318" s="462"/>
      <c r="AL318" s="465">
        <f t="shared" si="13"/>
        <v>15009.2</v>
      </c>
      <c r="AM318" s="489">
        <v>78</v>
      </c>
      <c r="AN318" s="462">
        <v>210</v>
      </c>
      <c r="AO318" s="450">
        <v>-5555.46</v>
      </c>
      <c r="AP318" s="462"/>
      <c r="AQ318" s="450">
        <v>-3.27</v>
      </c>
      <c r="AR318" s="466">
        <v>1</v>
      </c>
    </row>
    <row r="319" spans="1:44" x14ac:dyDescent="0.25">
      <c r="A319" s="460">
        <v>5933</v>
      </c>
      <c r="B319" s="461" t="s">
        <v>441</v>
      </c>
      <c r="C319" s="462">
        <v>1179738.0900000001</v>
      </c>
      <c r="D319" s="464">
        <v>118033.09</v>
      </c>
      <c r="E319" s="462"/>
      <c r="F319" s="464"/>
      <c r="G319" s="462">
        <v>32847.35</v>
      </c>
      <c r="H319" s="464">
        <v>101.7</v>
      </c>
      <c r="I319" s="462"/>
      <c r="J319" s="464">
        <v>15676.42</v>
      </c>
      <c r="K319" s="462">
        <v>2244</v>
      </c>
      <c r="L319" s="464">
        <v>99655.15</v>
      </c>
      <c r="M319" s="479">
        <f t="shared" si="12"/>
        <v>1448295.8</v>
      </c>
      <c r="N319" s="462">
        <v>9172.25</v>
      </c>
      <c r="O319" s="464">
        <v>2933.4</v>
      </c>
      <c r="P319" s="462">
        <v>67056</v>
      </c>
      <c r="Q319" s="464"/>
      <c r="R319" s="462">
        <v>18471.900000000001</v>
      </c>
      <c r="S319" s="464">
        <v>125</v>
      </c>
      <c r="T319" s="462">
        <v>400</v>
      </c>
      <c r="U319" s="464">
        <v>2920</v>
      </c>
      <c r="V319" s="462"/>
      <c r="W319" s="464"/>
      <c r="X319" s="475">
        <f t="shared" si="14"/>
        <v>1549374.3499999999</v>
      </c>
      <c r="Y319" s="483">
        <v>8496</v>
      </c>
      <c r="Z319" s="462"/>
      <c r="AA319" s="462">
        <v>73706</v>
      </c>
      <c r="AB319" s="462"/>
      <c r="AC319" s="462">
        <v>30847.75</v>
      </c>
      <c r="AD319" s="462"/>
      <c r="AE319" s="462"/>
      <c r="AF319" s="462"/>
      <c r="AG319" s="462"/>
      <c r="AH319" s="462"/>
      <c r="AI319" s="462"/>
      <c r="AJ319" s="462"/>
      <c r="AK319" s="462"/>
      <c r="AL319" s="465">
        <f t="shared" si="13"/>
        <v>113049.75</v>
      </c>
      <c r="AM319" s="489">
        <v>72</v>
      </c>
      <c r="AN319" s="462">
        <v>689</v>
      </c>
      <c r="AO319" s="450">
        <v>-29572.11</v>
      </c>
      <c r="AP319" s="462">
        <v>-9067.9</v>
      </c>
      <c r="AQ319" s="450">
        <v>-6.48</v>
      </c>
      <c r="AR319" s="466">
        <v>1</v>
      </c>
    </row>
    <row r="320" spans="1:44" x14ac:dyDescent="0.25">
      <c r="A320" s="460">
        <v>5934</v>
      </c>
      <c r="B320" s="461" t="s">
        <v>442</v>
      </c>
      <c r="C320" s="462">
        <v>466882.45</v>
      </c>
      <c r="D320" s="464">
        <v>37027.449999999997</v>
      </c>
      <c r="E320" s="462"/>
      <c r="F320" s="464">
        <v>1330</v>
      </c>
      <c r="G320" s="462">
        <v>3727.95</v>
      </c>
      <c r="H320" s="464">
        <v>23.7</v>
      </c>
      <c r="I320" s="462"/>
      <c r="J320" s="464">
        <v>12040.82</v>
      </c>
      <c r="K320" s="462">
        <v>-1330</v>
      </c>
      <c r="L320" s="464">
        <v>26377.9</v>
      </c>
      <c r="M320" s="479">
        <f t="shared" si="12"/>
        <v>546080.27</v>
      </c>
      <c r="N320" s="462">
        <v>9880.4</v>
      </c>
      <c r="O320" s="464">
        <v>3861.9</v>
      </c>
      <c r="P320" s="462">
        <v>20350</v>
      </c>
      <c r="Q320" s="464">
        <v>6545.86</v>
      </c>
      <c r="R320" s="462">
        <v>5984.8</v>
      </c>
      <c r="S320" s="464"/>
      <c r="T320" s="462"/>
      <c r="U320" s="464">
        <v>1035</v>
      </c>
      <c r="V320" s="462"/>
      <c r="W320" s="464"/>
      <c r="X320" s="475">
        <f t="shared" si="14"/>
        <v>593738.2300000001</v>
      </c>
      <c r="Y320" s="483">
        <v>-5000</v>
      </c>
      <c r="Z320" s="462"/>
      <c r="AA320" s="462">
        <v>28300</v>
      </c>
      <c r="AB320" s="462"/>
      <c r="AC320" s="462">
        <v>11077</v>
      </c>
      <c r="AD320" s="462">
        <v>-2526.1999999999998</v>
      </c>
      <c r="AE320" s="462"/>
      <c r="AF320" s="462"/>
      <c r="AG320" s="462"/>
      <c r="AH320" s="462"/>
      <c r="AI320" s="462"/>
      <c r="AJ320" s="462"/>
      <c r="AK320" s="462"/>
      <c r="AL320" s="465">
        <f t="shared" si="13"/>
        <v>31850.799999999999</v>
      </c>
      <c r="AM320" s="489">
        <v>79</v>
      </c>
      <c r="AN320" s="462">
        <v>247</v>
      </c>
      <c r="AO320" s="450">
        <v>-10996.42</v>
      </c>
      <c r="AP320" s="462"/>
      <c r="AQ320" s="450">
        <v>0</v>
      </c>
      <c r="AR320" s="466">
        <v>1</v>
      </c>
    </row>
    <row r="321" spans="1:44" x14ac:dyDescent="0.25">
      <c r="A321" s="460">
        <v>5935</v>
      </c>
      <c r="B321" s="461" t="s">
        <v>342</v>
      </c>
      <c r="C321" s="462">
        <v>221238.1</v>
      </c>
      <c r="D321" s="464">
        <v>14587.41</v>
      </c>
      <c r="E321" s="462"/>
      <c r="F321" s="464"/>
      <c r="G321" s="462">
        <v>1554.75</v>
      </c>
      <c r="H321" s="464">
        <v>68.349999999999994</v>
      </c>
      <c r="I321" s="462"/>
      <c r="J321" s="464">
        <v>362.91</v>
      </c>
      <c r="K321" s="462"/>
      <c r="L321" s="464">
        <v>17508.95</v>
      </c>
      <c r="M321" s="479">
        <f t="shared" si="12"/>
        <v>255320.47000000003</v>
      </c>
      <c r="N321" s="462"/>
      <c r="O321" s="464"/>
      <c r="P321" s="462">
        <v>17646.75</v>
      </c>
      <c r="Q321" s="464"/>
      <c r="R321" s="462">
        <v>2477.3000000000002</v>
      </c>
      <c r="S321" s="464"/>
      <c r="T321" s="462"/>
      <c r="U321" s="464">
        <v>140</v>
      </c>
      <c r="V321" s="462"/>
      <c r="W321" s="464"/>
      <c r="X321" s="475">
        <f t="shared" si="14"/>
        <v>275584.52</v>
      </c>
      <c r="Y321" s="483"/>
      <c r="Z321" s="462"/>
      <c r="AA321" s="462">
        <v>5742</v>
      </c>
      <c r="AB321" s="462"/>
      <c r="AC321" s="462">
        <v>5815.2</v>
      </c>
      <c r="AD321" s="462"/>
      <c r="AE321" s="462"/>
      <c r="AF321" s="462"/>
      <c r="AG321" s="462"/>
      <c r="AH321" s="462"/>
      <c r="AI321" s="462"/>
      <c r="AJ321" s="462"/>
      <c r="AK321" s="462"/>
      <c r="AL321" s="465">
        <f t="shared" si="13"/>
        <v>11557.2</v>
      </c>
      <c r="AM321" s="489">
        <v>60</v>
      </c>
      <c r="AN321" s="462">
        <v>105</v>
      </c>
      <c r="AO321" s="450">
        <v>-53.64</v>
      </c>
      <c r="AP321" s="462"/>
      <c r="AQ321" s="450">
        <v>-108.71</v>
      </c>
      <c r="AR321" s="466">
        <v>1</v>
      </c>
    </row>
    <row r="322" spans="1:44" x14ac:dyDescent="0.25">
      <c r="A322" s="460">
        <v>5937</v>
      </c>
      <c r="B322" s="461" t="s">
        <v>316</v>
      </c>
      <c r="C322" s="462">
        <v>140424.51</v>
      </c>
      <c r="D322" s="464">
        <v>9111.08</v>
      </c>
      <c r="E322" s="462"/>
      <c r="F322" s="464"/>
      <c r="G322" s="462">
        <v>271.2</v>
      </c>
      <c r="H322" s="464">
        <v>60.05</v>
      </c>
      <c r="I322" s="462"/>
      <c r="J322" s="464">
        <v>605.47</v>
      </c>
      <c r="K322" s="462"/>
      <c r="L322" s="487">
        <v>9895</v>
      </c>
      <c r="M322" s="479">
        <f t="shared" si="12"/>
        <v>160367.31</v>
      </c>
      <c r="N322" s="462"/>
      <c r="O322" s="464"/>
      <c r="P322" s="462">
        <v>10792.75</v>
      </c>
      <c r="Q322" s="464">
        <v>1403.65</v>
      </c>
      <c r="R322" s="462">
        <v>3863.6</v>
      </c>
      <c r="S322" s="464"/>
      <c r="T322" s="462"/>
      <c r="U322" s="464">
        <v>1300</v>
      </c>
      <c r="V322" s="462"/>
      <c r="W322" s="464"/>
      <c r="X322" s="475">
        <f t="shared" si="14"/>
        <v>177727.31</v>
      </c>
      <c r="Y322" s="483"/>
      <c r="Z322" s="462"/>
      <c r="AA322" s="462">
        <v>13050</v>
      </c>
      <c r="AB322" s="462"/>
      <c r="AC322" s="462">
        <v>5461.85</v>
      </c>
      <c r="AD322" s="462"/>
      <c r="AE322" s="462"/>
      <c r="AF322" s="462"/>
      <c r="AG322" s="462"/>
      <c r="AH322" s="462"/>
      <c r="AI322" s="462"/>
      <c r="AJ322" s="462"/>
      <c r="AK322" s="462"/>
      <c r="AL322" s="465">
        <f t="shared" si="13"/>
        <v>18511.849999999999</v>
      </c>
      <c r="AM322" s="489">
        <v>70</v>
      </c>
      <c r="AN322" s="462">
        <v>134</v>
      </c>
      <c r="AO322" s="450">
        <v>-6902.91</v>
      </c>
      <c r="AP322" s="462"/>
      <c r="AQ322" s="450">
        <v>0</v>
      </c>
      <c r="AR322" s="466">
        <v>0.7</v>
      </c>
    </row>
    <row r="323" spans="1:44" x14ac:dyDescent="0.25">
      <c r="A323" s="460">
        <v>5938</v>
      </c>
      <c r="B323" s="461" t="s">
        <v>183</v>
      </c>
      <c r="C323" s="462">
        <v>43354406.659999996</v>
      </c>
      <c r="D323" s="464">
        <v>4405470.91</v>
      </c>
      <c r="E323" s="462"/>
      <c r="F323" s="464"/>
      <c r="G323" s="462">
        <v>8057626.4500000002</v>
      </c>
      <c r="H323" s="464">
        <v>377556.7</v>
      </c>
      <c r="I323" s="462">
        <v>69624.05</v>
      </c>
      <c r="J323" s="464">
        <v>1960674.59</v>
      </c>
      <c r="K323" s="462">
        <v>562429.5</v>
      </c>
      <c r="L323" s="464">
        <v>3913280.15</v>
      </c>
      <c r="M323" s="479">
        <f t="shared" si="12"/>
        <v>62701069.009999998</v>
      </c>
      <c r="N323" s="462">
        <v>3598534.3</v>
      </c>
      <c r="O323" s="464">
        <v>1589618.3</v>
      </c>
      <c r="P323" s="462">
        <v>1658072.5</v>
      </c>
      <c r="Q323" s="464">
        <v>343604.49</v>
      </c>
      <c r="R323" s="462">
        <v>661113.30000000005</v>
      </c>
      <c r="S323" s="464">
        <v>218.75</v>
      </c>
      <c r="T323" s="462"/>
      <c r="U323" s="464">
        <v>57820</v>
      </c>
      <c r="V323" s="462"/>
      <c r="W323" s="464"/>
      <c r="X323" s="475">
        <f t="shared" si="14"/>
        <v>70610050.649999991</v>
      </c>
      <c r="Y323" s="483">
        <v>603056</v>
      </c>
      <c r="Z323" s="462"/>
      <c r="AA323" s="462">
        <v>4092752</v>
      </c>
      <c r="AB323" s="462">
        <v>1229021</v>
      </c>
      <c r="AC323" s="462">
        <v>72870</v>
      </c>
      <c r="AD323" s="462">
        <v>408166</v>
      </c>
      <c r="AE323" s="462"/>
      <c r="AF323" s="462"/>
      <c r="AG323" s="462">
        <v>214612</v>
      </c>
      <c r="AH323" s="462">
        <v>868025</v>
      </c>
      <c r="AI323" s="462">
        <v>806020</v>
      </c>
      <c r="AJ323" s="462">
        <v>744014</v>
      </c>
      <c r="AK323" s="462"/>
      <c r="AL323" s="465">
        <f>SUM(Y323:AK323)</f>
        <v>9038536</v>
      </c>
      <c r="AM323" s="489">
        <v>76.5</v>
      </c>
      <c r="AN323" s="462">
        <v>29570</v>
      </c>
      <c r="AO323" s="450">
        <v>-1133337.92</v>
      </c>
      <c r="AP323" s="462"/>
      <c r="AQ323" s="450">
        <v>-4091.84</v>
      </c>
      <c r="AR323" s="466">
        <v>1</v>
      </c>
    </row>
    <row r="324" spans="1:44" x14ac:dyDescent="0.25">
      <c r="A324" s="460">
        <v>5939</v>
      </c>
      <c r="B324" s="461" t="s">
        <v>182</v>
      </c>
      <c r="C324" s="467">
        <v>5003886.71</v>
      </c>
      <c r="D324" s="464">
        <v>513668.69</v>
      </c>
      <c r="E324" s="467"/>
      <c r="F324" s="464"/>
      <c r="G324" s="467">
        <v>335238.15000000002</v>
      </c>
      <c r="H324" s="464">
        <v>14002.4</v>
      </c>
      <c r="I324" s="467"/>
      <c r="J324" s="464">
        <v>162109.07999999999</v>
      </c>
      <c r="K324" s="467">
        <v>12227</v>
      </c>
      <c r="L324" s="464">
        <v>476877.95</v>
      </c>
      <c r="M324" s="480">
        <f t="shared" si="12"/>
        <v>6518009.9800000014</v>
      </c>
      <c r="N324" s="467">
        <v>119969.7</v>
      </c>
      <c r="O324" s="464">
        <v>465110.9</v>
      </c>
      <c r="P324" s="467">
        <v>243245.3</v>
      </c>
      <c r="Q324" s="464">
        <v>37101.11</v>
      </c>
      <c r="R324" s="467">
        <v>113485.45</v>
      </c>
      <c r="S324" s="464">
        <v>8396.35</v>
      </c>
      <c r="T324" s="467"/>
      <c r="U324" s="464">
        <v>20550</v>
      </c>
      <c r="V324" s="467"/>
      <c r="W324" s="464">
        <v>1664.55</v>
      </c>
      <c r="X324" s="476">
        <f t="shared" si="14"/>
        <v>7527533.3400000017</v>
      </c>
      <c r="Y324" s="484">
        <v>24360</v>
      </c>
      <c r="Z324" s="467"/>
      <c r="AA324" s="467">
        <v>666407.1</v>
      </c>
      <c r="AB324" s="467"/>
      <c r="AC324" s="467"/>
      <c r="AD324" s="467">
        <v>22192</v>
      </c>
      <c r="AE324" s="467"/>
      <c r="AF324" s="467"/>
      <c r="AG324" s="467">
        <v>10660.6</v>
      </c>
      <c r="AH324" s="467">
        <v>87210.45</v>
      </c>
      <c r="AI324" s="467"/>
      <c r="AJ324" s="467"/>
      <c r="AK324" s="467"/>
      <c r="AL324" s="465">
        <f t="shared" si="13"/>
        <v>810830.14999999991</v>
      </c>
      <c r="AM324" s="489">
        <v>73</v>
      </c>
      <c r="AN324" s="462">
        <v>3236</v>
      </c>
      <c r="AO324" s="450">
        <v>-111996.04</v>
      </c>
      <c r="AP324" s="467"/>
      <c r="AQ324" s="450">
        <v>-57.1</v>
      </c>
      <c r="AR324" s="466">
        <v>1</v>
      </c>
    </row>
    <row r="325" spans="1:44" x14ac:dyDescent="0.25">
      <c r="A325" s="468"/>
      <c r="B325" s="469">
        <f>COUNTA(B7:B324)</f>
        <v>318</v>
      </c>
      <c r="C325" s="449">
        <f>SUM(C7:C324)</f>
        <v>1567044242.1300001</v>
      </c>
      <c r="D325" s="449">
        <f t="shared" ref="D325:L325" si="15">SUM(D7:D324)</f>
        <v>273049209.82000005</v>
      </c>
      <c r="E325" s="449">
        <f t="shared" si="15"/>
        <v>74959.5</v>
      </c>
      <c r="F325" s="449">
        <f t="shared" si="15"/>
        <v>116908</v>
      </c>
      <c r="G325" s="449">
        <f t="shared" si="15"/>
        <v>297696444.25999975</v>
      </c>
      <c r="H325" s="449">
        <f t="shared" si="15"/>
        <v>49317663.87000002</v>
      </c>
      <c r="I325" s="449">
        <f t="shared" si="15"/>
        <v>42188710.170000009</v>
      </c>
      <c r="J325" s="449">
        <f t="shared" si="15"/>
        <v>84062184.200000033</v>
      </c>
      <c r="K325" s="449">
        <f t="shared" si="15"/>
        <v>15650030.649999997</v>
      </c>
      <c r="L325" s="449">
        <f t="shared" si="15"/>
        <v>180513157.68000004</v>
      </c>
      <c r="M325" s="481">
        <f t="shared" ref="M325:AL325" si="16">SUM(M7:M324)</f>
        <v>2509713510.2799993</v>
      </c>
      <c r="N325" s="449">
        <f t="shared" si="16"/>
        <v>66918953.550000027</v>
      </c>
      <c r="O325" s="449">
        <f t="shared" si="16"/>
        <v>76112824.099999994</v>
      </c>
      <c r="P325" s="449">
        <f t="shared" si="16"/>
        <v>79274538.899999991</v>
      </c>
      <c r="Q325" s="449">
        <f t="shared" si="16"/>
        <v>9291161.9299999997</v>
      </c>
      <c r="R325" s="449">
        <f t="shared" si="16"/>
        <v>51506914.999999993</v>
      </c>
      <c r="S325" s="449">
        <f t="shared" si="16"/>
        <v>683918.1</v>
      </c>
      <c r="T325" s="449">
        <f t="shared" si="16"/>
        <v>946836.15</v>
      </c>
      <c r="U325" s="449">
        <f>SUM(U7:U324)</f>
        <v>3281979.4</v>
      </c>
      <c r="V325" s="449">
        <f t="shared" si="16"/>
        <v>6826342.1799999997</v>
      </c>
      <c r="W325" s="449">
        <f>SUM(W7:W324)</f>
        <v>574682.94000000006</v>
      </c>
      <c r="X325" s="477">
        <f t="shared" si="16"/>
        <v>2805131662.5299983</v>
      </c>
      <c r="Y325" s="449">
        <f t="shared" si="16"/>
        <v>26694598.659999996</v>
      </c>
      <c r="Z325" s="449">
        <f t="shared" si="16"/>
        <v>1768310.3399999999</v>
      </c>
      <c r="AA325" s="449">
        <f t="shared" si="16"/>
        <v>99433667.889999911</v>
      </c>
      <c r="AB325" s="449">
        <f t="shared" si="16"/>
        <v>7127814.9500000002</v>
      </c>
      <c r="AC325" s="449">
        <f t="shared" si="16"/>
        <v>81978109.260000005</v>
      </c>
      <c r="AD325" s="449">
        <f t="shared" si="16"/>
        <v>19885637.909999985</v>
      </c>
      <c r="AE325" s="449">
        <f t="shared" si="16"/>
        <v>1512503.4400000004</v>
      </c>
      <c r="AF325" s="449">
        <f t="shared" si="16"/>
        <v>11538.099999999999</v>
      </c>
      <c r="AG325" s="449">
        <f t="shared" si="16"/>
        <v>13492960.229999999</v>
      </c>
      <c r="AH325" s="449">
        <f t="shared" si="16"/>
        <v>21771274.77</v>
      </c>
      <c r="AI325" s="449">
        <f t="shared" si="16"/>
        <v>10451850.68</v>
      </c>
      <c r="AJ325" s="449">
        <f t="shared" si="16"/>
        <v>3914994.58</v>
      </c>
      <c r="AK325" s="449">
        <f t="shared" si="16"/>
        <v>3176287.33</v>
      </c>
      <c r="AL325" s="470">
        <f t="shared" si="16"/>
        <v>291219548.13999999</v>
      </c>
      <c r="AM325" s="491">
        <f t="shared" ref="AM325:AR325" si="17">SUM(AM7:AM324)</f>
        <v>22322.590000000004</v>
      </c>
      <c r="AN325" s="449">
        <v>778251</v>
      </c>
      <c r="AO325" s="492">
        <f t="shared" si="17"/>
        <v>-34540637.610000007</v>
      </c>
      <c r="AP325" s="449">
        <f t="shared" si="17"/>
        <v>-189217.35</v>
      </c>
      <c r="AQ325" s="449">
        <f t="shared" si="17"/>
        <v>-1337332.4299999997</v>
      </c>
      <c r="AR325" s="471">
        <f t="shared" si="17"/>
        <v>331.34999999999997</v>
      </c>
    </row>
    <row r="326" spans="1:44" x14ac:dyDescent="0.25">
      <c r="B326" s="472"/>
      <c r="AN326" s="453"/>
    </row>
    <row r="327" spans="1:44" x14ac:dyDescent="0.25">
      <c r="B327" s="473"/>
      <c r="AN327" s="472"/>
    </row>
  </sheetData>
  <protectedRanges>
    <protectedRange sqref="A7:L324 N7:V324 Y7:AK324 AM7:AQ324" name="Plage1"/>
  </protectedRanges>
  <mergeCells count="44">
    <mergeCell ref="AN4:AN5"/>
    <mergeCell ref="AO4:AO6"/>
    <mergeCell ref="AQ4:AQ6"/>
    <mergeCell ref="AP4:AP6"/>
    <mergeCell ref="AK4:AK6"/>
    <mergeCell ref="AC4:AC5"/>
    <mergeCell ref="AJ4:AJ6"/>
    <mergeCell ref="AI4:AI6"/>
    <mergeCell ref="AL4:AL5"/>
    <mergeCell ref="AM4:AM5"/>
    <mergeCell ref="AG4:AG5"/>
    <mergeCell ref="AD4:AD5"/>
    <mergeCell ref="AE4:AE5"/>
    <mergeCell ref="AF4:AF5"/>
    <mergeCell ref="AH4:AH6"/>
    <mergeCell ref="A4:A6"/>
    <mergeCell ref="B4:B6"/>
    <mergeCell ref="Q4:Q6"/>
    <mergeCell ref="S4:S6"/>
    <mergeCell ref="L4:L5"/>
    <mergeCell ref="G4:G5"/>
    <mergeCell ref="H4:H5"/>
    <mergeCell ref="I4:I5"/>
    <mergeCell ref="J4:J5"/>
    <mergeCell ref="C4:C5"/>
    <mergeCell ref="D4:D5"/>
    <mergeCell ref="E4:E5"/>
    <mergeCell ref="N4:N5"/>
    <mergeCell ref="AR4:AR6"/>
    <mergeCell ref="F4:F5"/>
    <mergeCell ref="K4:K5"/>
    <mergeCell ref="M4:M5"/>
    <mergeCell ref="Y4:Y5"/>
    <mergeCell ref="Z4:Z5"/>
    <mergeCell ref="X4:X5"/>
    <mergeCell ref="O4:O5"/>
    <mergeCell ref="P4:P5"/>
    <mergeCell ref="R4:R5"/>
    <mergeCell ref="T4:T5"/>
    <mergeCell ref="U4:U5"/>
    <mergeCell ref="V4:V5"/>
    <mergeCell ref="AA4:AA5"/>
    <mergeCell ref="AB4:AB5"/>
    <mergeCell ref="W4:W5"/>
  </mergeCells>
  <phoneticPr fontId="9" type="noConversion"/>
  <pageMargins left="0.78740157499999996" right="0.78740157499999996" top="0.984251969" bottom="0.984251969" header="0.4921259845" footer="0.4921259845"/>
  <pageSetup paperSize="9" scale="7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R333"/>
  <sheetViews>
    <sheetView tabSelected="1" zoomScaleNormal="100" workbookViewId="0">
      <pane xSplit="2" ySplit="6" topLeftCell="J7" activePane="bottomRight" state="frozen"/>
      <selection pane="topRight" activeCell="C1" sqref="C1"/>
      <selection pane="bottomLeft" activeCell="A7" sqref="A7"/>
      <selection pane="bottomRight" activeCell="B24" sqref="B24"/>
    </sheetView>
  </sheetViews>
  <sheetFormatPr baseColWidth="10" defaultColWidth="8.625" defaultRowHeight="15" x14ac:dyDescent="0.25"/>
  <cols>
    <col min="1" max="1" width="7.625" style="4" customWidth="1"/>
    <col min="2" max="2" width="20.25" style="14" bestFit="1" customWidth="1"/>
    <col min="3" max="3" width="15.75" style="14" hidden="1" customWidth="1"/>
    <col min="4" max="4" width="9.875" style="6" hidden="1" customWidth="1"/>
    <col min="5" max="5" width="7.75" style="14" hidden="1" customWidth="1"/>
    <col min="6" max="6" width="13.25" style="6" hidden="1" customWidth="1"/>
    <col min="7" max="7" width="18.25" style="14" hidden="1" customWidth="1"/>
    <col min="8" max="8" width="9.25" style="6" hidden="1" customWidth="1"/>
    <col min="9" max="9" width="10" style="14" hidden="1" customWidth="1"/>
    <col min="10" max="10" width="15.875" style="14" hidden="1" customWidth="1"/>
    <col min="11" max="12" width="12.125" style="14" hidden="1" customWidth="1"/>
    <col min="13" max="13" width="13.25" style="14" hidden="1" customWidth="1"/>
    <col min="14" max="14" width="9.125" style="14" hidden="1" customWidth="1"/>
    <col min="15" max="15" width="10.75" style="14" hidden="1" customWidth="1"/>
    <col min="16" max="16" width="13" style="14" hidden="1" customWidth="1"/>
    <col min="17" max="17" width="8.625" style="14" hidden="1" customWidth="1"/>
    <col min="18" max="18" width="12.125" style="14" bestFit="1" customWidth="1"/>
    <col min="19" max="19" width="9.125" style="16" bestFit="1" customWidth="1"/>
    <col min="20" max="20" width="12.125" style="16" bestFit="1" customWidth="1"/>
    <col min="21" max="21" width="12.125" style="14" customWidth="1"/>
    <col min="22" max="22" width="13.375" style="14" bestFit="1" customWidth="1"/>
    <col min="23" max="24" width="12.125" style="14" bestFit="1" customWidth="1"/>
    <col min="25" max="25" width="12.125" style="14" customWidth="1"/>
    <col min="26" max="26" width="9.875" style="14" bestFit="1" customWidth="1"/>
    <col min="27" max="27" width="10" style="14" bestFit="1" customWidth="1"/>
    <col min="28" max="29" width="11.25" style="14" bestFit="1" customWidth="1"/>
    <col min="30" max="30" width="10.125" style="16" bestFit="1" customWidth="1"/>
    <col min="31" max="31" width="12.125" style="14" bestFit="1" customWidth="1"/>
    <col min="32" max="32" width="11.25" style="14" bestFit="1" customWidth="1"/>
    <col min="33" max="33" width="12.125" style="14" bestFit="1" customWidth="1"/>
    <col min="34" max="34" width="10.125" style="14" customWidth="1"/>
    <col min="35" max="36" width="12.125" style="14" bestFit="1" customWidth="1"/>
    <col min="37" max="38" width="10.125" style="14" bestFit="1" customWidth="1"/>
    <col min="39" max="40" width="12.125" style="14" bestFit="1" customWidth="1"/>
    <col min="41" max="41" width="11.75" style="14" bestFit="1" customWidth="1"/>
    <col min="42" max="42" width="13.875" style="14" bestFit="1" customWidth="1"/>
    <col min="43" max="43" width="11.75" style="14" bestFit="1" customWidth="1"/>
    <col min="44" max="44" width="8.625" style="14" customWidth="1"/>
    <col min="45" max="16384" width="8.625" style="14"/>
  </cols>
  <sheetData>
    <row r="1" spans="1:44" ht="21" x14ac:dyDescent="0.35">
      <c r="A1" s="28" t="s">
        <v>511</v>
      </c>
      <c r="B1" s="29"/>
      <c r="C1" s="29"/>
      <c r="E1" s="31"/>
      <c r="G1" s="4"/>
      <c r="H1" s="5"/>
      <c r="I1" s="4"/>
      <c r="J1" s="4"/>
      <c r="K1" s="4"/>
      <c r="L1" s="4"/>
      <c r="AC1" s="30"/>
    </row>
    <row r="2" spans="1:44" ht="21" x14ac:dyDescent="0.35">
      <c r="A2" s="28" t="str">
        <f>Paramètres!B5</f>
        <v>décompte 2016</v>
      </c>
      <c r="C2" s="28"/>
      <c r="E2" s="31"/>
      <c r="G2" s="32"/>
      <c r="H2" s="5"/>
      <c r="I2" s="4"/>
      <c r="J2" s="4"/>
      <c r="K2" s="4"/>
      <c r="L2" s="4"/>
      <c r="AC2" s="30"/>
      <c r="AE2" s="18"/>
      <c r="AF2" s="18"/>
      <c r="AG2" s="18"/>
      <c r="AH2" s="18"/>
      <c r="AI2" s="18"/>
      <c r="AJ2" s="18"/>
      <c r="AK2" s="18"/>
      <c r="AL2" s="18"/>
      <c r="AM2" s="18"/>
      <c r="AN2" s="18"/>
      <c r="AO2" s="18"/>
      <c r="AP2" s="18"/>
      <c r="AQ2" s="18"/>
    </row>
    <row r="3" spans="1:44" x14ac:dyDescent="0.25">
      <c r="A3" s="3"/>
      <c r="B3" s="4"/>
      <c r="C3" s="4"/>
      <c r="E3" s="31"/>
      <c r="G3" s="4"/>
      <c r="H3" s="5"/>
      <c r="I3" s="4"/>
      <c r="J3" s="4"/>
      <c r="K3" s="4"/>
      <c r="L3" s="4"/>
      <c r="O3" s="30"/>
    </row>
    <row r="4" spans="1:44" s="17" customFormat="1" ht="38.1" customHeight="1" x14ac:dyDescent="0.2">
      <c r="A4" s="559" t="s">
        <v>50</v>
      </c>
      <c r="B4" s="562" t="s">
        <v>120</v>
      </c>
      <c r="C4" s="548" t="s">
        <v>286</v>
      </c>
      <c r="D4" s="565" t="s">
        <v>281</v>
      </c>
      <c r="E4" s="545" t="s">
        <v>282</v>
      </c>
      <c r="F4" s="565" t="s">
        <v>283</v>
      </c>
      <c r="G4" s="548" t="s">
        <v>284</v>
      </c>
      <c r="H4" s="565" t="s">
        <v>294</v>
      </c>
      <c r="I4" s="548" t="s">
        <v>295</v>
      </c>
      <c r="J4" s="548" t="s">
        <v>296</v>
      </c>
      <c r="K4" s="548" t="s">
        <v>426</v>
      </c>
      <c r="L4" s="548" t="s">
        <v>427</v>
      </c>
      <c r="M4" s="548" t="s">
        <v>428</v>
      </c>
      <c r="N4" s="565" t="s">
        <v>462</v>
      </c>
      <c r="O4" s="548" t="s">
        <v>52</v>
      </c>
      <c r="P4" s="548" t="s">
        <v>429</v>
      </c>
      <c r="Q4" s="545" t="s">
        <v>569</v>
      </c>
      <c r="R4" s="551" t="s">
        <v>534</v>
      </c>
      <c r="S4" s="553" t="s">
        <v>91</v>
      </c>
      <c r="T4" s="551" t="s">
        <v>385</v>
      </c>
      <c r="U4" s="551" t="s">
        <v>514</v>
      </c>
      <c r="V4" s="548" t="s">
        <v>228</v>
      </c>
      <c r="W4" s="548" t="s">
        <v>229</v>
      </c>
      <c r="X4" s="548" t="s">
        <v>230</v>
      </c>
      <c r="Y4" s="556" t="s">
        <v>483</v>
      </c>
      <c r="Z4" s="548" t="s">
        <v>227</v>
      </c>
      <c r="AA4" s="548" t="s">
        <v>231</v>
      </c>
      <c r="AB4" s="548" t="s">
        <v>121</v>
      </c>
      <c r="AC4" s="548" t="s">
        <v>122</v>
      </c>
      <c r="AD4" s="553" t="s">
        <v>123</v>
      </c>
      <c r="AE4" s="548" t="s">
        <v>124</v>
      </c>
      <c r="AF4" s="548" t="s">
        <v>125</v>
      </c>
      <c r="AG4" s="548" t="s">
        <v>84</v>
      </c>
      <c r="AH4" s="548" t="s">
        <v>288</v>
      </c>
      <c r="AI4" s="548" t="s">
        <v>85</v>
      </c>
      <c r="AJ4" s="548" t="s">
        <v>86</v>
      </c>
      <c r="AK4" s="548" t="s">
        <v>512</v>
      </c>
      <c r="AL4" s="548" t="s">
        <v>88</v>
      </c>
      <c r="AM4" s="548" t="s">
        <v>89</v>
      </c>
      <c r="AN4" s="548" t="s">
        <v>469</v>
      </c>
      <c r="AO4" s="548" t="s">
        <v>470</v>
      </c>
      <c r="AP4" s="548" t="s">
        <v>471</v>
      </c>
      <c r="AQ4" s="548" t="s">
        <v>472</v>
      </c>
      <c r="AR4" s="548" t="s">
        <v>347</v>
      </c>
    </row>
    <row r="5" spans="1:44" s="17" customFormat="1" ht="38.1" customHeight="1" x14ac:dyDescent="0.2">
      <c r="A5" s="560"/>
      <c r="B5" s="563"/>
      <c r="C5" s="550"/>
      <c r="D5" s="566"/>
      <c r="E5" s="546"/>
      <c r="F5" s="566"/>
      <c r="G5" s="550"/>
      <c r="H5" s="567"/>
      <c r="I5" s="550"/>
      <c r="J5" s="550"/>
      <c r="K5" s="550"/>
      <c r="L5" s="550"/>
      <c r="M5" s="550"/>
      <c r="N5" s="566"/>
      <c r="O5" s="549"/>
      <c r="P5" s="550"/>
      <c r="Q5" s="546"/>
      <c r="R5" s="555"/>
      <c r="S5" s="554"/>
      <c r="T5" s="555"/>
      <c r="U5" s="552"/>
      <c r="V5" s="550"/>
      <c r="W5" s="550"/>
      <c r="X5" s="550"/>
      <c r="Y5" s="557"/>
      <c r="Z5" s="550"/>
      <c r="AA5" s="550"/>
      <c r="AB5" s="550"/>
      <c r="AC5" s="550"/>
      <c r="AD5" s="554"/>
      <c r="AE5" s="550"/>
      <c r="AF5" s="550"/>
      <c r="AG5" s="550"/>
      <c r="AH5" s="550"/>
      <c r="AI5" s="549"/>
      <c r="AJ5" s="549"/>
      <c r="AK5" s="549"/>
      <c r="AL5" s="549"/>
      <c r="AM5" s="550"/>
      <c r="AN5" s="549"/>
      <c r="AO5" s="549"/>
      <c r="AP5" s="549"/>
      <c r="AQ5" s="549"/>
      <c r="AR5" s="550"/>
    </row>
    <row r="6" spans="1:44" ht="14.25" customHeight="1" x14ac:dyDescent="0.25">
      <c r="A6" s="561"/>
      <c r="B6" s="564"/>
      <c r="C6" s="42" t="s">
        <v>287</v>
      </c>
      <c r="D6" s="567"/>
      <c r="E6" s="547"/>
      <c r="F6" s="567"/>
      <c r="G6" s="42" t="s">
        <v>285</v>
      </c>
      <c r="H6" s="22" t="s">
        <v>92</v>
      </c>
      <c r="I6" s="23" t="s">
        <v>93</v>
      </c>
      <c r="J6" s="23" t="s">
        <v>94</v>
      </c>
      <c r="K6" s="42" t="s">
        <v>95</v>
      </c>
      <c r="L6" s="23" t="s">
        <v>96</v>
      </c>
      <c r="M6" s="23" t="s">
        <v>97</v>
      </c>
      <c r="N6" s="567"/>
      <c r="O6" s="550"/>
      <c r="P6" s="23" t="s">
        <v>98</v>
      </c>
      <c r="Q6" s="547"/>
      <c r="R6" s="552"/>
      <c r="S6" s="43">
        <f>Paramètres!B8</f>
        <v>2016</v>
      </c>
      <c r="T6" s="552"/>
      <c r="U6" s="292" t="str">
        <f>Paramètres!B5</f>
        <v>décompte 2016</v>
      </c>
      <c r="V6" s="23" t="s">
        <v>101</v>
      </c>
      <c r="W6" s="23" t="s">
        <v>102</v>
      </c>
      <c r="X6" s="23" t="s">
        <v>103</v>
      </c>
      <c r="Y6" s="558"/>
      <c r="Z6" s="42" t="s">
        <v>100</v>
      </c>
      <c r="AA6" s="42" t="s">
        <v>104</v>
      </c>
      <c r="AB6" s="23" t="s">
        <v>105</v>
      </c>
      <c r="AC6" s="23" t="s">
        <v>106</v>
      </c>
      <c r="AD6" s="24" t="s">
        <v>107</v>
      </c>
      <c r="AE6" s="42" t="s">
        <v>109</v>
      </c>
      <c r="AF6" s="23" t="s">
        <v>110</v>
      </c>
      <c r="AG6" s="23" t="s">
        <v>111</v>
      </c>
      <c r="AH6" s="23" t="s">
        <v>112</v>
      </c>
      <c r="AI6" s="550"/>
      <c r="AJ6" s="550"/>
      <c r="AK6" s="550"/>
      <c r="AL6" s="550"/>
      <c r="AM6" s="23" t="s">
        <v>298</v>
      </c>
      <c r="AN6" s="550"/>
      <c r="AO6" s="550"/>
      <c r="AP6" s="550"/>
      <c r="AQ6" s="550"/>
      <c r="AR6" s="26">
        <f>Paramètres!B7</f>
        <v>41273</v>
      </c>
    </row>
    <row r="7" spans="1:44" x14ac:dyDescent="0.25">
      <c r="A7" s="8">
        <f>'A) Base RI'!A7</f>
        <v>5401</v>
      </c>
      <c r="B7" s="35" t="str">
        <f>'A) Base RI'!B7</f>
        <v>Aigle</v>
      </c>
      <c r="C7" s="10">
        <f>'A) Base RI'!C7+'A) Base RI'!D7</f>
        <v>13000021.560000001</v>
      </c>
      <c r="D7" s="10">
        <f>'A) Base RI'!AO7</f>
        <v>-506782.14</v>
      </c>
      <c r="E7" s="34">
        <f>'A) Base RI'!AP7</f>
        <v>0</v>
      </c>
      <c r="F7" s="34">
        <f>'A) Base RI'!AQ7</f>
        <v>-1074.8599999999999</v>
      </c>
      <c r="G7" s="2">
        <f>SUM(C7:F7)</f>
        <v>12492164.560000001</v>
      </c>
      <c r="H7" s="10">
        <f>'A) Base RI'!E7</f>
        <v>0</v>
      </c>
      <c r="I7" s="10">
        <f>'A) Base RI'!F7</f>
        <v>94.6</v>
      </c>
      <c r="J7" s="10">
        <f>'A) Base RI'!G7+'A) Base RI'!H7</f>
        <v>3520405.3000000003</v>
      </c>
      <c r="K7" s="10">
        <f>'A) Base RI'!I7</f>
        <v>7768.35</v>
      </c>
      <c r="L7" s="10">
        <f>'A) Base RI'!J7</f>
        <v>756597.42</v>
      </c>
      <c r="M7" s="10">
        <f>'A) Base RI'!K7</f>
        <v>139360.5</v>
      </c>
      <c r="N7" s="10">
        <f>'A) Base RI'!Q7</f>
        <v>71257.850000000006</v>
      </c>
      <c r="O7" s="10">
        <f>(P7/Q7)*1</f>
        <v>1521132.7083333335</v>
      </c>
      <c r="P7" s="10">
        <f>'A) Base RI'!L7</f>
        <v>1825359.25</v>
      </c>
      <c r="Q7" s="37">
        <f>'A) Base RI'!AR7</f>
        <v>1.2</v>
      </c>
      <c r="R7" s="2">
        <f>SUM(G7:O7)</f>
        <v>18508781.288333334</v>
      </c>
      <c r="S7" s="36">
        <f>'A) Base RI'!AM7</f>
        <v>67.5</v>
      </c>
      <c r="T7" s="2">
        <f>(G7+H7+J7+K7+L7+N7)</f>
        <v>16848193.48</v>
      </c>
      <c r="U7" s="2">
        <f>R7/S7</f>
        <v>274204.16723456793</v>
      </c>
      <c r="V7" s="10">
        <f>'A) Base RI'!O7</f>
        <v>1305319.2</v>
      </c>
      <c r="W7" s="10">
        <f>'A) Base RI'!P7</f>
        <v>692179.65</v>
      </c>
      <c r="X7" s="10">
        <f>'A) Base RI'!R7</f>
        <v>260467.65</v>
      </c>
      <c r="Y7" s="2">
        <f>SUM(V7:X7)</f>
        <v>2257966.5</v>
      </c>
      <c r="Z7" s="10">
        <f>'A) Base RI'!N7</f>
        <v>1036709.25</v>
      </c>
      <c r="AA7" s="10">
        <f>'A) Base RI'!S7+'A) Base RI'!T7</f>
        <v>86165.05</v>
      </c>
      <c r="AB7" s="10">
        <f>+'A) Base RI'!U7</f>
        <v>68350</v>
      </c>
      <c r="AC7" s="10">
        <f>'A) Base RI'!V7</f>
        <v>0</v>
      </c>
      <c r="AD7" s="10">
        <f>+'A) Base RI'!W7</f>
        <v>0</v>
      </c>
      <c r="AE7" s="10">
        <f>'A) Base RI'!Y7</f>
        <v>335273.2</v>
      </c>
      <c r="AF7" s="10">
        <f>'A) Base RI'!Z7</f>
        <v>0</v>
      </c>
      <c r="AG7" s="10">
        <f>'A) Base RI'!AA7</f>
        <v>832001.35</v>
      </c>
      <c r="AH7" s="10">
        <f>'A) Base RI'!AB7</f>
        <v>0</v>
      </c>
      <c r="AI7" s="10">
        <f>'A) Base RI'!AC7</f>
        <v>1311894.75</v>
      </c>
      <c r="AJ7" s="10">
        <f>'A) Base RI'!AD7</f>
        <v>390935.4</v>
      </c>
      <c r="AK7" s="10">
        <f>'A) Base RI'!AE7</f>
        <v>0</v>
      </c>
      <c r="AL7" s="10">
        <f>'A) Base RI'!AF7</f>
        <v>358.75</v>
      </c>
      <c r="AM7" s="10">
        <f>'A) Base RI'!AG7</f>
        <v>36910.550000000003</v>
      </c>
      <c r="AN7" s="10">
        <f>'A) Base RI'!AH7</f>
        <v>360033.65</v>
      </c>
      <c r="AO7" s="10">
        <f>'A) Base RI'!AI7</f>
        <v>0</v>
      </c>
      <c r="AP7" s="10">
        <f>'A) Base RI'!AJ7</f>
        <v>0</v>
      </c>
      <c r="AQ7" s="10">
        <f>'A) Base RI'!AK7</f>
        <v>208017.2</v>
      </c>
      <c r="AR7" s="10">
        <f>'A) Base RI'!AN7</f>
        <v>9740</v>
      </c>
    </row>
    <row r="8" spans="1:44" x14ac:dyDescent="0.25">
      <c r="A8" s="8">
        <f>'A) Base RI'!A8</f>
        <v>5402</v>
      </c>
      <c r="B8" s="35" t="str">
        <f>'A) Base RI'!B8</f>
        <v>Bex</v>
      </c>
      <c r="C8" s="10">
        <f>'A) Base RI'!C8+'A) Base RI'!D8</f>
        <v>9187187.459999999</v>
      </c>
      <c r="D8" s="10">
        <f>'A) Base RI'!AO8</f>
        <v>-371426.74</v>
      </c>
      <c r="E8" s="34">
        <f>'A) Base RI'!AP8</f>
        <v>0</v>
      </c>
      <c r="F8" s="34">
        <f>'A) Base RI'!AQ8</f>
        <v>-641.79</v>
      </c>
      <c r="G8" s="2">
        <f t="shared" ref="G8:G71" si="0">SUM(C8:F8)</f>
        <v>8815118.9299999997</v>
      </c>
      <c r="H8" s="10">
        <f>'A) Base RI'!E8</f>
        <v>0</v>
      </c>
      <c r="I8" s="10">
        <f>'A) Base RI'!F8</f>
        <v>0</v>
      </c>
      <c r="J8" s="10">
        <f>'A) Base RI'!G8+'A) Base RI'!H8</f>
        <v>1285001.8</v>
      </c>
      <c r="K8" s="10">
        <f>'A) Base RI'!I8</f>
        <v>17800.599999999999</v>
      </c>
      <c r="L8" s="10">
        <f>'A) Base RI'!J8</f>
        <v>514724.49</v>
      </c>
      <c r="M8" s="10">
        <f>'A) Base RI'!K8</f>
        <v>70857</v>
      </c>
      <c r="N8" s="10">
        <f>'A) Base RI'!Q8</f>
        <v>126012.32</v>
      </c>
      <c r="O8" s="10">
        <f t="shared" ref="O8:O71" si="1">(P8/Q8)*1</f>
        <v>1142409.1199999999</v>
      </c>
      <c r="P8" s="10">
        <f>'A) Base RI'!L8</f>
        <v>1428011.4</v>
      </c>
      <c r="Q8" s="37">
        <f>'A) Base RI'!AR8</f>
        <v>1.25</v>
      </c>
      <c r="R8" s="2">
        <f t="shared" ref="R8:R71" si="2">SUM(G8:O8)</f>
        <v>11971924.26</v>
      </c>
      <c r="S8" s="36">
        <f>'A) Base RI'!AM8</f>
        <v>71</v>
      </c>
      <c r="T8" s="2">
        <f t="shared" ref="T8:T71" si="3">(G8+H8+J8+K8+L8+N8)</f>
        <v>10758658.140000001</v>
      </c>
      <c r="U8" s="2">
        <f t="shared" ref="U8:U71" si="4">R8/S8</f>
        <v>168618.65154929578</v>
      </c>
      <c r="V8" s="10">
        <f>'A) Base RI'!O8</f>
        <v>289455.40000000002</v>
      </c>
      <c r="W8" s="10">
        <f>'A) Base RI'!P8</f>
        <v>510571.55</v>
      </c>
      <c r="X8" s="10">
        <f>'A) Base RI'!R8</f>
        <v>303922.55</v>
      </c>
      <c r="Y8" s="2">
        <f t="shared" ref="Y8:Y71" si="5">SUM(V8:X8)</f>
        <v>1103949.5</v>
      </c>
      <c r="Z8" s="10">
        <f>'A) Base RI'!N8</f>
        <v>172600.1</v>
      </c>
      <c r="AA8" s="10">
        <f>'A) Base RI'!S8+'A) Base RI'!T8</f>
        <v>40253.449999999997</v>
      </c>
      <c r="AB8" s="10">
        <f>+'A) Base RI'!U8</f>
        <v>40225</v>
      </c>
      <c r="AC8" s="10">
        <f>'A) Base RI'!V8</f>
        <v>99757.6</v>
      </c>
      <c r="AD8" s="10">
        <f>+'A) Base RI'!W8</f>
        <v>1476</v>
      </c>
      <c r="AE8" s="10">
        <f>'A) Base RI'!Y8</f>
        <v>17120.5</v>
      </c>
      <c r="AF8" s="10">
        <f>'A) Base RI'!Z8</f>
        <v>70495.100000000006</v>
      </c>
      <c r="AG8" s="10">
        <f>'A) Base RI'!AA8</f>
        <v>1920824</v>
      </c>
      <c r="AH8" s="10">
        <f>'A) Base RI'!AB8</f>
        <v>0</v>
      </c>
      <c r="AI8" s="10">
        <f>'A) Base RI'!AC8</f>
        <v>855735.46</v>
      </c>
      <c r="AJ8" s="10">
        <f>'A) Base RI'!AD8</f>
        <v>83236.95</v>
      </c>
      <c r="AK8" s="10">
        <f>'A) Base RI'!AE8</f>
        <v>0</v>
      </c>
      <c r="AL8" s="10">
        <f>'A) Base RI'!AF8</f>
        <v>0</v>
      </c>
      <c r="AM8" s="10">
        <f>'A) Base RI'!AG8</f>
        <v>89262.7</v>
      </c>
      <c r="AN8" s="10">
        <f>'A) Base RI'!AH8</f>
        <v>234715.7</v>
      </c>
      <c r="AO8" s="10">
        <f>'A) Base RI'!AI8</f>
        <v>0</v>
      </c>
      <c r="AP8" s="10">
        <f>'A) Base RI'!AJ8</f>
        <v>0</v>
      </c>
      <c r="AQ8" s="10">
        <f>'A) Base RI'!AK8</f>
        <v>0</v>
      </c>
      <c r="AR8" s="10">
        <f>'A) Base RI'!AN8</f>
        <v>7424</v>
      </c>
    </row>
    <row r="9" spans="1:44" x14ac:dyDescent="0.25">
      <c r="A9" s="8">
        <f>'A) Base RI'!A9</f>
        <v>5403</v>
      </c>
      <c r="B9" s="35" t="str">
        <f>'A) Base RI'!B9</f>
        <v>Chessel</v>
      </c>
      <c r="C9" s="10">
        <f>'A) Base RI'!C9+'A) Base RI'!D9</f>
        <v>567261.23</v>
      </c>
      <c r="D9" s="10">
        <f>'A) Base RI'!AO9</f>
        <v>-7566.72</v>
      </c>
      <c r="E9" s="34">
        <f>'A) Base RI'!AP9</f>
        <v>0</v>
      </c>
      <c r="F9" s="34">
        <f>'A) Base RI'!AQ9</f>
        <v>-12.22</v>
      </c>
      <c r="G9" s="2">
        <f t="shared" si="0"/>
        <v>559682.29</v>
      </c>
      <c r="H9" s="10">
        <f>'A) Base RI'!E9</f>
        <v>0</v>
      </c>
      <c r="I9" s="10">
        <f>'A) Base RI'!F9</f>
        <v>0</v>
      </c>
      <c r="J9" s="10">
        <f>'A) Base RI'!G9+'A) Base RI'!H9</f>
        <v>11801.55</v>
      </c>
      <c r="K9" s="10">
        <f>'A) Base RI'!I9</f>
        <v>0</v>
      </c>
      <c r="L9" s="10">
        <f>'A) Base RI'!J9</f>
        <v>21995.56</v>
      </c>
      <c r="M9" s="10">
        <f>'A) Base RI'!K9</f>
        <v>1245.5</v>
      </c>
      <c r="N9" s="10">
        <f>'A) Base RI'!Q9</f>
        <v>-10004.9</v>
      </c>
      <c r="O9" s="10">
        <f t="shared" si="1"/>
        <v>48881.15</v>
      </c>
      <c r="P9" s="10">
        <f>'A) Base RI'!L9</f>
        <v>48881.15</v>
      </c>
      <c r="Q9" s="37">
        <f>'A) Base RI'!AR9</f>
        <v>1</v>
      </c>
      <c r="R9" s="2">
        <f t="shared" si="2"/>
        <v>633601.15000000014</v>
      </c>
      <c r="S9" s="36">
        <f>'A) Base RI'!AM9</f>
        <v>76</v>
      </c>
      <c r="T9" s="2">
        <f t="shared" si="3"/>
        <v>583474.50000000012</v>
      </c>
      <c r="U9" s="2">
        <f t="shared" si="4"/>
        <v>8336.8572368421064</v>
      </c>
      <c r="V9" s="10">
        <f>'A) Base RI'!O9</f>
        <v>0</v>
      </c>
      <c r="W9" s="10">
        <f>'A) Base RI'!P9</f>
        <v>30019</v>
      </c>
      <c r="X9" s="10">
        <f>'A) Base RI'!R9</f>
        <v>19563.849999999999</v>
      </c>
      <c r="Y9" s="2">
        <f t="shared" si="5"/>
        <v>49582.85</v>
      </c>
      <c r="Z9" s="10">
        <f>'A) Base RI'!N9</f>
        <v>6233.65</v>
      </c>
      <c r="AA9" s="10">
        <f>'A) Base RI'!S9+'A) Base RI'!T9</f>
        <v>0</v>
      </c>
      <c r="AB9" s="10">
        <f>+'A) Base RI'!U9</f>
        <v>5400</v>
      </c>
      <c r="AC9" s="10">
        <f>'A) Base RI'!V9</f>
        <v>0</v>
      </c>
      <c r="AD9" s="10">
        <f>+'A) Base RI'!W9</f>
        <v>0</v>
      </c>
      <c r="AE9" s="10">
        <f>'A) Base RI'!Y9</f>
        <v>80</v>
      </c>
      <c r="AF9" s="10">
        <f>'A) Base RI'!Z9</f>
        <v>0</v>
      </c>
      <c r="AG9" s="10">
        <f>'A) Base RI'!AA9</f>
        <v>57040.85</v>
      </c>
      <c r="AH9" s="10">
        <f>'A) Base RI'!AB9</f>
        <v>0</v>
      </c>
      <c r="AI9" s="10">
        <f>'A) Base RI'!AC9</f>
        <v>33667.300000000003</v>
      </c>
      <c r="AJ9" s="10">
        <f>'A) Base RI'!AD9</f>
        <v>80</v>
      </c>
      <c r="AK9" s="10">
        <f>'A) Base RI'!AE9</f>
        <v>0</v>
      </c>
      <c r="AL9" s="10">
        <f>'A) Base RI'!AF9</f>
        <v>0</v>
      </c>
      <c r="AM9" s="10">
        <f>'A) Base RI'!AG9</f>
        <v>31200</v>
      </c>
      <c r="AN9" s="10">
        <f>'A) Base RI'!AH9</f>
        <v>0</v>
      </c>
      <c r="AO9" s="10">
        <f>'A) Base RI'!AI9</f>
        <v>0</v>
      </c>
      <c r="AP9" s="10">
        <f>'A) Base RI'!AJ9</f>
        <v>0</v>
      </c>
      <c r="AQ9" s="10">
        <f>'A) Base RI'!AK9</f>
        <v>0</v>
      </c>
      <c r="AR9" s="10">
        <f>'A) Base RI'!AN9</f>
        <v>395</v>
      </c>
    </row>
    <row r="10" spans="1:44" x14ac:dyDescent="0.25">
      <c r="A10" s="8">
        <f>'A) Base RI'!A10</f>
        <v>5404</v>
      </c>
      <c r="B10" s="35" t="str">
        <f>'A) Base RI'!B10</f>
        <v>Corbeyrier</v>
      </c>
      <c r="C10" s="10">
        <f>'A) Base RI'!C10+'A) Base RI'!D10</f>
        <v>2725140.87</v>
      </c>
      <c r="D10" s="10">
        <f>'A) Base RI'!AO10</f>
        <v>-15582.99</v>
      </c>
      <c r="E10" s="34">
        <f>'A) Base RI'!AP10</f>
        <v>0</v>
      </c>
      <c r="F10" s="34">
        <f>'A) Base RI'!AQ10</f>
        <v>-1.1299999999999999</v>
      </c>
      <c r="G10" s="2">
        <f t="shared" si="0"/>
        <v>2709556.75</v>
      </c>
      <c r="H10" s="10">
        <f>'A) Base RI'!E10</f>
        <v>0</v>
      </c>
      <c r="I10" s="10">
        <f>'A) Base RI'!F10</f>
        <v>0</v>
      </c>
      <c r="J10" s="10">
        <f>'A) Base RI'!G10+'A) Base RI'!H10</f>
        <v>3788.6</v>
      </c>
      <c r="K10" s="10">
        <f>'A) Base RI'!I10</f>
        <v>0</v>
      </c>
      <c r="L10" s="10">
        <f>'A) Base RI'!J10</f>
        <v>3320.81</v>
      </c>
      <c r="M10" s="10">
        <f>'A) Base RI'!K10</f>
        <v>567.5</v>
      </c>
      <c r="N10" s="10">
        <f>'A) Base RI'!Q10</f>
        <v>5414.44</v>
      </c>
      <c r="O10" s="10">
        <f t="shared" si="1"/>
        <v>71839.599999999991</v>
      </c>
      <c r="P10" s="10">
        <f>'A) Base RI'!L10</f>
        <v>107759.4</v>
      </c>
      <c r="Q10" s="37">
        <f>'A) Base RI'!AR10</f>
        <v>1.5</v>
      </c>
      <c r="R10" s="2">
        <f t="shared" si="2"/>
        <v>2794487.7</v>
      </c>
      <c r="S10" s="36">
        <f>'A) Base RI'!AM10</f>
        <v>70</v>
      </c>
      <c r="T10" s="2">
        <f t="shared" si="3"/>
        <v>2722080.6</v>
      </c>
      <c r="U10" s="2">
        <f t="shared" si="4"/>
        <v>39921.252857142863</v>
      </c>
      <c r="V10" s="10">
        <f>'A) Base RI'!O10</f>
        <v>44258.9</v>
      </c>
      <c r="W10" s="10">
        <f>'A) Base RI'!P10</f>
        <v>18891.650000000001</v>
      </c>
      <c r="X10" s="10">
        <f>'A) Base RI'!R10</f>
        <v>15792.1</v>
      </c>
      <c r="Y10" s="2">
        <f t="shared" si="5"/>
        <v>78942.650000000009</v>
      </c>
      <c r="Z10" s="10">
        <f>'A) Base RI'!N10</f>
        <v>17833.2</v>
      </c>
      <c r="AA10" s="10">
        <f>'A) Base RI'!S10+'A) Base RI'!T10</f>
        <v>266.8</v>
      </c>
      <c r="AB10" s="10">
        <f>+'A) Base RI'!U10</f>
        <v>5450</v>
      </c>
      <c r="AC10" s="10">
        <f>'A) Base RI'!V10</f>
        <v>0</v>
      </c>
      <c r="AD10" s="10">
        <f>+'A) Base RI'!W10</f>
        <v>0</v>
      </c>
      <c r="AE10" s="10">
        <f>'A) Base RI'!Y10</f>
        <v>29943</v>
      </c>
      <c r="AF10" s="10">
        <f>'A) Base RI'!Z10</f>
        <v>12114.8</v>
      </c>
      <c r="AG10" s="10">
        <f>'A) Base RI'!AA10</f>
        <v>113637.9</v>
      </c>
      <c r="AH10" s="10">
        <f>'A) Base RI'!AB10</f>
        <v>0</v>
      </c>
      <c r="AI10" s="10">
        <f>'A) Base RI'!AC10</f>
        <v>33409.65</v>
      </c>
      <c r="AJ10" s="10">
        <f>'A) Base RI'!AD10</f>
        <v>19962</v>
      </c>
      <c r="AK10" s="10">
        <f>'A) Base RI'!AE10</f>
        <v>8480.35</v>
      </c>
      <c r="AL10" s="10">
        <f>'A) Base RI'!AF10</f>
        <v>0</v>
      </c>
      <c r="AM10" s="10">
        <f>'A) Base RI'!AG10</f>
        <v>4111.95</v>
      </c>
      <c r="AN10" s="10">
        <f>'A) Base RI'!AH10</f>
        <v>0</v>
      </c>
      <c r="AO10" s="10">
        <f>'A) Base RI'!AI10</f>
        <v>0</v>
      </c>
      <c r="AP10" s="10">
        <f>'A) Base RI'!AJ10</f>
        <v>0</v>
      </c>
      <c r="AQ10" s="10">
        <f>'A) Base RI'!AK10</f>
        <v>0</v>
      </c>
      <c r="AR10" s="10">
        <f>'A) Base RI'!AN10</f>
        <v>440</v>
      </c>
    </row>
    <row r="11" spans="1:44" x14ac:dyDescent="0.25">
      <c r="A11" s="8">
        <f>'A) Base RI'!A11</f>
        <v>5405</v>
      </c>
      <c r="B11" s="35" t="str">
        <f>'A) Base RI'!B11</f>
        <v>Gryon</v>
      </c>
      <c r="C11" s="10">
        <f>'A) Base RI'!C11+'A) Base RI'!D11</f>
        <v>4034445.11</v>
      </c>
      <c r="D11" s="10">
        <f>'A) Base RI'!AO11</f>
        <v>-40065.300000000003</v>
      </c>
      <c r="E11" s="34">
        <f>'A) Base RI'!AP11</f>
        <v>0</v>
      </c>
      <c r="F11" s="34">
        <f>'A) Base RI'!AQ11</f>
        <v>-561.19000000000005</v>
      </c>
      <c r="G11" s="2">
        <f t="shared" si="0"/>
        <v>3993818.62</v>
      </c>
      <c r="H11" s="10">
        <f>'A) Base RI'!E11</f>
        <v>0</v>
      </c>
      <c r="I11" s="10">
        <f>'A) Base RI'!F11</f>
        <v>0</v>
      </c>
      <c r="J11" s="10">
        <f>'A) Base RI'!G11+'A) Base RI'!H11</f>
        <v>55136</v>
      </c>
      <c r="K11" s="10">
        <f>'A) Base RI'!I11</f>
        <v>189670.69</v>
      </c>
      <c r="L11" s="10">
        <f>'A) Base RI'!J11</f>
        <v>111950.61</v>
      </c>
      <c r="M11" s="10">
        <f>'A) Base RI'!K11</f>
        <v>10027.5</v>
      </c>
      <c r="N11" s="10">
        <f>'A) Base RI'!Q11</f>
        <v>3336.64</v>
      </c>
      <c r="O11" s="10">
        <f t="shared" si="1"/>
        <v>500931.33333333331</v>
      </c>
      <c r="P11" s="10">
        <f>'A) Base RI'!L11</f>
        <v>751397</v>
      </c>
      <c r="Q11" s="37">
        <f>'A) Base RI'!AR11</f>
        <v>1.5</v>
      </c>
      <c r="R11" s="2">
        <f t="shared" si="2"/>
        <v>4864871.3933333335</v>
      </c>
      <c r="S11" s="36">
        <f>'A) Base RI'!AM11</f>
        <v>75</v>
      </c>
      <c r="T11" s="2">
        <f t="shared" si="3"/>
        <v>4353912.5600000005</v>
      </c>
      <c r="U11" s="2">
        <f t="shared" si="4"/>
        <v>64864.951911111115</v>
      </c>
      <c r="V11" s="10">
        <f>'A) Base RI'!O11</f>
        <v>130090.5</v>
      </c>
      <c r="W11" s="10">
        <f>'A) Base RI'!P11</f>
        <v>300408.45</v>
      </c>
      <c r="X11" s="10">
        <f>'A) Base RI'!R11</f>
        <v>176792.45</v>
      </c>
      <c r="Y11" s="2">
        <f t="shared" si="5"/>
        <v>607291.4</v>
      </c>
      <c r="Z11" s="10">
        <f>'A) Base RI'!N11</f>
        <v>0</v>
      </c>
      <c r="AA11" s="10">
        <f>'A) Base RI'!S11+'A) Base RI'!T11</f>
        <v>6175</v>
      </c>
      <c r="AB11" s="10">
        <f>+'A) Base RI'!U11</f>
        <v>8400</v>
      </c>
      <c r="AC11" s="10">
        <f>'A) Base RI'!V11</f>
        <v>610</v>
      </c>
      <c r="AD11" s="10">
        <f>+'A) Base RI'!W11</f>
        <v>0</v>
      </c>
      <c r="AE11" s="10">
        <f>'A) Base RI'!Y11</f>
        <v>13308.85</v>
      </c>
      <c r="AF11" s="10">
        <f>'A) Base RI'!Z11</f>
        <v>0</v>
      </c>
      <c r="AG11" s="10">
        <f>'A) Base RI'!AA11</f>
        <v>174131.42</v>
      </c>
      <c r="AH11" s="10">
        <f>'A) Base RI'!AB11</f>
        <v>0</v>
      </c>
      <c r="AI11" s="10">
        <f>'A) Base RI'!AC11</f>
        <v>398281.15</v>
      </c>
      <c r="AJ11" s="10">
        <f>'A) Base RI'!AD11</f>
        <v>34486</v>
      </c>
      <c r="AK11" s="10">
        <f>'A) Base RI'!AE11</f>
        <v>0</v>
      </c>
      <c r="AL11" s="10">
        <f>'A) Base RI'!AF11</f>
        <v>0</v>
      </c>
      <c r="AM11" s="10">
        <f>'A) Base RI'!AG11</f>
        <v>0</v>
      </c>
      <c r="AN11" s="10">
        <f>'A) Base RI'!AH11</f>
        <v>0</v>
      </c>
      <c r="AO11" s="10">
        <f>'A) Base RI'!AI11</f>
        <v>0</v>
      </c>
      <c r="AP11" s="10">
        <f>'A) Base RI'!AJ11</f>
        <v>0</v>
      </c>
      <c r="AQ11" s="10">
        <f>'A) Base RI'!AK11</f>
        <v>0</v>
      </c>
      <c r="AR11" s="10">
        <f>'A) Base RI'!AN11</f>
        <v>1342</v>
      </c>
    </row>
    <row r="12" spans="1:44" x14ac:dyDescent="0.25">
      <c r="A12" s="8">
        <f>'A) Base RI'!A12</f>
        <v>5406</v>
      </c>
      <c r="B12" s="35" t="str">
        <f>'A) Base RI'!B12</f>
        <v>Lavey-Morcles</v>
      </c>
      <c r="C12" s="10">
        <f>'A) Base RI'!C12+'A) Base RI'!D12</f>
        <v>1133857.92</v>
      </c>
      <c r="D12" s="10">
        <f>'A) Base RI'!AO12</f>
        <v>-29396.93</v>
      </c>
      <c r="E12" s="34">
        <f>'A) Base RI'!AP12</f>
        <v>0</v>
      </c>
      <c r="F12" s="34">
        <f>'A) Base RI'!AQ12</f>
        <v>0</v>
      </c>
      <c r="G12" s="2">
        <f t="shared" si="0"/>
        <v>1104460.99</v>
      </c>
      <c r="H12" s="10">
        <f>'A) Base RI'!E12</f>
        <v>0</v>
      </c>
      <c r="I12" s="10">
        <f>'A) Base RI'!F12</f>
        <v>0</v>
      </c>
      <c r="J12" s="10">
        <f>'A) Base RI'!G12+'A) Base RI'!H12</f>
        <v>151670.69999999998</v>
      </c>
      <c r="K12" s="10">
        <f>'A) Base RI'!I12</f>
        <v>0</v>
      </c>
      <c r="L12" s="10">
        <f>'A) Base RI'!J12</f>
        <v>37235.29</v>
      </c>
      <c r="M12" s="10">
        <f>'A) Base RI'!K12</f>
        <v>7564.5</v>
      </c>
      <c r="N12" s="10">
        <f>'A) Base RI'!Q12</f>
        <v>3245.99</v>
      </c>
      <c r="O12" s="10">
        <f t="shared" si="1"/>
        <v>133493.5</v>
      </c>
      <c r="P12" s="10">
        <f>'A) Base RI'!L12</f>
        <v>173541.55</v>
      </c>
      <c r="Q12" s="37">
        <f>'A) Base RI'!AR12</f>
        <v>1.3</v>
      </c>
      <c r="R12" s="2">
        <f t="shared" si="2"/>
        <v>1437670.97</v>
      </c>
      <c r="S12" s="36">
        <f>'A) Base RI'!AM12</f>
        <v>71</v>
      </c>
      <c r="T12" s="2">
        <f t="shared" si="3"/>
        <v>1296612.97</v>
      </c>
      <c r="U12" s="2">
        <f t="shared" si="4"/>
        <v>20248.886901408452</v>
      </c>
      <c r="V12" s="10">
        <f>'A) Base RI'!O12</f>
        <v>2135.6</v>
      </c>
      <c r="W12" s="10">
        <f>'A) Base RI'!P12</f>
        <v>5547</v>
      </c>
      <c r="X12" s="10">
        <f>'A) Base RI'!R12</f>
        <v>19037.25</v>
      </c>
      <c r="Y12" s="2">
        <f t="shared" si="5"/>
        <v>26719.85</v>
      </c>
      <c r="Z12" s="10">
        <f>'A) Base RI'!N12</f>
        <v>0</v>
      </c>
      <c r="AA12" s="10">
        <f>'A) Base RI'!S12+'A) Base RI'!T12</f>
        <v>0</v>
      </c>
      <c r="AB12" s="10">
        <f>+'A) Base RI'!U12</f>
        <v>6600</v>
      </c>
      <c r="AC12" s="10">
        <f>'A) Base RI'!V12</f>
        <v>203849</v>
      </c>
      <c r="AD12" s="10">
        <f>+'A) Base RI'!W12</f>
        <v>0</v>
      </c>
      <c r="AE12" s="10">
        <f>'A) Base RI'!Y12</f>
        <v>79746.899999999994</v>
      </c>
      <c r="AF12" s="10">
        <f>'A) Base RI'!Z12</f>
        <v>2808</v>
      </c>
      <c r="AG12" s="10">
        <f>'A) Base RI'!AA12</f>
        <v>274041.45</v>
      </c>
      <c r="AH12" s="10">
        <f>'A) Base RI'!AB12</f>
        <v>0</v>
      </c>
      <c r="AI12" s="10">
        <f>'A) Base RI'!AC12</f>
        <v>143248.6</v>
      </c>
      <c r="AJ12" s="10">
        <f>'A) Base RI'!AD12</f>
        <v>26379.85</v>
      </c>
      <c r="AK12" s="10">
        <f>'A) Base RI'!AE12</f>
        <v>1889.1</v>
      </c>
      <c r="AL12" s="10">
        <f>'A) Base RI'!AF12</f>
        <v>0</v>
      </c>
      <c r="AM12" s="10">
        <f>'A) Base RI'!AG12</f>
        <v>42407</v>
      </c>
      <c r="AN12" s="10">
        <f>'A) Base RI'!AH12</f>
        <v>64083.1</v>
      </c>
      <c r="AO12" s="10">
        <f>'A) Base RI'!AI12</f>
        <v>0</v>
      </c>
      <c r="AP12" s="10">
        <f>'A) Base RI'!AJ12</f>
        <v>0</v>
      </c>
      <c r="AQ12" s="10">
        <f>'A) Base RI'!AK12</f>
        <v>0</v>
      </c>
      <c r="AR12" s="10">
        <f>'A) Base RI'!AN12</f>
        <v>922</v>
      </c>
    </row>
    <row r="13" spans="1:44" x14ac:dyDescent="0.25">
      <c r="A13" s="8">
        <f>'A) Base RI'!A13</f>
        <v>5407</v>
      </c>
      <c r="B13" s="35" t="str">
        <f>'A) Base RI'!B13</f>
        <v>Leysin</v>
      </c>
      <c r="C13" s="10">
        <f>'A) Base RI'!C13+'A) Base RI'!D13</f>
        <v>5002830.75</v>
      </c>
      <c r="D13" s="10">
        <f>'A) Base RI'!AO13</f>
        <v>-156900.63</v>
      </c>
      <c r="E13" s="34">
        <f>'A) Base RI'!AP13</f>
        <v>0</v>
      </c>
      <c r="F13" s="34">
        <f>'A) Base RI'!AQ13</f>
        <v>-2491.8200000000002</v>
      </c>
      <c r="G13" s="2">
        <f t="shared" si="0"/>
        <v>4843438.3</v>
      </c>
      <c r="H13" s="10">
        <f>'A) Base RI'!E13</f>
        <v>0</v>
      </c>
      <c r="I13" s="10">
        <f>'A) Base RI'!F13</f>
        <v>0</v>
      </c>
      <c r="J13" s="10">
        <f>'A) Base RI'!G13+'A) Base RI'!H13</f>
        <v>123617.95</v>
      </c>
      <c r="K13" s="10">
        <f>'A) Base RI'!I13</f>
        <v>126338.06</v>
      </c>
      <c r="L13" s="10">
        <f>'A) Base RI'!J13</f>
        <v>475791.81</v>
      </c>
      <c r="M13" s="10">
        <f>'A) Base RI'!K13</f>
        <v>57270.5</v>
      </c>
      <c r="N13" s="10">
        <f>'A) Base RI'!Q13</f>
        <v>34816.31</v>
      </c>
      <c r="O13" s="10">
        <f t="shared" si="1"/>
        <v>782383.1</v>
      </c>
      <c r="P13" s="10">
        <f>'A) Base RI'!L13</f>
        <v>1173574.6499999999</v>
      </c>
      <c r="Q13" s="37">
        <f>'A) Base RI'!AR13</f>
        <v>1.5</v>
      </c>
      <c r="R13" s="2">
        <f t="shared" si="2"/>
        <v>6443656.0299999984</v>
      </c>
      <c r="S13" s="36">
        <f>'A) Base RI'!AM13</f>
        <v>78</v>
      </c>
      <c r="T13" s="2">
        <f t="shared" si="3"/>
        <v>5604002.4299999988</v>
      </c>
      <c r="U13" s="2">
        <f t="shared" si="4"/>
        <v>82610.97474358973</v>
      </c>
      <c r="V13" s="10">
        <f>'A) Base RI'!O13</f>
        <v>1970.5</v>
      </c>
      <c r="W13" s="10">
        <f>'A) Base RI'!P13</f>
        <v>246675.65</v>
      </c>
      <c r="X13" s="10">
        <f>'A) Base RI'!R13</f>
        <v>266735.34999999998</v>
      </c>
      <c r="Y13" s="2">
        <f t="shared" si="5"/>
        <v>515381.5</v>
      </c>
      <c r="Z13" s="10">
        <f>'A) Base RI'!N13</f>
        <v>28241.95</v>
      </c>
      <c r="AA13" s="10">
        <f>'A) Base RI'!S13+'A) Base RI'!T13</f>
        <v>11531.95</v>
      </c>
      <c r="AB13" s="10">
        <f>+'A) Base RI'!U13</f>
        <v>16300</v>
      </c>
      <c r="AC13" s="10">
        <f>'A) Base RI'!V13</f>
        <v>8060.4</v>
      </c>
      <c r="AD13" s="10">
        <f>+'A) Base RI'!W13</f>
        <v>140</v>
      </c>
      <c r="AE13" s="10">
        <f>'A) Base RI'!Y13</f>
        <v>168129.7</v>
      </c>
      <c r="AF13" s="10">
        <f>'A) Base RI'!Z13</f>
        <v>0</v>
      </c>
      <c r="AG13" s="10">
        <f>'A) Base RI'!AA13</f>
        <v>572463.55000000005</v>
      </c>
      <c r="AH13" s="10">
        <f>'A) Base RI'!AB13</f>
        <v>0</v>
      </c>
      <c r="AI13" s="10">
        <f>'A) Base RI'!AC13</f>
        <v>489349.88</v>
      </c>
      <c r="AJ13" s="10">
        <f>'A) Base RI'!AD13</f>
        <v>165511.35</v>
      </c>
      <c r="AK13" s="10">
        <f>'A) Base RI'!AE13</f>
        <v>0</v>
      </c>
      <c r="AL13" s="10">
        <f>'A) Base RI'!AF13</f>
        <v>0</v>
      </c>
      <c r="AM13" s="10">
        <f>'A) Base RI'!AG13</f>
        <v>0</v>
      </c>
      <c r="AN13" s="10">
        <f>'A) Base RI'!AH13</f>
        <v>138035.25</v>
      </c>
      <c r="AO13" s="10">
        <f>'A) Base RI'!AI13</f>
        <v>0</v>
      </c>
      <c r="AP13" s="10">
        <f>'A) Base RI'!AJ13</f>
        <v>0</v>
      </c>
      <c r="AQ13" s="10">
        <f>'A) Base RI'!AK13</f>
        <v>0</v>
      </c>
      <c r="AR13" s="10">
        <f>'A) Base RI'!AN13</f>
        <v>4088</v>
      </c>
    </row>
    <row r="14" spans="1:44" x14ac:dyDescent="0.25">
      <c r="A14" s="8">
        <f>'A) Base RI'!A14</f>
        <v>5408</v>
      </c>
      <c r="B14" s="35" t="str">
        <f>'A) Base RI'!B14</f>
        <v>Noville</v>
      </c>
      <c r="C14" s="10">
        <f>'A) Base RI'!C14+'A) Base RI'!D14</f>
        <v>2050609.26</v>
      </c>
      <c r="D14" s="10">
        <f>'A) Base RI'!AO14</f>
        <v>-45856.32</v>
      </c>
      <c r="E14" s="34">
        <f>'A) Base RI'!AP14</f>
        <v>0</v>
      </c>
      <c r="F14" s="34">
        <f>'A) Base RI'!AQ14</f>
        <v>-256.08</v>
      </c>
      <c r="G14" s="2">
        <f t="shared" si="0"/>
        <v>2004496.8599999999</v>
      </c>
      <c r="H14" s="10">
        <f>'A) Base RI'!E14</f>
        <v>0</v>
      </c>
      <c r="I14" s="10">
        <f>'A) Base RI'!F14</f>
        <v>0</v>
      </c>
      <c r="J14" s="10">
        <f>'A) Base RI'!G14+'A) Base RI'!H14</f>
        <v>311894.5</v>
      </c>
      <c r="K14" s="10">
        <f>'A) Base RI'!I14</f>
        <v>0</v>
      </c>
      <c r="L14" s="10">
        <f>'A) Base RI'!J14</f>
        <v>70518.820000000007</v>
      </c>
      <c r="M14" s="10">
        <f>'A) Base RI'!K14</f>
        <v>14171</v>
      </c>
      <c r="N14" s="10">
        <f>'A) Base RI'!Q14</f>
        <v>23805.34</v>
      </c>
      <c r="O14" s="10">
        <f t="shared" si="1"/>
        <v>198548.96666666667</v>
      </c>
      <c r="P14" s="10">
        <f>'A) Base RI'!L14</f>
        <v>297823.45</v>
      </c>
      <c r="Q14" s="37">
        <f>'A) Base RI'!AR14</f>
        <v>1.5</v>
      </c>
      <c r="R14" s="2">
        <f t="shared" si="2"/>
        <v>2623435.4866666663</v>
      </c>
      <c r="S14" s="36">
        <f>'A) Base RI'!AM14</f>
        <v>78.5</v>
      </c>
      <c r="T14" s="2">
        <f t="shared" si="3"/>
        <v>2410715.5199999996</v>
      </c>
      <c r="U14" s="2">
        <f t="shared" si="4"/>
        <v>33419.560339702759</v>
      </c>
      <c r="V14" s="10">
        <f>'A) Base RI'!O14</f>
        <v>33.9</v>
      </c>
      <c r="W14" s="10">
        <f>'A) Base RI'!P14</f>
        <v>176109.45</v>
      </c>
      <c r="X14" s="10">
        <f>'A) Base RI'!R14</f>
        <v>66602.350000000006</v>
      </c>
      <c r="Y14" s="2">
        <f t="shared" si="5"/>
        <v>242745.7</v>
      </c>
      <c r="Z14" s="10">
        <f>'A) Base RI'!N14</f>
        <v>71489.75</v>
      </c>
      <c r="AA14" s="10">
        <f>'A) Base RI'!S14+'A) Base RI'!T14</f>
        <v>16495.5</v>
      </c>
      <c r="AB14" s="10">
        <f>+'A) Base RI'!U14</f>
        <v>6550</v>
      </c>
      <c r="AC14" s="10">
        <f>'A) Base RI'!V14</f>
        <v>0</v>
      </c>
      <c r="AD14" s="10">
        <f>+'A) Base RI'!W14</f>
        <v>0</v>
      </c>
      <c r="AE14" s="10">
        <f>'A) Base RI'!Y14</f>
        <v>154687</v>
      </c>
      <c r="AF14" s="10">
        <f>'A) Base RI'!Z14</f>
        <v>0</v>
      </c>
      <c r="AG14" s="10">
        <f>'A) Base RI'!AA14</f>
        <v>84538.2</v>
      </c>
      <c r="AH14" s="10">
        <f>'A) Base RI'!AB14</f>
        <v>0</v>
      </c>
      <c r="AI14" s="10">
        <f>'A) Base RI'!AC14</f>
        <v>109209.05</v>
      </c>
      <c r="AJ14" s="10">
        <f>'A) Base RI'!AD14</f>
        <v>147990.70000000001</v>
      </c>
      <c r="AK14" s="10">
        <f>'A) Base RI'!AE14</f>
        <v>0</v>
      </c>
      <c r="AL14" s="10">
        <f>'A) Base RI'!AF14</f>
        <v>0</v>
      </c>
      <c r="AM14" s="10">
        <f>'A) Base RI'!AG14</f>
        <v>57413</v>
      </c>
      <c r="AN14" s="10">
        <f>'A) Base RI'!AH14</f>
        <v>0</v>
      </c>
      <c r="AO14" s="10">
        <f>'A) Base RI'!AI14</f>
        <v>0</v>
      </c>
      <c r="AP14" s="10">
        <f>'A) Base RI'!AJ14</f>
        <v>0</v>
      </c>
      <c r="AQ14" s="10">
        <f>'A) Base RI'!AK14</f>
        <v>0</v>
      </c>
      <c r="AR14" s="10">
        <f>'A) Base RI'!AN14</f>
        <v>1056</v>
      </c>
    </row>
    <row r="15" spans="1:44" x14ac:dyDescent="0.25">
      <c r="A15" s="8">
        <f>'A) Base RI'!A15</f>
        <v>5409</v>
      </c>
      <c r="B15" s="35" t="str">
        <f>'A) Base RI'!B15</f>
        <v>Ollon</v>
      </c>
      <c r="C15" s="10">
        <f>'A) Base RI'!C15+'A) Base RI'!D15</f>
        <v>17420355.5</v>
      </c>
      <c r="D15" s="10">
        <f>'A) Base RI'!AO15</f>
        <v>-326022.56</v>
      </c>
      <c r="E15" s="34">
        <f>'A) Base RI'!AP15</f>
        <v>0</v>
      </c>
      <c r="F15" s="34">
        <f>'A) Base RI'!AQ15</f>
        <v>-9976.24</v>
      </c>
      <c r="G15" s="2">
        <f t="shared" si="0"/>
        <v>17084356.700000003</v>
      </c>
      <c r="H15" s="10">
        <f>'A) Base RI'!E15</f>
        <v>0</v>
      </c>
      <c r="I15" s="10">
        <f>'A) Base RI'!F15</f>
        <v>0</v>
      </c>
      <c r="J15" s="10">
        <f>'A) Base RI'!G15+'A) Base RI'!H15</f>
        <v>1345353.4000000001</v>
      </c>
      <c r="K15" s="10">
        <f>'A) Base RI'!I15</f>
        <v>2595680.86</v>
      </c>
      <c r="L15" s="10">
        <f>'A) Base RI'!J15</f>
        <v>859110.54</v>
      </c>
      <c r="M15" s="10">
        <f>'A) Base RI'!K15</f>
        <v>124585.5</v>
      </c>
      <c r="N15" s="10">
        <f>'A) Base RI'!Q15</f>
        <v>97140.47</v>
      </c>
      <c r="O15" s="10">
        <f t="shared" si="1"/>
        <v>2784134.8076923075</v>
      </c>
      <c r="P15" s="10">
        <f>'A) Base RI'!L15</f>
        <v>3619375.25</v>
      </c>
      <c r="Q15" s="37">
        <f>'A) Base RI'!AR15</f>
        <v>1.3</v>
      </c>
      <c r="R15" s="2">
        <f t="shared" si="2"/>
        <v>24890362.277692307</v>
      </c>
      <c r="S15" s="36">
        <f>'A) Base RI'!AM15</f>
        <v>68</v>
      </c>
      <c r="T15" s="2">
        <f t="shared" si="3"/>
        <v>21981641.969999999</v>
      </c>
      <c r="U15" s="2">
        <f t="shared" si="4"/>
        <v>366034.73937782802</v>
      </c>
      <c r="V15" s="10">
        <f>'A) Base RI'!O15</f>
        <v>1562250.5</v>
      </c>
      <c r="W15" s="10">
        <f>'A) Base RI'!P15</f>
        <v>1388024.65</v>
      </c>
      <c r="X15" s="10">
        <f>'A) Base RI'!R15</f>
        <v>931892.05</v>
      </c>
      <c r="Y15" s="2">
        <f t="shared" si="5"/>
        <v>3882167.2</v>
      </c>
      <c r="Z15" s="10">
        <f>'A) Base RI'!N15</f>
        <v>34479.550000000003</v>
      </c>
      <c r="AA15" s="10">
        <f>'A) Base RI'!S15+'A) Base RI'!T15</f>
        <v>31332</v>
      </c>
      <c r="AB15" s="10">
        <f>+'A) Base RI'!U15</f>
        <v>67800</v>
      </c>
      <c r="AC15" s="10">
        <f>'A) Base RI'!V15</f>
        <v>0</v>
      </c>
      <c r="AD15" s="10">
        <f>+'A) Base RI'!W15</f>
        <v>0</v>
      </c>
      <c r="AE15" s="10">
        <f>'A) Base RI'!Y15</f>
        <v>546300.85</v>
      </c>
      <c r="AF15" s="10">
        <f>'A) Base RI'!Z15</f>
        <v>-145286.29999999999</v>
      </c>
      <c r="AG15" s="10">
        <f>'A) Base RI'!AA15</f>
        <v>2409574.1</v>
      </c>
      <c r="AH15" s="10">
        <f>'A) Base RI'!AB15</f>
        <v>0</v>
      </c>
      <c r="AI15" s="10">
        <f>'A) Base RI'!AC15</f>
        <v>1443147.07</v>
      </c>
      <c r="AJ15" s="10">
        <f>'A) Base RI'!AD15</f>
        <v>691894.4</v>
      </c>
      <c r="AK15" s="10">
        <f>'A) Base RI'!AE15</f>
        <v>50982</v>
      </c>
      <c r="AL15" s="10">
        <f>'A) Base RI'!AF15</f>
        <v>0</v>
      </c>
      <c r="AM15" s="10">
        <f>'A) Base RI'!AG15</f>
        <v>2895583.74</v>
      </c>
      <c r="AN15" s="10">
        <f>'A) Base RI'!AH15</f>
        <v>0</v>
      </c>
      <c r="AO15" s="10">
        <f>'A) Base RI'!AI15</f>
        <v>0</v>
      </c>
      <c r="AP15" s="10">
        <f>'A) Base RI'!AJ15</f>
        <v>0</v>
      </c>
      <c r="AQ15" s="10">
        <f>'A) Base RI'!AK15</f>
        <v>0</v>
      </c>
      <c r="AR15" s="10">
        <f>'A) Base RI'!AN15</f>
        <v>7473</v>
      </c>
    </row>
    <row r="16" spans="1:44" x14ac:dyDescent="0.25">
      <c r="A16" s="8">
        <f>'A) Base RI'!A16</f>
        <v>5410</v>
      </c>
      <c r="B16" s="35" t="str">
        <f>'A) Base RI'!B16</f>
        <v>Ormont-Dessous</v>
      </c>
      <c r="C16" s="10">
        <f>'A) Base RI'!C16+'A) Base RI'!D16</f>
        <v>2348405.7999999998</v>
      </c>
      <c r="D16" s="10">
        <f>'A) Base RI'!AO16</f>
        <v>-78867.820000000007</v>
      </c>
      <c r="E16" s="34">
        <f>'A) Base RI'!AP16</f>
        <v>0</v>
      </c>
      <c r="F16" s="34">
        <f>'A) Base RI'!AQ16</f>
        <v>-105.2</v>
      </c>
      <c r="G16" s="2">
        <f t="shared" si="0"/>
        <v>2269432.7799999998</v>
      </c>
      <c r="H16" s="10">
        <f>'A) Base RI'!E16</f>
        <v>0</v>
      </c>
      <c r="I16" s="10">
        <f>'A) Base RI'!F16</f>
        <v>0</v>
      </c>
      <c r="J16" s="10">
        <f>'A) Base RI'!G16+'A) Base RI'!H16</f>
        <v>135345.25</v>
      </c>
      <c r="K16" s="10">
        <f>'A) Base RI'!I16</f>
        <v>0</v>
      </c>
      <c r="L16" s="10">
        <f>'A) Base RI'!J16</f>
        <v>81208.710000000006</v>
      </c>
      <c r="M16" s="10">
        <f>'A) Base RI'!K16</f>
        <v>9253</v>
      </c>
      <c r="N16" s="10">
        <f>'A) Base RI'!Q16</f>
        <v>13945.7</v>
      </c>
      <c r="O16" s="10">
        <f t="shared" si="1"/>
        <v>352313.06666666665</v>
      </c>
      <c r="P16" s="10">
        <f>'A) Base RI'!L16</f>
        <v>528469.6</v>
      </c>
      <c r="Q16" s="37">
        <f>'A) Base RI'!AR16</f>
        <v>1.5</v>
      </c>
      <c r="R16" s="2">
        <f t="shared" si="2"/>
        <v>2861498.5066666668</v>
      </c>
      <c r="S16" s="36">
        <f>'A) Base RI'!AM16</f>
        <v>78.5</v>
      </c>
      <c r="T16" s="2">
        <f t="shared" si="3"/>
        <v>2499932.44</v>
      </c>
      <c r="U16" s="2">
        <f t="shared" si="4"/>
        <v>36452.210276008496</v>
      </c>
      <c r="V16" s="10">
        <f>'A) Base RI'!O16</f>
        <v>17062.7</v>
      </c>
      <c r="W16" s="10">
        <f>'A) Base RI'!P16</f>
        <v>90373.4</v>
      </c>
      <c r="X16" s="10">
        <f>'A) Base RI'!R16</f>
        <v>128800</v>
      </c>
      <c r="Y16" s="2">
        <f t="shared" si="5"/>
        <v>236236.09999999998</v>
      </c>
      <c r="Z16" s="10">
        <f>'A) Base RI'!N16</f>
        <v>0</v>
      </c>
      <c r="AA16" s="10">
        <f>'A) Base RI'!S16+'A) Base RI'!T16</f>
        <v>8938.2000000000007</v>
      </c>
      <c r="AB16" s="10">
        <f>+'A) Base RI'!U16</f>
        <v>21060</v>
      </c>
      <c r="AC16" s="10">
        <f>'A) Base RI'!V16</f>
        <v>3405.81</v>
      </c>
      <c r="AD16" s="10">
        <f>+'A) Base RI'!W16</f>
        <v>0</v>
      </c>
      <c r="AE16" s="10">
        <f>'A) Base RI'!Y16</f>
        <v>24629.599999999999</v>
      </c>
      <c r="AF16" s="10">
        <f>'A) Base RI'!Z16</f>
        <v>0</v>
      </c>
      <c r="AG16" s="10">
        <f>'A) Base RI'!AA16</f>
        <v>453741.45</v>
      </c>
      <c r="AH16" s="10">
        <f>'A) Base RI'!AB16</f>
        <v>0</v>
      </c>
      <c r="AI16" s="10">
        <f>'A) Base RI'!AC16</f>
        <v>274539.28000000003</v>
      </c>
      <c r="AJ16" s="10">
        <f>'A) Base RI'!AD16</f>
        <v>10618.6</v>
      </c>
      <c r="AK16" s="10">
        <f>'A) Base RI'!AE16</f>
        <v>0</v>
      </c>
      <c r="AL16" s="10">
        <f>'A) Base RI'!AF16</f>
        <v>0</v>
      </c>
      <c r="AM16" s="10">
        <f>'A) Base RI'!AG16</f>
        <v>313503.65000000002</v>
      </c>
      <c r="AN16" s="10">
        <f>'A) Base RI'!AH16</f>
        <v>62938.95</v>
      </c>
      <c r="AO16" s="10">
        <f>'A) Base RI'!AI16</f>
        <v>0</v>
      </c>
      <c r="AP16" s="10">
        <f>'A) Base RI'!AJ16</f>
        <v>35965.1</v>
      </c>
      <c r="AQ16" s="10">
        <f>'A) Base RI'!AK16</f>
        <v>0</v>
      </c>
      <c r="AR16" s="10">
        <f>'A) Base RI'!AN16</f>
        <v>1105</v>
      </c>
    </row>
    <row r="17" spans="1:44" x14ac:dyDescent="0.25">
      <c r="A17" s="8">
        <f>'A) Base RI'!A17</f>
        <v>5411</v>
      </c>
      <c r="B17" s="35" t="str">
        <f>'A) Base RI'!B17</f>
        <v>Ormont-Dessus</v>
      </c>
      <c r="C17" s="10">
        <f>'A) Base RI'!C17+'A) Base RI'!D17</f>
        <v>4484571.46</v>
      </c>
      <c r="D17" s="10">
        <f>'A) Base RI'!AO17</f>
        <v>-36450.97</v>
      </c>
      <c r="E17" s="34">
        <f>'A) Base RI'!AP17</f>
        <v>0</v>
      </c>
      <c r="F17" s="34">
        <f>'A) Base RI'!AQ17</f>
        <v>-1499.14</v>
      </c>
      <c r="G17" s="2">
        <f t="shared" si="0"/>
        <v>4446621.3500000006</v>
      </c>
      <c r="H17" s="10">
        <f>'A) Base RI'!E17</f>
        <v>0</v>
      </c>
      <c r="I17" s="10">
        <f>'A) Base RI'!F17</f>
        <v>0</v>
      </c>
      <c r="J17" s="10">
        <f>'A) Base RI'!G17+'A) Base RI'!H17</f>
        <v>134950</v>
      </c>
      <c r="K17" s="10">
        <f>'A) Base RI'!I17</f>
        <v>64149.7</v>
      </c>
      <c r="L17" s="10">
        <f>'A) Base RI'!J17</f>
        <v>179211.59</v>
      </c>
      <c r="M17" s="10">
        <f>'A) Base RI'!K17</f>
        <v>23783.5</v>
      </c>
      <c r="N17" s="10">
        <f>'A) Base RI'!Q17</f>
        <v>14429.55</v>
      </c>
      <c r="O17" s="10">
        <f t="shared" si="1"/>
        <v>764496.6</v>
      </c>
      <c r="P17" s="10">
        <f>'A) Base RI'!L17</f>
        <v>1146744.8999999999</v>
      </c>
      <c r="Q17" s="37">
        <f>'A) Base RI'!AR17</f>
        <v>1.5</v>
      </c>
      <c r="R17" s="2">
        <f t="shared" si="2"/>
        <v>5627642.29</v>
      </c>
      <c r="S17" s="36">
        <f>'A) Base RI'!AM17</f>
        <v>76</v>
      </c>
      <c r="T17" s="2">
        <f t="shared" si="3"/>
        <v>4839362.1900000004</v>
      </c>
      <c r="U17" s="2">
        <f t="shared" si="4"/>
        <v>74047.924868421047</v>
      </c>
      <c r="V17" s="10">
        <f>'A) Base RI'!O17</f>
        <v>23631.599999999999</v>
      </c>
      <c r="W17" s="10">
        <f>'A) Base RI'!P17</f>
        <v>336512.55</v>
      </c>
      <c r="X17" s="10">
        <f>'A) Base RI'!R17</f>
        <v>104044.1</v>
      </c>
      <c r="Y17" s="2">
        <f t="shared" si="5"/>
        <v>464188.25</v>
      </c>
      <c r="Z17" s="10">
        <f>'A) Base RI'!N17</f>
        <v>10854.5</v>
      </c>
      <c r="AA17" s="10">
        <f>'A) Base RI'!S17+'A) Base RI'!T17</f>
        <v>12532.95</v>
      </c>
      <c r="AB17" s="10">
        <f>+'A) Base RI'!U17</f>
        <v>9750</v>
      </c>
      <c r="AC17" s="10">
        <f>'A) Base RI'!V17</f>
        <v>0</v>
      </c>
      <c r="AD17" s="10">
        <f>+'A) Base RI'!W17</f>
        <v>0</v>
      </c>
      <c r="AE17" s="10">
        <f>'A) Base RI'!Y17</f>
        <v>20262.400000000001</v>
      </c>
      <c r="AF17" s="10">
        <f>'A) Base RI'!Z17</f>
        <v>0</v>
      </c>
      <c r="AG17" s="10">
        <f>'A) Base RI'!AA17</f>
        <v>366412.57</v>
      </c>
      <c r="AH17" s="10">
        <f>'A) Base RI'!AB17</f>
        <v>0</v>
      </c>
      <c r="AI17" s="10">
        <f>'A) Base RI'!AC17</f>
        <v>528479.17000000004</v>
      </c>
      <c r="AJ17" s="10">
        <f>'A) Base RI'!AD17</f>
        <v>40008.800000000003</v>
      </c>
      <c r="AK17" s="10">
        <f>'A) Base RI'!AE17</f>
        <v>0</v>
      </c>
      <c r="AL17" s="10">
        <f>'A) Base RI'!AF17</f>
        <v>0</v>
      </c>
      <c r="AM17" s="10">
        <f>'A) Base RI'!AG17</f>
        <v>937342.26</v>
      </c>
      <c r="AN17" s="10">
        <f>'A) Base RI'!AH17</f>
        <v>0</v>
      </c>
      <c r="AO17" s="10">
        <f>'A) Base RI'!AI17</f>
        <v>0</v>
      </c>
      <c r="AP17" s="10">
        <f>'A) Base RI'!AJ17</f>
        <v>0</v>
      </c>
      <c r="AQ17" s="10">
        <f>'A) Base RI'!AK17</f>
        <v>28194.400000000001</v>
      </c>
      <c r="AR17" s="10">
        <f>'A) Base RI'!AN17</f>
        <v>1479</v>
      </c>
    </row>
    <row r="18" spans="1:44" x14ac:dyDescent="0.25">
      <c r="A18" s="8">
        <f>'A) Base RI'!A18</f>
        <v>5412</v>
      </c>
      <c r="B18" s="35" t="str">
        <f>'A) Base RI'!B18</f>
        <v>Rennaz</v>
      </c>
      <c r="C18" s="10">
        <f>'A) Base RI'!C18+'A) Base RI'!D18</f>
        <v>1198154.19</v>
      </c>
      <c r="D18" s="10">
        <f>'A) Base RI'!AO18</f>
        <v>-18791.439999999999</v>
      </c>
      <c r="E18" s="34">
        <f>'A) Base RI'!AP18</f>
        <v>0</v>
      </c>
      <c r="F18" s="34">
        <f>'A) Base RI'!AQ18</f>
        <v>-52.86</v>
      </c>
      <c r="G18" s="2">
        <f t="shared" si="0"/>
        <v>1179309.8899999999</v>
      </c>
      <c r="H18" s="10">
        <f>'A) Base RI'!E18</f>
        <v>0</v>
      </c>
      <c r="I18" s="10">
        <f>'A) Base RI'!F18</f>
        <v>0</v>
      </c>
      <c r="J18" s="10">
        <f>'A) Base RI'!G18+'A) Base RI'!H18</f>
        <v>312426.25</v>
      </c>
      <c r="K18" s="10">
        <f>'A) Base RI'!I18</f>
        <v>23170.799999999999</v>
      </c>
      <c r="L18" s="10">
        <f>'A) Base RI'!J18</f>
        <v>36783.83</v>
      </c>
      <c r="M18" s="10">
        <f>'A) Base RI'!K18</f>
        <v>23145.5</v>
      </c>
      <c r="N18" s="10">
        <f>'A) Base RI'!Q18</f>
        <v>-1517.97</v>
      </c>
      <c r="O18" s="10">
        <f t="shared" si="1"/>
        <v>196817.1</v>
      </c>
      <c r="P18" s="10">
        <f>'A) Base RI'!L18</f>
        <v>196817.1</v>
      </c>
      <c r="Q18" s="37">
        <f>'A) Base RI'!AR18</f>
        <v>1</v>
      </c>
      <c r="R18" s="2">
        <f t="shared" si="2"/>
        <v>1770135.4000000001</v>
      </c>
      <c r="S18" s="36">
        <f>'A) Base RI'!AM18</f>
        <v>67.5</v>
      </c>
      <c r="T18" s="2">
        <f t="shared" si="3"/>
        <v>1550172.8</v>
      </c>
      <c r="U18" s="2">
        <f t="shared" si="4"/>
        <v>26224.228148148151</v>
      </c>
      <c r="V18" s="10">
        <f>'A) Base RI'!O18</f>
        <v>0</v>
      </c>
      <c r="W18" s="10">
        <f>'A) Base RI'!P18</f>
        <v>73676</v>
      </c>
      <c r="X18" s="10">
        <f>'A) Base RI'!R18</f>
        <v>82352.55</v>
      </c>
      <c r="Y18" s="2">
        <f t="shared" si="5"/>
        <v>156028.54999999999</v>
      </c>
      <c r="Z18" s="10">
        <f>'A) Base RI'!N18</f>
        <v>86684.75</v>
      </c>
      <c r="AA18" s="10">
        <f>'A) Base RI'!S18+'A) Base RI'!T18</f>
        <v>150</v>
      </c>
      <c r="AB18" s="10">
        <f>+'A) Base RI'!U18</f>
        <v>3650</v>
      </c>
      <c r="AC18" s="10">
        <f>'A) Base RI'!V18</f>
        <v>0</v>
      </c>
      <c r="AD18" s="10">
        <f>+'A) Base RI'!W18</f>
        <v>0</v>
      </c>
      <c r="AE18" s="10">
        <f>'A) Base RI'!Y18</f>
        <v>4133.9799999999996</v>
      </c>
      <c r="AF18" s="10">
        <f>'A) Base RI'!Z18</f>
        <v>0</v>
      </c>
      <c r="AG18" s="10">
        <f>'A) Base RI'!AA18</f>
        <v>162829.26</v>
      </c>
      <c r="AH18" s="10">
        <f>'A) Base RI'!AB18</f>
        <v>0</v>
      </c>
      <c r="AI18" s="10">
        <f>'A) Base RI'!AC18</f>
        <v>101106.9</v>
      </c>
      <c r="AJ18" s="10">
        <f>'A) Base RI'!AD18</f>
        <v>3645.02</v>
      </c>
      <c r="AK18" s="10">
        <f>'A) Base RI'!AE18</f>
        <v>0</v>
      </c>
      <c r="AL18" s="10">
        <f>'A) Base RI'!AF18</f>
        <v>0</v>
      </c>
      <c r="AM18" s="10">
        <f>'A) Base RI'!AG18</f>
        <v>1374</v>
      </c>
      <c r="AN18" s="10">
        <f>'A) Base RI'!AH18</f>
        <v>53277.45</v>
      </c>
      <c r="AO18" s="10">
        <f>'A) Base RI'!AI18</f>
        <v>0</v>
      </c>
      <c r="AP18" s="10">
        <f>'A) Base RI'!AJ18</f>
        <v>0</v>
      </c>
      <c r="AQ18" s="10">
        <f>'A) Base RI'!AK18</f>
        <v>0</v>
      </c>
      <c r="AR18" s="10">
        <f>'A) Base RI'!AN18</f>
        <v>843</v>
      </c>
    </row>
    <row r="19" spans="1:44" x14ac:dyDescent="0.25">
      <c r="A19" s="8">
        <f>'A) Base RI'!A19</f>
        <v>5413</v>
      </c>
      <c r="B19" s="35" t="str">
        <f>'A) Base RI'!B19</f>
        <v>Roche</v>
      </c>
      <c r="C19" s="10">
        <f>'A) Base RI'!C19+'A) Base RI'!D19</f>
        <v>1945291.1</v>
      </c>
      <c r="D19" s="10">
        <f>'A) Base RI'!AO19</f>
        <v>-98624.99</v>
      </c>
      <c r="E19" s="34">
        <f>'A) Base RI'!AP19</f>
        <v>0</v>
      </c>
      <c r="F19" s="34">
        <f>'A) Base RI'!AQ19</f>
        <v>-108.11</v>
      </c>
      <c r="G19" s="2">
        <f t="shared" si="0"/>
        <v>1846558</v>
      </c>
      <c r="H19" s="10">
        <f>'A) Base RI'!E19</f>
        <v>0</v>
      </c>
      <c r="I19" s="10">
        <f>'A) Base RI'!F19</f>
        <v>0</v>
      </c>
      <c r="J19" s="10">
        <f>'A) Base RI'!G19+'A) Base RI'!H19</f>
        <v>483711.7</v>
      </c>
      <c r="K19" s="10">
        <f>'A) Base RI'!I19</f>
        <v>3794.75</v>
      </c>
      <c r="L19" s="10">
        <f>'A) Base RI'!J19</f>
        <v>81110.37</v>
      </c>
      <c r="M19" s="10">
        <f>'A) Base RI'!K19</f>
        <v>-15394.5</v>
      </c>
      <c r="N19" s="10">
        <f>'A) Base RI'!Q19</f>
        <v>34315.96</v>
      </c>
      <c r="O19" s="10">
        <f t="shared" si="1"/>
        <v>212751.25</v>
      </c>
      <c r="P19" s="10">
        <f>'A) Base RI'!L19</f>
        <v>212751.25</v>
      </c>
      <c r="Q19" s="37">
        <f>'A) Base RI'!AR19</f>
        <v>1</v>
      </c>
      <c r="R19" s="2">
        <f t="shared" si="2"/>
        <v>2646847.5300000003</v>
      </c>
      <c r="S19" s="36">
        <f>'A) Base RI'!AM19</f>
        <v>68</v>
      </c>
      <c r="T19" s="2">
        <f t="shared" si="3"/>
        <v>2449490.7800000003</v>
      </c>
      <c r="U19" s="2">
        <f t="shared" si="4"/>
        <v>38924.228382352943</v>
      </c>
      <c r="V19" s="10">
        <f>'A) Base RI'!O19</f>
        <v>0</v>
      </c>
      <c r="W19" s="10">
        <f>'A) Base RI'!P19</f>
        <v>188309.6</v>
      </c>
      <c r="X19" s="10">
        <f>'A) Base RI'!R19</f>
        <v>50387.1</v>
      </c>
      <c r="Y19" s="2">
        <f t="shared" si="5"/>
        <v>238696.7</v>
      </c>
      <c r="Z19" s="10">
        <f>'A) Base RI'!N19</f>
        <v>194227.4</v>
      </c>
      <c r="AA19" s="10">
        <f>'A) Base RI'!S19+'A) Base RI'!T19</f>
        <v>0</v>
      </c>
      <c r="AB19" s="10">
        <f>+'A) Base RI'!U19</f>
        <v>10362.5</v>
      </c>
      <c r="AC19" s="10">
        <f>'A) Base RI'!V19</f>
        <v>0</v>
      </c>
      <c r="AD19" s="10">
        <f>+'A) Base RI'!W19</f>
        <v>0</v>
      </c>
      <c r="AE19" s="10">
        <f>'A) Base RI'!Y19</f>
        <v>-35348.85</v>
      </c>
      <c r="AF19" s="10">
        <f>'A) Base RI'!Z19</f>
        <v>7773.8</v>
      </c>
      <c r="AG19" s="10">
        <f>'A) Base RI'!AA19</f>
        <v>152844.4</v>
      </c>
      <c r="AH19" s="10">
        <f>'A) Base RI'!AB19</f>
        <v>0</v>
      </c>
      <c r="AI19" s="10">
        <f>'A) Base RI'!AC19</f>
        <v>201524.07</v>
      </c>
      <c r="AJ19" s="10">
        <f>'A) Base RI'!AD19</f>
        <v>0</v>
      </c>
      <c r="AK19" s="10">
        <f>'A) Base RI'!AE19</f>
        <v>0</v>
      </c>
      <c r="AL19" s="10">
        <f>'A) Base RI'!AF19</f>
        <v>0</v>
      </c>
      <c r="AM19" s="10">
        <f>'A) Base RI'!AG19</f>
        <v>0</v>
      </c>
      <c r="AN19" s="10">
        <f>'A) Base RI'!AH19</f>
        <v>63378.3</v>
      </c>
      <c r="AO19" s="10">
        <f>'A) Base RI'!AI19</f>
        <v>0</v>
      </c>
      <c r="AP19" s="10">
        <f>'A) Base RI'!AJ19</f>
        <v>18050.95</v>
      </c>
      <c r="AQ19" s="10">
        <f>'A) Base RI'!AK19</f>
        <v>0</v>
      </c>
      <c r="AR19" s="10">
        <f>'A) Base RI'!AN19</f>
        <v>1597</v>
      </c>
    </row>
    <row r="20" spans="1:44" x14ac:dyDescent="0.25">
      <c r="A20" s="8">
        <f>'A) Base RI'!A20</f>
        <v>5414</v>
      </c>
      <c r="B20" s="35" t="str">
        <f>'A) Base RI'!B20</f>
        <v>Villeneuve</v>
      </c>
      <c r="C20" s="10">
        <f>'A) Base RI'!C20+'A) Base RI'!D20</f>
        <v>8229621.71</v>
      </c>
      <c r="D20" s="10">
        <f>'A) Base RI'!AO20</f>
        <v>-232841.62</v>
      </c>
      <c r="E20" s="34">
        <f>'A) Base RI'!AP20</f>
        <v>0</v>
      </c>
      <c r="F20" s="34">
        <f>'A) Base RI'!AQ20</f>
        <v>-1327.95</v>
      </c>
      <c r="G20" s="2">
        <f t="shared" si="0"/>
        <v>7995452.1399999997</v>
      </c>
      <c r="H20" s="10">
        <f>'A) Base RI'!E20</f>
        <v>0</v>
      </c>
      <c r="I20" s="10">
        <f>'A) Base RI'!F20</f>
        <v>0</v>
      </c>
      <c r="J20" s="10">
        <f>'A) Base RI'!G20+'A) Base RI'!H20</f>
        <v>1376383.2</v>
      </c>
      <c r="K20" s="10">
        <f>'A) Base RI'!I20</f>
        <v>12346.9</v>
      </c>
      <c r="L20" s="10">
        <f>'A) Base RI'!J20</f>
        <v>459007.83</v>
      </c>
      <c r="M20" s="10">
        <f>'A) Base RI'!K20</f>
        <v>145740</v>
      </c>
      <c r="N20" s="10">
        <f>'A) Base RI'!Q20</f>
        <v>32626.799999999999</v>
      </c>
      <c r="O20" s="10">
        <f t="shared" si="1"/>
        <v>1009022.65</v>
      </c>
      <c r="P20" s="10">
        <f>'A) Base RI'!L20</f>
        <v>1009022.65</v>
      </c>
      <c r="Q20" s="37">
        <f>'A) Base RI'!AR20</f>
        <v>1</v>
      </c>
      <c r="R20" s="2">
        <f t="shared" si="2"/>
        <v>11030579.520000001</v>
      </c>
      <c r="S20" s="36">
        <f>'A) Base RI'!AM20</f>
        <v>69</v>
      </c>
      <c r="T20" s="2">
        <f t="shared" si="3"/>
        <v>9875816.870000001</v>
      </c>
      <c r="U20" s="2">
        <f t="shared" si="4"/>
        <v>159863.47130434786</v>
      </c>
      <c r="V20" s="10">
        <f>'A) Base RI'!O20</f>
        <v>76875.399999999994</v>
      </c>
      <c r="W20" s="10">
        <f>'A) Base RI'!P20</f>
        <v>572736</v>
      </c>
      <c r="X20" s="10">
        <f>'A) Base RI'!R20</f>
        <v>267302.90000000002</v>
      </c>
      <c r="Y20" s="2">
        <f t="shared" si="5"/>
        <v>916914.3</v>
      </c>
      <c r="Z20" s="10">
        <f>'A) Base RI'!N20</f>
        <v>878222.3</v>
      </c>
      <c r="AA20" s="10">
        <f>'A) Base RI'!S20+'A) Base RI'!T20</f>
        <v>14640.2</v>
      </c>
      <c r="AB20" s="10">
        <f>+'A) Base RI'!U20</f>
        <v>27427.5</v>
      </c>
      <c r="AC20" s="10">
        <f>'A) Base RI'!V20</f>
        <v>0</v>
      </c>
      <c r="AD20" s="10">
        <f>+'A) Base RI'!W20</f>
        <v>3287.7</v>
      </c>
      <c r="AE20" s="10">
        <f>'A) Base RI'!Y20</f>
        <v>158063.35</v>
      </c>
      <c r="AF20" s="10">
        <f>'A) Base RI'!Z20</f>
        <v>0</v>
      </c>
      <c r="AG20" s="10">
        <f>'A) Base RI'!AA20</f>
        <v>1092396.7</v>
      </c>
      <c r="AH20" s="10">
        <f>'A) Base RI'!AB20</f>
        <v>0</v>
      </c>
      <c r="AI20" s="10">
        <f>'A) Base RI'!AC20</f>
        <v>858669.4</v>
      </c>
      <c r="AJ20" s="10">
        <f>'A) Base RI'!AD20</f>
        <v>200801.45</v>
      </c>
      <c r="AK20" s="10">
        <f>'A) Base RI'!AE20</f>
        <v>0</v>
      </c>
      <c r="AL20" s="10">
        <f>'A) Base RI'!AF20</f>
        <v>0</v>
      </c>
      <c r="AM20" s="10">
        <f>'A) Base RI'!AG20</f>
        <v>88244</v>
      </c>
      <c r="AN20" s="10">
        <f>'A) Base RI'!AH20</f>
        <v>163200</v>
      </c>
      <c r="AO20" s="10">
        <f>'A) Base RI'!AI20</f>
        <v>115400</v>
      </c>
      <c r="AP20" s="10">
        <f>'A) Base RI'!AJ20</f>
        <v>0</v>
      </c>
      <c r="AQ20" s="10">
        <f>'A) Base RI'!AK20</f>
        <v>0</v>
      </c>
      <c r="AR20" s="10">
        <f>'A) Base RI'!AN20</f>
        <v>5457</v>
      </c>
    </row>
    <row r="21" spans="1:44" x14ac:dyDescent="0.25">
      <c r="A21" s="8">
        <f>'A) Base RI'!A21</f>
        <v>5415</v>
      </c>
      <c r="B21" s="35" t="str">
        <f>'A) Base RI'!B21</f>
        <v>Yvorne</v>
      </c>
      <c r="C21" s="10">
        <f>'A) Base RI'!C21+'A) Base RI'!D21</f>
        <v>2035453.51</v>
      </c>
      <c r="D21" s="10">
        <f>'A) Base RI'!AO21</f>
        <v>-23559.81</v>
      </c>
      <c r="E21" s="34">
        <f>'A) Base RI'!AP21</f>
        <v>0</v>
      </c>
      <c r="F21" s="34">
        <f>'A) Base RI'!AQ21</f>
        <v>-385.28</v>
      </c>
      <c r="G21" s="2">
        <f t="shared" si="0"/>
        <v>2011508.42</v>
      </c>
      <c r="H21" s="10">
        <f>'A) Base RI'!E21</f>
        <v>0</v>
      </c>
      <c r="I21" s="10">
        <f>'A) Base RI'!F21</f>
        <v>0</v>
      </c>
      <c r="J21" s="10">
        <f>'A) Base RI'!G21+'A) Base RI'!H21</f>
        <v>138063.25</v>
      </c>
      <c r="K21" s="10">
        <f>'A) Base RI'!I21</f>
        <v>0</v>
      </c>
      <c r="L21" s="10">
        <f>'A) Base RI'!J21</f>
        <v>52824.83</v>
      </c>
      <c r="M21" s="10">
        <f>'A) Base RI'!K21</f>
        <v>9650</v>
      </c>
      <c r="N21" s="10">
        <f>'A) Base RI'!Q21</f>
        <v>25897.13</v>
      </c>
      <c r="O21" s="10">
        <f t="shared" si="1"/>
        <v>209338.36666666667</v>
      </c>
      <c r="P21" s="10">
        <f>'A) Base RI'!L21</f>
        <v>314007.55</v>
      </c>
      <c r="Q21" s="37">
        <f>'A) Base RI'!AR21</f>
        <v>1.5</v>
      </c>
      <c r="R21" s="2">
        <f t="shared" si="2"/>
        <v>2447281.9966666666</v>
      </c>
      <c r="S21" s="36">
        <f>'A) Base RI'!AM21</f>
        <v>68.5</v>
      </c>
      <c r="T21" s="2">
        <f t="shared" si="3"/>
        <v>2228293.63</v>
      </c>
      <c r="U21" s="2">
        <f t="shared" si="4"/>
        <v>35726.744476885644</v>
      </c>
      <c r="V21" s="10">
        <f>'A) Base RI'!O21</f>
        <v>43074.6</v>
      </c>
      <c r="W21" s="10">
        <f>'A) Base RI'!P21</f>
        <v>105100.6</v>
      </c>
      <c r="X21" s="10">
        <f>'A) Base RI'!R21</f>
        <v>73410.05</v>
      </c>
      <c r="Y21" s="2">
        <f t="shared" si="5"/>
        <v>221585.25</v>
      </c>
      <c r="Z21" s="10">
        <f>'A) Base RI'!N21</f>
        <v>37558.5</v>
      </c>
      <c r="AA21" s="10">
        <f>'A) Base RI'!S21+'A) Base RI'!T21</f>
        <v>0</v>
      </c>
      <c r="AB21" s="10">
        <f>+'A) Base RI'!U21</f>
        <v>8200</v>
      </c>
      <c r="AC21" s="10">
        <f>'A) Base RI'!V21</f>
        <v>0</v>
      </c>
      <c r="AD21" s="10">
        <f>+'A) Base RI'!W21</f>
        <v>0</v>
      </c>
      <c r="AE21" s="10">
        <f>'A) Base RI'!Y21</f>
        <v>64050.9</v>
      </c>
      <c r="AF21" s="10">
        <f>'A) Base RI'!Z21</f>
        <v>0</v>
      </c>
      <c r="AG21" s="10">
        <f>'A) Base RI'!AA21</f>
        <v>137114.01</v>
      </c>
      <c r="AH21" s="10">
        <f>'A) Base RI'!AB21</f>
        <v>0</v>
      </c>
      <c r="AI21" s="10">
        <f>'A) Base RI'!AC21</f>
        <v>41171.550000000003</v>
      </c>
      <c r="AJ21" s="10">
        <f>'A) Base RI'!AD21</f>
        <v>86048.8</v>
      </c>
      <c r="AK21" s="10">
        <f>'A) Base RI'!AE21</f>
        <v>0</v>
      </c>
      <c r="AL21" s="10">
        <f>'A) Base RI'!AF21</f>
        <v>0</v>
      </c>
      <c r="AM21" s="10">
        <f>'A) Base RI'!AG21</f>
        <v>30073</v>
      </c>
      <c r="AN21" s="10">
        <f>'A) Base RI'!AH21</f>
        <v>19000</v>
      </c>
      <c r="AO21" s="10">
        <f>'A) Base RI'!AI21</f>
        <v>0</v>
      </c>
      <c r="AP21" s="10">
        <f>'A) Base RI'!AJ21</f>
        <v>0</v>
      </c>
      <c r="AQ21" s="10">
        <f>'A) Base RI'!AK21</f>
        <v>19000</v>
      </c>
      <c r="AR21" s="10">
        <f>'A) Base RI'!AN21</f>
        <v>1061</v>
      </c>
    </row>
    <row r="22" spans="1:44" x14ac:dyDescent="0.25">
      <c r="A22" s="8">
        <f>'A) Base RI'!A22</f>
        <v>5421</v>
      </c>
      <c r="B22" s="35" t="str">
        <f>'A) Base RI'!B22</f>
        <v>Apples</v>
      </c>
      <c r="C22" s="10">
        <f>'A) Base RI'!C22+'A) Base RI'!D22</f>
        <v>3743881.96</v>
      </c>
      <c r="D22" s="10">
        <f>'A) Base RI'!AO22</f>
        <v>-35641.96</v>
      </c>
      <c r="E22" s="34">
        <f>'A) Base RI'!AP22</f>
        <v>0</v>
      </c>
      <c r="F22" s="34">
        <f>'A) Base RI'!AQ22</f>
        <v>-836.88</v>
      </c>
      <c r="G22" s="2">
        <f t="shared" si="0"/>
        <v>3707403.12</v>
      </c>
      <c r="H22" s="10">
        <f>'A) Base RI'!E22</f>
        <v>0</v>
      </c>
      <c r="I22" s="10">
        <f>'A) Base RI'!F22</f>
        <v>0</v>
      </c>
      <c r="J22" s="10">
        <f>'A) Base RI'!G22+'A) Base RI'!H22</f>
        <v>214848.75</v>
      </c>
      <c r="K22" s="10">
        <f>'A) Base RI'!I22</f>
        <v>103474.4</v>
      </c>
      <c r="L22" s="10">
        <f>'A) Base RI'!J22</f>
        <v>177561.4</v>
      </c>
      <c r="M22" s="10">
        <f>'A) Base RI'!K22</f>
        <v>10157.5</v>
      </c>
      <c r="N22" s="10">
        <f>'A) Base RI'!Q22</f>
        <v>0</v>
      </c>
      <c r="O22" s="10">
        <f t="shared" si="1"/>
        <v>270977.65000000002</v>
      </c>
      <c r="P22" s="10">
        <f>'A) Base RI'!L22</f>
        <v>270977.65000000002</v>
      </c>
      <c r="Q22" s="37">
        <f>'A) Base RI'!AR22</f>
        <v>1</v>
      </c>
      <c r="R22" s="2">
        <f t="shared" si="2"/>
        <v>4484422.82</v>
      </c>
      <c r="S22" s="36">
        <f>'A) Base RI'!AM22</f>
        <v>76</v>
      </c>
      <c r="T22" s="2">
        <f t="shared" si="3"/>
        <v>4203287.67</v>
      </c>
      <c r="U22" s="2">
        <f t="shared" si="4"/>
        <v>59005.563421052633</v>
      </c>
      <c r="V22" s="10">
        <f>'A) Base RI'!O22</f>
        <v>-16642.5</v>
      </c>
      <c r="W22" s="10">
        <f>'A) Base RI'!P22</f>
        <v>49923.5</v>
      </c>
      <c r="X22" s="10">
        <f>'A) Base RI'!R22</f>
        <v>16966.5</v>
      </c>
      <c r="Y22" s="2">
        <f t="shared" si="5"/>
        <v>50247.5</v>
      </c>
      <c r="Z22" s="10">
        <f>'A) Base RI'!N22</f>
        <v>18941.900000000001</v>
      </c>
      <c r="AA22" s="10">
        <f>'A) Base RI'!S22+'A) Base RI'!T22</f>
        <v>1062.55</v>
      </c>
      <c r="AB22" s="10">
        <f>+'A) Base RI'!U22</f>
        <v>9000</v>
      </c>
      <c r="AC22" s="10">
        <f>'A) Base RI'!V22</f>
        <v>0</v>
      </c>
      <c r="AD22" s="10">
        <f>+'A) Base RI'!W22</f>
        <v>0</v>
      </c>
      <c r="AE22" s="10">
        <f>'A) Base RI'!Y22</f>
        <v>18248</v>
      </c>
      <c r="AF22" s="10">
        <f>'A) Base RI'!Z22</f>
        <v>0</v>
      </c>
      <c r="AG22" s="10">
        <f>'A) Base RI'!AA22</f>
        <v>383880.75</v>
      </c>
      <c r="AH22" s="10">
        <f>'A) Base RI'!AB22</f>
        <v>0</v>
      </c>
      <c r="AI22" s="10">
        <f>'A) Base RI'!AC22</f>
        <v>200998.97</v>
      </c>
      <c r="AJ22" s="10">
        <f>'A) Base RI'!AD22</f>
        <v>43050</v>
      </c>
      <c r="AK22" s="10">
        <f>'A) Base RI'!AE22</f>
        <v>0</v>
      </c>
      <c r="AL22" s="10">
        <f>'A) Base RI'!AF22</f>
        <v>0</v>
      </c>
      <c r="AM22" s="10">
        <f>'A) Base RI'!AG22</f>
        <v>0</v>
      </c>
      <c r="AN22" s="10">
        <f>'A) Base RI'!AH22</f>
        <v>0</v>
      </c>
      <c r="AO22" s="10">
        <f>'A) Base RI'!AI22</f>
        <v>0</v>
      </c>
      <c r="AP22" s="10">
        <f>'A) Base RI'!AJ22</f>
        <v>0</v>
      </c>
      <c r="AQ22" s="10">
        <f>'A) Base RI'!AK22</f>
        <v>0</v>
      </c>
      <c r="AR22" s="10">
        <f>'A) Base RI'!AN22</f>
        <v>1412</v>
      </c>
    </row>
    <row r="23" spans="1:44" x14ac:dyDescent="0.25">
      <c r="A23" s="8">
        <f>'A) Base RI'!A23</f>
        <v>5422</v>
      </c>
      <c r="B23" s="35" t="str">
        <f>'A) Base RI'!B23</f>
        <v>Aubonne</v>
      </c>
      <c r="C23" s="10">
        <f>'A) Base RI'!C23+'A) Base RI'!D23</f>
        <v>10796859.280000001</v>
      </c>
      <c r="D23" s="10">
        <f>'A) Base RI'!AO23</f>
        <v>-131583.53</v>
      </c>
      <c r="E23" s="34">
        <f>'A) Base RI'!AP23</f>
        <v>0</v>
      </c>
      <c r="F23" s="34">
        <f>'A) Base RI'!AQ23</f>
        <v>-1733.23</v>
      </c>
      <c r="G23" s="2">
        <f t="shared" si="0"/>
        <v>10663542.520000001</v>
      </c>
      <c r="H23" s="10">
        <f>'A) Base RI'!E23</f>
        <v>0</v>
      </c>
      <c r="I23" s="10">
        <f>'A) Base RI'!F23</f>
        <v>0</v>
      </c>
      <c r="J23" s="10">
        <f>'A) Base RI'!G23+'A) Base RI'!H23</f>
        <v>2931938.45</v>
      </c>
      <c r="K23" s="10">
        <f>'A) Base RI'!I23</f>
        <v>244858.9</v>
      </c>
      <c r="L23" s="10">
        <f>'A) Base RI'!J23</f>
        <v>13806.26</v>
      </c>
      <c r="M23" s="10">
        <f>'A) Base RI'!K23</f>
        <v>125799</v>
      </c>
      <c r="N23" s="10">
        <f>'A) Base RI'!Q23</f>
        <v>7315.44</v>
      </c>
      <c r="O23" s="10">
        <f t="shared" si="1"/>
        <v>903935.44</v>
      </c>
      <c r="P23" s="10">
        <f>'A) Base RI'!L23</f>
        <v>903935.44</v>
      </c>
      <c r="Q23" s="37">
        <f>'A) Base RI'!AR23</f>
        <v>1</v>
      </c>
      <c r="R23" s="2">
        <f t="shared" si="2"/>
        <v>14891196.010000002</v>
      </c>
      <c r="S23" s="36">
        <f>'A) Base RI'!AM23</f>
        <v>68</v>
      </c>
      <c r="T23" s="2">
        <f t="shared" si="3"/>
        <v>13861461.570000002</v>
      </c>
      <c r="U23" s="2">
        <f t="shared" si="4"/>
        <v>218988.17661764708</v>
      </c>
      <c r="V23" s="10">
        <f>'A) Base RI'!O23</f>
        <v>18186.599999999999</v>
      </c>
      <c r="W23" s="10">
        <f>'A) Base RI'!P23</f>
        <v>334267.65000000002</v>
      </c>
      <c r="X23" s="10">
        <f>'A) Base RI'!R23</f>
        <v>221888.95</v>
      </c>
      <c r="Y23" s="2">
        <f t="shared" si="5"/>
        <v>574343.19999999995</v>
      </c>
      <c r="Z23" s="10">
        <f>'A) Base RI'!N23</f>
        <v>679640.9</v>
      </c>
      <c r="AA23" s="10">
        <f>'A) Base RI'!S23+'A) Base RI'!T23</f>
        <v>13023.6</v>
      </c>
      <c r="AB23" s="10">
        <f>+'A) Base RI'!U23</f>
        <v>20800</v>
      </c>
      <c r="AC23" s="10">
        <f>'A) Base RI'!V23</f>
        <v>0</v>
      </c>
      <c r="AD23" s="10">
        <f>+'A) Base RI'!W23</f>
        <v>0</v>
      </c>
      <c r="AE23" s="10">
        <f>'A) Base RI'!Y23</f>
        <v>21934.18</v>
      </c>
      <c r="AF23" s="10">
        <f>'A) Base RI'!Z23</f>
        <v>0</v>
      </c>
      <c r="AG23" s="10">
        <f>'A) Base RI'!AA23</f>
        <v>294881.53999999998</v>
      </c>
      <c r="AH23" s="10">
        <f>'A) Base RI'!AB23</f>
        <v>0</v>
      </c>
      <c r="AI23" s="10">
        <f>'A) Base RI'!AC23</f>
        <v>279121.89</v>
      </c>
      <c r="AJ23" s="10">
        <f>'A) Base RI'!AD23</f>
        <v>23555.14</v>
      </c>
      <c r="AK23" s="10">
        <f>'A) Base RI'!AE23</f>
        <v>0</v>
      </c>
      <c r="AL23" s="10">
        <f>'A) Base RI'!AF23</f>
        <v>0</v>
      </c>
      <c r="AM23" s="10">
        <f>'A) Base RI'!AG23</f>
        <v>0</v>
      </c>
      <c r="AN23" s="10">
        <f>'A) Base RI'!AH23</f>
        <v>209612.4</v>
      </c>
      <c r="AO23" s="10">
        <f>'A) Base RI'!AI23</f>
        <v>0</v>
      </c>
      <c r="AP23" s="10">
        <f>'A) Base RI'!AJ23</f>
        <v>0</v>
      </c>
      <c r="AQ23" s="10">
        <f>'A) Base RI'!AK23</f>
        <v>0</v>
      </c>
      <c r="AR23" s="10">
        <f>'A) Base RI'!AN23</f>
        <v>3272</v>
      </c>
    </row>
    <row r="24" spans="1:44" x14ac:dyDescent="0.25">
      <c r="A24" s="8">
        <f>'A) Base RI'!A24</f>
        <v>5423</v>
      </c>
      <c r="B24" s="35" t="str">
        <f>'A) Base RI'!B24</f>
        <v>Ballens</v>
      </c>
      <c r="C24" s="10">
        <f>'A) Base RI'!C24+'A) Base RI'!D24</f>
        <v>949297.66</v>
      </c>
      <c r="D24" s="10">
        <f>'A) Base RI'!AO24</f>
        <v>-1300.93</v>
      </c>
      <c r="E24" s="34">
        <f>'A) Base RI'!AP24</f>
        <v>0</v>
      </c>
      <c r="F24" s="34">
        <f>'A) Base RI'!AQ24</f>
        <v>-933.89</v>
      </c>
      <c r="G24" s="2">
        <f t="shared" si="0"/>
        <v>947062.84</v>
      </c>
      <c r="H24" s="10">
        <f>'A) Base RI'!E24</f>
        <v>0</v>
      </c>
      <c r="I24" s="10">
        <f>'A) Base RI'!F24</f>
        <v>2640</v>
      </c>
      <c r="J24" s="10">
        <f>'A) Base RI'!G24+'A) Base RI'!H24</f>
        <v>4075.65</v>
      </c>
      <c r="K24" s="10">
        <f>'A) Base RI'!I24</f>
        <v>0</v>
      </c>
      <c r="L24" s="10">
        <f>'A) Base RI'!J24</f>
        <v>28152.09</v>
      </c>
      <c r="M24" s="10">
        <f>'A) Base RI'!K24</f>
        <v>-5229</v>
      </c>
      <c r="N24" s="10">
        <f>'A) Base RI'!Q24</f>
        <v>11881.04</v>
      </c>
      <c r="O24" s="10">
        <f t="shared" si="1"/>
        <v>71123.199999999997</v>
      </c>
      <c r="P24" s="10">
        <f>'A) Base RI'!L24</f>
        <v>35561.599999999999</v>
      </c>
      <c r="Q24" s="37">
        <f>'A) Base RI'!AR24</f>
        <v>0.5</v>
      </c>
      <c r="R24" s="2">
        <f t="shared" si="2"/>
        <v>1059705.82</v>
      </c>
      <c r="S24" s="36">
        <f>'A) Base RI'!AM24</f>
        <v>69</v>
      </c>
      <c r="T24" s="2">
        <f t="shared" si="3"/>
        <v>991171.62</v>
      </c>
      <c r="U24" s="2">
        <f t="shared" si="4"/>
        <v>15358.055362318841</v>
      </c>
      <c r="V24" s="10">
        <f>'A) Base RI'!O24</f>
        <v>0</v>
      </c>
      <c r="W24" s="10">
        <f>'A) Base RI'!P24</f>
        <v>9537.2999999999993</v>
      </c>
      <c r="X24" s="10">
        <f>'A) Base RI'!R24</f>
        <v>3339.8</v>
      </c>
      <c r="Y24" s="2">
        <f t="shared" si="5"/>
        <v>12877.099999999999</v>
      </c>
      <c r="Z24" s="10">
        <f>'A) Base RI'!N24</f>
        <v>12734.2</v>
      </c>
      <c r="AA24" s="10">
        <f>'A) Base RI'!S24+'A) Base RI'!T24</f>
        <v>959.4</v>
      </c>
      <c r="AB24" s="10">
        <f>+'A) Base RI'!U24</f>
        <v>1275</v>
      </c>
      <c r="AC24" s="10">
        <f>'A) Base RI'!V24</f>
        <v>0</v>
      </c>
      <c r="AD24" s="10">
        <f>+'A) Base RI'!W24</f>
        <v>0</v>
      </c>
      <c r="AE24" s="10">
        <f>'A) Base RI'!Y24</f>
        <v>0</v>
      </c>
      <c r="AF24" s="10">
        <f>'A) Base RI'!Z24</f>
        <v>0</v>
      </c>
      <c r="AG24" s="10">
        <f>'A) Base RI'!AA24</f>
        <v>157536.54999999999</v>
      </c>
      <c r="AH24" s="10">
        <f>'A) Base RI'!AB24</f>
        <v>0</v>
      </c>
      <c r="AI24" s="10">
        <f>'A) Base RI'!AC24</f>
        <v>27128.400000000001</v>
      </c>
      <c r="AJ24" s="10">
        <f>'A) Base RI'!AD24</f>
        <v>0</v>
      </c>
      <c r="AK24" s="10">
        <f>'A) Base RI'!AE24</f>
        <v>0</v>
      </c>
      <c r="AL24" s="10">
        <f>'A) Base RI'!AF24</f>
        <v>0</v>
      </c>
      <c r="AM24" s="10">
        <f>'A) Base RI'!AG24</f>
        <v>0</v>
      </c>
      <c r="AN24" s="10">
        <f>'A) Base RI'!AH24</f>
        <v>11772.2</v>
      </c>
      <c r="AO24" s="10">
        <f>'A) Base RI'!AI24</f>
        <v>0</v>
      </c>
      <c r="AP24" s="10">
        <f>'A) Base RI'!AJ24</f>
        <v>0</v>
      </c>
      <c r="AQ24" s="10">
        <f>'A) Base RI'!AK24</f>
        <v>0</v>
      </c>
      <c r="AR24" s="10">
        <f>'A) Base RI'!AN24</f>
        <v>508</v>
      </c>
    </row>
    <row r="25" spans="1:44" x14ac:dyDescent="0.25">
      <c r="A25" s="8">
        <f>'A) Base RI'!A25</f>
        <v>5424</v>
      </c>
      <c r="B25" s="35" t="str">
        <f>'A) Base RI'!B25</f>
        <v>Berolle</v>
      </c>
      <c r="C25" s="10">
        <f>'A) Base RI'!C25+'A) Base RI'!D25</f>
        <v>577010.99</v>
      </c>
      <c r="D25" s="10">
        <f>'A) Base RI'!AO25</f>
        <v>-7741.81</v>
      </c>
      <c r="E25" s="34">
        <f>'A) Base RI'!AP25</f>
        <v>0</v>
      </c>
      <c r="F25" s="34">
        <f>'A) Base RI'!AQ25</f>
        <v>-89.23</v>
      </c>
      <c r="G25" s="2">
        <f t="shared" si="0"/>
        <v>569179.94999999995</v>
      </c>
      <c r="H25" s="10">
        <f>'A) Base RI'!E25</f>
        <v>0</v>
      </c>
      <c r="I25" s="10">
        <f>'A) Base RI'!F25</f>
        <v>0</v>
      </c>
      <c r="J25" s="10">
        <f>'A) Base RI'!G25+'A) Base RI'!H25</f>
        <v>-19.950000000000195</v>
      </c>
      <c r="K25" s="10">
        <f>'A) Base RI'!I25</f>
        <v>33149</v>
      </c>
      <c r="L25" s="10">
        <f>'A) Base RI'!J25</f>
        <v>45661.2</v>
      </c>
      <c r="M25" s="10">
        <f>'A) Base RI'!K25</f>
        <v>94.5</v>
      </c>
      <c r="N25" s="10">
        <f>'A) Base RI'!Q25</f>
        <v>0</v>
      </c>
      <c r="O25" s="10">
        <f t="shared" si="1"/>
        <v>49420</v>
      </c>
      <c r="P25" s="10">
        <f>'A) Base RI'!L25</f>
        <v>49420</v>
      </c>
      <c r="Q25" s="37">
        <f>'A) Base RI'!AR25</f>
        <v>1</v>
      </c>
      <c r="R25" s="2">
        <f t="shared" si="2"/>
        <v>697484.7</v>
      </c>
      <c r="S25" s="36">
        <f>'A) Base RI'!AM25</f>
        <v>77</v>
      </c>
      <c r="T25" s="2">
        <f t="shared" si="3"/>
        <v>647970.19999999995</v>
      </c>
      <c r="U25" s="2">
        <f t="shared" si="4"/>
        <v>9058.2428571428572</v>
      </c>
      <c r="V25" s="10">
        <f>'A) Base RI'!O25</f>
        <v>6884</v>
      </c>
      <c r="W25" s="10">
        <f>'A) Base RI'!P25</f>
        <v>27894.05</v>
      </c>
      <c r="X25" s="10">
        <f>'A) Base RI'!R25</f>
        <v>12503.55</v>
      </c>
      <c r="Y25" s="2">
        <f t="shared" si="5"/>
        <v>47281.600000000006</v>
      </c>
      <c r="Z25" s="10">
        <f>'A) Base RI'!N25</f>
        <v>0</v>
      </c>
      <c r="AA25" s="10">
        <f>'A) Base RI'!S25+'A) Base RI'!T25</f>
        <v>0</v>
      </c>
      <c r="AB25" s="10">
        <f>+'A) Base RI'!U25</f>
        <v>1975</v>
      </c>
      <c r="AC25" s="10">
        <f>'A) Base RI'!V25</f>
        <v>0</v>
      </c>
      <c r="AD25" s="10">
        <f>+'A) Base RI'!W25</f>
        <v>0</v>
      </c>
      <c r="AE25" s="10">
        <f>'A) Base RI'!Y25</f>
        <v>7300</v>
      </c>
      <c r="AF25" s="10">
        <f>'A) Base RI'!Z25</f>
        <v>0</v>
      </c>
      <c r="AG25" s="10">
        <f>'A) Base RI'!AA25</f>
        <v>40004.050000000003</v>
      </c>
      <c r="AH25" s="10">
        <f>'A) Base RI'!AB25</f>
        <v>0</v>
      </c>
      <c r="AI25" s="10">
        <f>'A) Base RI'!AC25</f>
        <v>12529.2</v>
      </c>
      <c r="AJ25" s="10">
        <f>'A) Base RI'!AD25</f>
        <v>6304.65</v>
      </c>
      <c r="AK25" s="10">
        <f>'A) Base RI'!AE25</f>
        <v>0</v>
      </c>
      <c r="AL25" s="10">
        <f>'A) Base RI'!AF25</f>
        <v>0</v>
      </c>
      <c r="AM25" s="10">
        <f>'A) Base RI'!AG25</f>
        <v>0</v>
      </c>
      <c r="AN25" s="10">
        <f>'A) Base RI'!AH25</f>
        <v>7253.45</v>
      </c>
      <c r="AO25" s="10">
        <f>'A) Base RI'!AI25</f>
        <v>0</v>
      </c>
      <c r="AP25" s="10">
        <f>'A) Base RI'!AJ25</f>
        <v>0</v>
      </c>
      <c r="AQ25" s="10">
        <f>'A) Base RI'!AK25</f>
        <v>0</v>
      </c>
      <c r="AR25" s="10">
        <f>'A) Base RI'!AN25</f>
        <v>301</v>
      </c>
    </row>
    <row r="26" spans="1:44" x14ac:dyDescent="0.25">
      <c r="A26" s="8">
        <f>'A) Base RI'!A26</f>
        <v>5425</v>
      </c>
      <c r="B26" s="35" t="str">
        <f>'A) Base RI'!B26</f>
        <v>Bière</v>
      </c>
      <c r="C26" s="10">
        <f>'A) Base RI'!C26+'A) Base RI'!D26</f>
        <v>2267737.61</v>
      </c>
      <c r="D26" s="10">
        <f>'A) Base RI'!AO26</f>
        <v>-38273.43</v>
      </c>
      <c r="E26" s="34">
        <f>'A) Base RI'!AP26</f>
        <v>0</v>
      </c>
      <c r="F26" s="34">
        <f>'A) Base RI'!AQ26</f>
        <v>-92.69</v>
      </c>
      <c r="G26" s="2">
        <f t="shared" si="0"/>
        <v>2229371.4899999998</v>
      </c>
      <c r="H26" s="10">
        <f>'A) Base RI'!E26</f>
        <v>0</v>
      </c>
      <c r="I26" s="10">
        <f>'A) Base RI'!F26</f>
        <v>0</v>
      </c>
      <c r="J26" s="10">
        <f>'A) Base RI'!G26+'A) Base RI'!H26</f>
        <v>146227.15</v>
      </c>
      <c r="K26" s="10">
        <f>'A) Base RI'!I26</f>
        <v>0</v>
      </c>
      <c r="L26" s="10">
        <f>'A) Base RI'!J26</f>
        <v>94786.12</v>
      </c>
      <c r="M26" s="10">
        <f>'A) Base RI'!K26</f>
        <v>13629.5</v>
      </c>
      <c r="N26" s="10">
        <f>'A) Base RI'!Q26</f>
        <v>7929.86</v>
      </c>
      <c r="O26" s="10">
        <f t="shared" si="1"/>
        <v>188142.7</v>
      </c>
      <c r="P26" s="10">
        <f>'A) Base RI'!L26</f>
        <v>94071.35</v>
      </c>
      <c r="Q26" s="37">
        <f>'A) Base RI'!AR26</f>
        <v>0.5</v>
      </c>
      <c r="R26" s="2">
        <f t="shared" si="2"/>
        <v>2680086.8199999998</v>
      </c>
      <c r="S26" s="36">
        <f>'A) Base RI'!AM26</f>
        <v>68</v>
      </c>
      <c r="T26" s="2">
        <f t="shared" si="3"/>
        <v>2478314.6199999996</v>
      </c>
      <c r="U26" s="2">
        <f t="shared" si="4"/>
        <v>39413.041470588236</v>
      </c>
      <c r="V26" s="10">
        <f>'A) Base RI'!O26</f>
        <v>142828.79999999999</v>
      </c>
      <c r="W26" s="10">
        <f>'A) Base RI'!P26</f>
        <v>100091.85</v>
      </c>
      <c r="X26" s="10">
        <f>'A) Base RI'!R26</f>
        <v>103205.8</v>
      </c>
      <c r="Y26" s="2">
        <f t="shared" si="5"/>
        <v>346126.45</v>
      </c>
      <c r="Z26" s="10">
        <f>'A) Base RI'!N26</f>
        <v>47803.7</v>
      </c>
      <c r="AA26" s="10">
        <f>'A) Base RI'!S26+'A) Base RI'!T26</f>
        <v>4829.3999999999996</v>
      </c>
      <c r="AB26" s="10">
        <f>+'A) Base RI'!U26</f>
        <v>11450</v>
      </c>
      <c r="AC26" s="10">
        <f>'A) Base RI'!V26</f>
        <v>7569.85</v>
      </c>
      <c r="AD26" s="10">
        <f>+'A) Base RI'!W26</f>
        <v>0</v>
      </c>
      <c r="AE26" s="10">
        <f>'A) Base RI'!Y26</f>
        <v>12375</v>
      </c>
      <c r="AF26" s="10">
        <f>'A) Base RI'!Z26</f>
        <v>0</v>
      </c>
      <c r="AG26" s="10">
        <f>'A) Base RI'!AA26</f>
        <v>186189.48</v>
      </c>
      <c r="AH26" s="10">
        <f>'A) Base RI'!AB26</f>
        <v>0</v>
      </c>
      <c r="AI26" s="10">
        <f>'A) Base RI'!AC26</f>
        <v>174248.91</v>
      </c>
      <c r="AJ26" s="10">
        <f>'A) Base RI'!AD26</f>
        <v>6850</v>
      </c>
      <c r="AK26" s="10">
        <f>'A) Base RI'!AE26</f>
        <v>0</v>
      </c>
      <c r="AL26" s="10">
        <f>'A) Base RI'!AF26</f>
        <v>0</v>
      </c>
      <c r="AM26" s="10">
        <f>'A) Base RI'!AG26</f>
        <v>0</v>
      </c>
      <c r="AN26" s="10">
        <f>'A) Base RI'!AH26</f>
        <v>58769.599999999999</v>
      </c>
      <c r="AO26" s="10">
        <f>'A) Base RI'!AI26</f>
        <v>0</v>
      </c>
      <c r="AP26" s="10">
        <f>'A) Base RI'!AJ26</f>
        <v>0</v>
      </c>
      <c r="AQ26" s="10">
        <f>'A) Base RI'!AK26</f>
        <v>0</v>
      </c>
      <c r="AR26" s="10">
        <f>'A) Base RI'!AN26</f>
        <v>1546</v>
      </c>
    </row>
    <row r="27" spans="1:44" x14ac:dyDescent="0.25">
      <c r="A27" s="8">
        <f>'A) Base RI'!A27</f>
        <v>5426</v>
      </c>
      <c r="B27" s="35" t="str">
        <f>'A) Base RI'!B27</f>
        <v>Bougy-Villars</v>
      </c>
      <c r="C27" s="10">
        <f>'A) Base RI'!C27+'A) Base RI'!D27</f>
        <v>1768857.23</v>
      </c>
      <c r="D27" s="10">
        <f>'A) Base RI'!AO27</f>
        <v>-61316.11</v>
      </c>
      <c r="E27" s="34">
        <f>'A) Base RI'!AP27</f>
        <v>0</v>
      </c>
      <c r="F27" s="34">
        <f>'A) Base RI'!AQ27</f>
        <v>-2141.73</v>
      </c>
      <c r="G27" s="2">
        <f t="shared" si="0"/>
        <v>1705399.39</v>
      </c>
      <c r="H27" s="10">
        <f>'A) Base RI'!E27</f>
        <v>0</v>
      </c>
      <c r="I27" s="10">
        <f>'A) Base RI'!F27</f>
        <v>0</v>
      </c>
      <c r="J27" s="10">
        <f>'A) Base RI'!G27+'A) Base RI'!H27</f>
        <v>64765.3</v>
      </c>
      <c r="K27" s="10">
        <f>'A) Base RI'!I27</f>
        <v>564261.55000000005</v>
      </c>
      <c r="L27" s="10">
        <f>'A) Base RI'!J27</f>
        <v>45521.1</v>
      </c>
      <c r="M27" s="10">
        <f>'A) Base RI'!K27</f>
        <v>4457</v>
      </c>
      <c r="N27" s="10">
        <f>'A) Base RI'!Q27</f>
        <v>28646.06</v>
      </c>
      <c r="O27" s="10">
        <f t="shared" si="1"/>
        <v>226148.15</v>
      </c>
      <c r="P27" s="10">
        <f>'A) Base RI'!L27</f>
        <v>226148.15</v>
      </c>
      <c r="Q27" s="37">
        <f>'A) Base RI'!AR27</f>
        <v>1</v>
      </c>
      <c r="R27" s="2">
        <f t="shared" si="2"/>
        <v>2639198.5500000003</v>
      </c>
      <c r="S27" s="36">
        <f>'A) Base RI'!AM27</f>
        <v>62</v>
      </c>
      <c r="T27" s="2">
        <f t="shared" si="3"/>
        <v>2408593.4000000004</v>
      </c>
      <c r="U27" s="2">
        <f t="shared" si="4"/>
        <v>42567.7185483871</v>
      </c>
      <c r="V27" s="10">
        <f>'A) Base RI'!O27</f>
        <v>5580057</v>
      </c>
      <c r="W27" s="10">
        <f>'A) Base RI'!P27</f>
        <v>30668</v>
      </c>
      <c r="X27" s="10">
        <f>'A) Base RI'!R27</f>
        <v>52895.1</v>
      </c>
      <c r="Y27" s="2">
        <f t="shared" si="5"/>
        <v>5663620.0999999996</v>
      </c>
      <c r="Z27" s="10">
        <f>'A) Base RI'!N27</f>
        <v>18980.099999999999</v>
      </c>
      <c r="AA27" s="10">
        <f>'A) Base RI'!S27+'A) Base RI'!T27</f>
        <v>700</v>
      </c>
      <c r="AB27" s="10">
        <f>+'A) Base RI'!U27</f>
        <v>3560</v>
      </c>
      <c r="AC27" s="10">
        <f>'A) Base RI'!V27</f>
        <v>0</v>
      </c>
      <c r="AD27" s="10">
        <f>+'A) Base RI'!W27</f>
        <v>0</v>
      </c>
      <c r="AE27" s="10">
        <f>'A) Base RI'!Y27</f>
        <v>41407.870000000003</v>
      </c>
      <c r="AF27" s="10">
        <f>'A) Base RI'!Z27</f>
        <v>0</v>
      </c>
      <c r="AG27" s="10">
        <f>'A) Base RI'!AA27</f>
        <v>102164</v>
      </c>
      <c r="AH27" s="10">
        <f>'A) Base RI'!AB27</f>
        <v>0</v>
      </c>
      <c r="AI27" s="10">
        <f>'A) Base RI'!AC27</f>
        <v>24547.85</v>
      </c>
      <c r="AJ27" s="10">
        <f>'A) Base RI'!AD27</f>
        <v>17594.96</v>
      </c>
      <c r="AK27" s="10">
        <f>'A) Base RI'!AE27</f>
        <v>0</v>
      </c>
      <c r="AL27" s="10">
        <f>'A) Base RI'!AF27</f>
        <v>0</v>
      </c>
      <c r="AM27" s="10">
        <f>'A) Base RI'!AG27</f>
        <v>0</v>
      </c>
      <c r="AN27" s="10">
        <f>'A) Base RI'!AH27</f>
        <v>0</v>
      </c>
      <c r="AO27" s="10">
        <f>'A) Base RI'!AI27</f>
        <v>0</v>
      </c>
      <c r="AP27" s="10">
        <f>'A) Base RI'!AJ27</f>
        <v>0</v>
      </c>
      <c r="AQ27" s="10">
        <f>'A) Base RI'!AK27</f>
        <v>0</v>
      </c>
      <c r="AR27" s="10">
        <f>'A) Base RI'!AN27</f>
        <v>467</v>
      </c>
    </row>
    <row r="28" spans="1:44" x14ac:dyDescent="0.25">
      <c r="A28" s="8">
        <f>'A) Base RI'!A28</f>
        <v>5427</v>
      </c>
      <c r="B28" s="35" t="str">
        <f>'A) Base RI'!B28</f>
        <v>Féchy</v>
      </c>
      <c r="C28" s="10">
        <f>'A) Base RI'!C28+'A) Base RI'!D28</f>
        <v>4077997.48</v>
      </c>
      <c r="D28" s="10">
        <f>'A) Base RI'!AO28</f>
        <v>-280.08</v>
      </c>
      <c r="E28" s="34">
        <f>'A) Base RI'!AP28</f>
        <v>0</v>
      </c>
      <c r="F28" s="34">
        <f>'A) Base RI'!AQ28</f>
        <v>0</v>
      </c>
      <c r="G28" s="2">
        <f t="shared" si="0"/>
        <v>4077717.4</v>
      </c>
      <c r="H28" s="10">
        <f>'A) Base RI'!E28</f>
        <v>0</v>
      </c>
      <c r="I28" s="10">
        <f>'A) Base RI'!F28</f>
        <v>0</v>
      </c>
      <c r="J28" s="10">
        <f>'A) Base RI'!G28+'A) Base RI'!H28</f>
        <v>11135.8</v>
      </c>
      <c r="K28" s="10">
        <f>'A) Base RI'!I28</f>
        <v>0</v>
      </c>
      <c r="L28" s="10">
        <f>'A) Base RI'!J28</f>
        <v>-14751.18</v>
      </c>
      <c r="M28" s="10">
        <f>'A) Base RI'!K28</f>
        <v>2738</v>
      </c>
      <c r="N28" s="10">
        <f>'A) Base RI'!Q28</f>
        <v>0</v>
      </c>
      <c r="O28" s="10">
        <f t="shared" si="1"/>
        <v>325507.42307692306</v>
      </c>
      <c r="P28" s="10">
        <f>'A) Base RI'!L28</f>
        <v>423159.65</v>
      </c>
      <c r="Q28" s="37">
        <f>'A) Base RI'!AR28</f>
        <v>1.3</v>
      </c>
      <c r="R28" s="2">
        <f t="shared" si="2"/>
        <v>4402347.4430769226</v>
      </c>
      <c r="S28" s="36">
        <f>'A) Base RI'!AM28</f>
        <v>64</v>
      </c>
      <c r="T28" s="2">
        <f t="shared" si="3"/>
        <v>4074102.0199999996</v>
      </c>
      <c r="U28" s="2">
        <f t="shared" si="4"/>
        <v>68786.678798076915</v>
      </c>
      <c r="V28" s="10">
        <f>'A) Base RI'!O28</f>
        <v>9416.9</v>
      </c>
      <c r="W28" s="10">
        <f>'A) Base RI'!P28</f>
        <v>153965</v>
      </c>
      <c r="X28" s="10">
        <f>'A) Base RI'!R28</f>
        <v>181710.8</v>
      </c>
      <c r="Y28" s="2">
        <f t="shared" si="5"/>
        <v>345092.69999999995</v>
      </c>
      <c r="Z28" s="10">
        <f>'A) Base RI'!N28</f>
        <v>9672.0499999999993</v>
      </c>
      <c r="AA28" s="10">
        <f>'A) Base RI'!S28+'A) Base RI'!T28</f>
        <v>0</v>
      </c>
      <c r="AB28" s="10">
        <f>+'A) Base RI'!U28</f>
        <v>4410</v>
      </c>
      <c r="AC28" s="10">
        <f>'A) Base RI'!V28</f>
        <v>0</v>
      </c>
      <c r="AD28" s="10">
        <f>+'A) Base RI'!W28</f>
        <v>0</v>
      </c>
      <c r="AE28" s="10">
        <f>'A) Base RI'!Y28</f>
        <v>27726.75</v>
      </c>
      <c r="AF28" s="10">
        <f>'A) Base RI'!Z28</f>
        <v>0</v>
      </c>
      <c r="AG28" s="10">
        <f>'A) Base RI'!AA28</f>
        <v>246241.95</v>
      </c>
      <c r="AH28" s="10">
        <f>'A) Base RI'!AB28</f>
        <v>0</v>
      </c>
      <c r="AI28" s="10">
        <f>'A) Base RI'!AC28</f>
        <v>102674</v>
      </c>
      <c r="AJ28" s="10">
        <f>'A) Base RI'!AD28</f>
        <v>0</v>
      </c>
      <c r="AK28" s="10">
        <f>'A) Base RI'!AE28</f>
        <v>0</v>
      </c>
      <c r="AL28" s="10">
        <f>'A) Base RI'!AF28</f>
        <v>0</v>
      </c>
      <c r="AM28" s="10">
        <f>'A) Base RI'!AG28</f>
        <v>0</v>
      </c>
      <c r="AN28" s="10">
        <f>'A) Base RI'!AH28</f>
        <v>0</v>
      </c>
      <c r="AO28" s="10">
        <f>'A) Base RI'!AI28</f>
        <v>0</v>
      </c>
      <c r="AP28" s="10">
        <f>'A) Base RI'!AJ28</f>
        <v>0</v>
      </c>
      <c r="AQ28" s="10">
        <f>'A) Base RI'!AK28</f>
        <v>0</v>
      </c>
      <c r="AR28" s="10">
        <f>'A) Base RI'!AN28</f>
        <v>887</v>
      </c>
    </row>
    <row r="29" spans="1:44" x14ac:dyDescent="0.25">
      <c r="A29" s="8">
        <f>'A) Base RI'!A29</f>
        <v>5428</v>
      </c>
      <c r="B29" s="35" t="str">
        <f>'A) Base RI'!B29</f>
        <v>Gimel</v>
      </c>
      <c r="C29" s="10">
        <f>'A) Base RI'!C29+'A) Base RI'!D29</f>
        <v>3529158.5500000003</v>
      </c>
      <c r="D29" s="10">
        <f>'A) Base RI'!AO29</f>
        <v>-42603.93</v>
      </c>
      <c r="E29" s="34">
        <f>'A) Base RI'!AP29</f>
        <v>0</v>
      </c>
      <c r="F29" s="34">
        <f>'A) Base RI'!AQ29</f>
        <v>-103.45</v>
      </c>
      <c r="G29" s="2">
        <f t="shared" si="0"/>
        <v>3486451.17</v>
      </c>
      <c r="H29" s="10">
        <f>'A) Base RI'!E29</f>
        <v>0</v>
      </c>
      <c r="I29" s="10">
        <f>'A) Base RI'!F29</f>
        <v>0</v>
      </c>
      <c r="J29" s="10">
        <f>'A) Base RI'!G29+'A) Base RI'!H29</f>
        <v>146155.04999999999</v>
      </c>
      <c r="K29" s="10">
        <f>'A) Base RI'!I29</f>
        <v>42660.1</v>
      </c>
      <c r="L29" s="10">
        <f>'A) Base RI'!J29</f>
        <v>139520.24</v>
      </c>
      <c r="M29" s="10">
        <f>'A) Base RI'!K29</f>
        <v>12206.5</v>
      </c>
      <c r="N29" s="10">
        <f>'A) Base RI'!Q29</f>
        <v>7503.59</v>
      </c>
      <c r="O29" s="10">
        <f t="shared" si="1"/>
        <v>312833.87500000006</v>
      </c>
      <c r="P29" s="10">
        <f>'A) Base RI'!L29</f>
        <v>375400.65</v>
      </c>
      <c r="Q29" s="37">
        <f>'A) Base RI'!AR29</f>
        <v>1.2</v>
      </c>
      <c r="R29" s="2">
        <f t="shared" si="2"/>
        <v>4147330.5249999994</v>
      </c>
      <c r="S29" s="36">
        <f>'A) Base RI'!AM29</f>
        <v>71.5</v>
      </c>
      <c r="T29" s="2">
        <f t="shared" si="3"/>
        <v>3822290.1499999994</v>
      </c>
      <c r="U29" s="2">
        <f t="shared" si="4"/>
        <v>58004.622727272719</v>
      </c>
      <c r="V29" s="10">
        <f>'A) Base RI'!O29</f>
        <v>177477.2</v>
      </c>
      <c r="W29" s="10">
        <f>'A) Base RI'!P29</f>
        <v>191030.9</v>
      </c>
      <c r="X29" s="10">
        <f>'A) Base RI'!R29</f>
        <v>144497.04999999999</v>
      </c>
      <c r="Y29" s="2">
        <f t="shared" si="5"/>
        <v>513005.14999999997</v>
      </c>
      <c r="Z29" s="10">
        <f>'A) Base RI'!N29</f>
        <v>194411.7</v>
      </c>
      <c r="AA29" s="10">
        <f>'A) Base RI'!S29+'A) Base RI'!T29</f>
        <v>2444.1999999999998</v>
      </c>
      <c r="AB29" s="10">
        <f>+'A) Base RI'!U29</f>
        <v>9450</v>
      </c>
      <c r="AC29" s="10">
        <f>'A) Base RI'!V29</f>
        <v>0</v>
      </c>
      <c r="AD29" s="10">
        <f>+'A) Base RI'!W29</f>
        <v>0</v>
      </c>
      <c r="AE29" s="10">
        <f>'A) Base RI'!Y29</f>
        <v>196560</v>
      </c>
      <c r="AF29" s="10">
        <f>'A) Base RI'!Z29</f>
        <v>1243.25</v>
      </c>
      <c r="AG29" s="10">
        <f>'A) Base RI'!AA29</f>
        <v>256901.9</v>
      </c>
      <c r="AH29" s="10">
        <f>'A) Base RI'!AB29</f>
        <v>0</v>
      </c>
      <c r="AI29" s="10">
        <f>'A) Base RI'!AC29</f>
        <v>192278.31</v>
      </c>
      <c r="AJ29" s="10">
        <f>'A) Base RI'!AD29</f>
        <v>196560</v>
      </c>
      <c r="AK29" s="10">
        <f>'A) Base RI'!AE29</f>
        <v>1243.25</v>
      </c>
      <c r="AL29" s="10">
        <f>'A) Base RI'!AF29</f>
        <v>0</v>
      </c>
      <c r="AM29" s="10">
        <f>'A) Base RI'!AG29</f>
        <v>0</v>
      </c>
      <c r="AN29" s="10">
        <f>'A) Base RI'!AH29</f>
        <v>45296.9</v>
      </c>
      <c r="AO29" s="10">
        <f>'A) Base RI'!AI29</f>
        <v>0</v>
      </c>
      <c r="AP29" s="10">
        <f>'A) Base RI'!AJ29</f>
        <v>0</v>
      </c>
      <c r="AQ29" s="10">
        <f>'A) Base RI'!AK29</f>
        <v>0</v>
      </c>
      <c r="AR29" s="10">
        <f>'A) Base RI'!AN29</f>
        <v>1948</v>
      </c>
    </row>
    <row r="30" spans="1:44" x14ac:dyDescent="0.25">
      <c r="A30" s="8">
        <f>'A) Base RI'!A30</f>
        <v>5429</v>
      </c>
      <c r="B30" s="35" t="str">
        <f>'A) Base RI'!B30</f>
        <v>Longirod</v>
      </c>
      <c r="C30" s="10">
        <f>'A) Base RI'!C30+'A) Base RI'!D30</f>
        <v>887412.48</v>
      </c>
      <c r="D30" s="10">
        <f>'A) Base RI'!AO30</f>
        <v>-25347.96</v>
      </c>
      <c r="E30" s="34">
        <f>'A) Base RI'!AP30</f>
        <v>0</v>
      </c>
      <c r="F30" s="34">
        <f>'A) Base RI'!AQ30</f>
        <v>0</v>
      </c>
      <c r="G30" s="2">
        <f t="shared" si="0"/>
        <v>862064.52</v>
      </c>
      <c r="H30" s="10">
        <f>'A) Base RI'!E30</f>
        <v>0</v>
      </c>
      <c r="I30" s="10">
        <f>'A) Base RI'!F30</f>
        <v>0</v>
      </c>
      <c r="J30" s="10">
        <f>'A) Base RI'!G30+'A) Base RI'!H30</f>
        <v>10687.65</v>
      </c>
      <c r="K30" s="10">
        <f>'A) Base RI'!I30</f>
        <v>0</v>
      </c>
      <c r="L30" s="10">
        <f>'A) Base RI'!J30</f>
        <v>12589.59</v>
      </c>
      <c r="M30" s="10">
        <f>'A) Base RI'!K30</f>
        <v>1064</v>
      </c>
      <c r="N30" s="10">
        <f>'A) Base RI'!Q30</f>
        <v>11095.95</v>
      </c>
      <c r="O30" s="10">
        <f t="shared" si="1"/>
        <v>88377.600000000006</v>
      </c>
      <c r="P30" s="10">
        <f>'A) Base RI'!L30</f>
        <v>88377.600000000006</v>
      </c>
      <c r="Q30" s="37">
        <f>'A) Base RI'!AR30</f>
        <v>1</v>
      </c>
      <c r="R30" s="2">
        <f t="shared" si="2"/>
        <v>985879.30999999994</v>
      </c>
      <c r="S30" s="36">
        <f>'A) Base RI'!AM30</f>
        <v>81</v>
      </c>
      <c r="T30" s="2">
        <f t="shared" si="3"/>
        <v>896437.71</v>
      </c>
      <c r="U30" s="2">
        <f t="shared" si="4"/>
        <v>12171.349506172839</v>
      </c>
      <c r="V30" s="10">
        <f>'A) Base RI'!O30</f>
        <v>0</v>
      </c>
      <c r="W30" s="10">
        <f>'A) Base RI'!P30</f>
        <v>99177.55</v>
      </c>
      <c r="X30" s="10">
        <f>'A) Base RI'!R30</f>
        <v>67851.399999999994</v>
      </c>
      <c r="Y30" s="2">
        <f t="shared" si="5"/>
        <v>167028.95000000001</v>
      </c>
      <c r="Z30" s="10">
        <f>'A) Base RI'!N30</f>
        <v>0</v>
      </c>
      <c r="AA30" s="10">
        <f>'A) Base RI'!S30+'A) Base RI'!T30</f>
        <v>0</v>
      </c>
      <c r="AB30" s="10">
        <f>+'A) Base RI'!U30</f>
        <v>4140</v>
      </c>
      <c r="AC30" s="10">
        <f>'A) Base RI'!V30</f>
        <v>0</v>
      </c>
      <c r="AD30" s="10">
        <f>+'A) Base RI'!W30</f>
        <v>0</v>
      </c>
      <c r="AE30" s="10">
        <f>'A) Base RI'!Y30</f>
        <v>16525</v>
      </c>
      <c r="AF30" s="10">
        <f>'A) Base RI'!Z30</f>
        <v>0</v>
      </c>
      <c r="AG30" s="10">
        <f>'A) Base RI'!AA30</f>
        <v>37304</v>
      </c>
      <c r="AH30" s="10">
        <f>'A) Base RI'!AB30</f>
        <v>0</v>
      </c>
      <c r="AI30" s="10">
        <f>'A) Base RI'!AC30</f>
        <v>56514.9</v>
      </c>
      <c r="AJ30" s="10">
        <f>'A) Base RI'!AD30</f>
        <v>16518.3</v>
      </c>
      <c r="AK30" s="10">
        <f>'A) Base RI'!AE30</f>
        <v>0</v>
      </c>
      <c r="AL30" s="10">
        <f>'A) Base RI'!AF30</f>
        <v>0</v>
      </c>
      <c r="AM30" s="10">
        <f>'A) Base RI'!AG30</f>
        <v>4428.7</v>
      </c>
      <c r="AN30" s="10">
        <f>'A) Base RI'!AH30</f>
        <v>0</v>
      </c>
      <c r="AO30" s="10">
        <f>'A) Base RI'!AI30</f>
        <v>0</v>
      </c>
      <c r="AP30" s="10">
        <f>'A) Base RI'!AJ30</f>
        <v>0</v>
      </c>
      <c r="AQ30" s="10">
        <f>'A) Base RI'!AK30</f>
        <v>0</v>
      </c>
      <c r="AR30" s="10">
        <f>'A) Base RI'!AN30</f>
        <v>460</v>
      </c>
    </row>
    <row r="31" spans="1:44" x14ac:dyDescent="0.25">
      <c r="A31" s="8">
        <f>'A) Base RI'!A31</f>
        <v>5430</v>
      </c>
      <c r="B31" s="35" t="str">
        <f>'A) Base RI'!B31</f>
        <v>Marchissy</v>
      </c>
      <c r="C31" s="10">
        <f>'A) Base RI'!C31+'A) Base RI'!D31</f>
        <v>757046.39</v>
      </c>
      <c r="D31" s="10">
        <f>'A) Base RI'!AO31</f>
        <v>-8618.16</v>
      </c>
      <c r="E31" s="34">
        <f>'A) Base RI'!AP31</f>
        <v>0</v>
      </c>
      <c r="F31" s="34">
        <f>'A) Base RI'!AQ31</f>
        <v>-201.84</v>
      </c>
      <c r="G31" s="2">
        <f t="shared" si="0"/>
        <v>748226.39</v>
      </c>
      <c r="H31" s="10">
        <f>'A) Base RI'!E31</f>
        <v>0</v>
      </c>
      <c r="I31" s="10">
        <f>'A) Base RI'!F31</f>
        <v>0</v>
      </c>
      <c r="J31" s="10">
        <f>'A) Base RI'!G31+'A) Base RI'!H31</f>
        <v>6028.05</v>
      </c>
      <c r="K31" s="10">
        <f>'A) Base RI'!I31</f>
        <v>0</v>
      </c>
      <c r="L31" s="10">
        <f>'A) Base RI'!J31</f>
        <v>-2505.7800000000002</v>
      </c>
      <c r="M31" s="10">
        <f>'A) Base RI'!K31</f>
        <v>1356.5</v>
      </c>
      <c r="N31" s="10">
        <f>'A) Base RI'!Q31</f>
        <v>3173.44</v>
      </c>
      <c r="O31" s="10">
        <f t="shared" si="1"/>
        <v>79001.45</v>
      </c>
      <c r="P31" s="10">
        <f>'A) Base RI'!L31</f>
        <v>79001.45</v>
      </c>
      <c r="Q31" s="37">
        <f>'A) Base RI'!AR31</f>
        <v>1</v>
      </c>
      <c r="R31" s="2">
        <f t="shared" si="2"/>
        <v>835280.04999999993</v>
      </c>
      <c r="S31" s="36">
        <f>'A) Base RI'!AM31</f>
        <v>79</v>
      </c>
      <c r="T31" s="2">
        <f t="shared" si="3"/>
        <v>754922.1</v>
      </c>
      <c r="U31" s="2">
        <f t="shared" si="4"/>
        <v>10573.165189873416</v>
      </c>
      <c r="V31" s="10">
        <f>'A) Base RI'!O31</f>
        <v>0</v>
      </c>
      <c r="W31" s="10">
        <f>'A) Base RI'!P31</f>
        <v>48368.15</v>
      </c>
      <c r="X31" s="10">
        <f>'A) Base RI'!R31</f>
        <v>41408.6</v>
      </c>
      <c r="Y31" s="2">
        <f t="shared" si="5"/>
        <v>89776.75</v>
      </c>
      <c r="Z31" s="10">
        <f>'A) Base RI'!N31</f>
        <v>9030.9500000000007</v>
      </c>
      <c r="AA31" s="10">
        <f>'A) Base RI'!S31+'A) Base RI'!T31</f>
        <v>0</v>
      </c>
      <c r="AB31" s="10">
        <f>+'A) Base RI'!U31</f>
        <v>2560</v>
      </c>
      <c r="AC31" s="10">
        <f>'A) Base RI'!V31</f>
        <v>0</v>
      </c>
      <c r="AD31" s="10">
        <f>+'A) Base RI'!W31</f>
        <v>0</v>
      </c>
      <c r="AE31" s="10">
        <f>'A) Base RI'!Y31</f>
        <v>66900</v>
      </c>
      <c r="AF31" s="10">
        <f>'A) Base RI'!Z31</f>
        <v>0</v>
      </c>
      <c r="AG31" s="10">
        <f>'A) Base RI'!AA31</f>
        <v>62912.800000000003</v>
      </c>
      <c r="AH31" s="10">
        <f>'A) Base RI'!AB31</f>
        <v>0</v>
      </c>
      <c r="AI31" s="10">
        <f>'A) Base RI'!AC31</f>
        <v>40639</v>
      </c>
      <c r="AJ31" s="10">
        <f>'A) Base RI'!AD31</f>
        <v>67260</v>
      </c>
      <c r="AK31" s="10">
        <f>'A) Base RI'!AE31</f>
        <v>0</v>
      </c>
      <c r="AL31" s="10">
        <f>'A) Base RI'!AF31</f>
        <v>0</v>
      </c>
      <c r="AM31" s="10">
        <f>'A) Base RI'!AG31</f>
        <v>2526.9499999999998</v>
      </c>
      <c r="AN31" s="10">
        <f>'A) Base RI'!AH31</f>
        <v>0</v>
      </c>
      <c r="AO31" s="10">
        <f>'A) Base RI'!AI31</f>
        <v>0</v>
      </c>
      <c r="AP31" s="10">
        <f>'A) Base RI'!AJ31</f>
        <v>0</v>
      </c>
      <c r="AQ31" s="10">
        <f>'A) Base RI'!AK31</f>
        <v>0</v>
      </c>
      <c r="AR31" s="10">
        <f>'A) Base RI'!AN31</f>
        <v>430</v>
      </c>
    </row>
    <row r="32" spans="1:44" x14ac:dyDescent="0.25">
      <c r="A32" s="8">
        <f>'A) Base RI'!A32</f>
        <v>5431</v>
      </c>
      <c r="B32" s="35" t="str">
        <f>'A) Base RI'!B32</f>
        <v>Mollens</v>
      </c>
      <c r="C32" s="10">
        <f>'A) Base RI'!C32+'A) Base RI'!D32</f>
        <v>773849.25</v>
      </c>
      <c r="D32" s="10">
        <f>'A) Base RI'!AO32</f>
        <v>-3822.8</v>
      </c>
      <c r="E32" s="34">
        <f>'A) Base RI'!AP32</f>
        <v>0</v>
      </c>
      <c r="F32" s="34">
        <f>'A) Base RI'!AQ32</f>
        <v>-115.42</v>
      </c>
      <c r="G32" s="2">
        <f t="shared" si="0"/>
        <v>769911.02999999991</v>
      </c>
      <c r="H32" s="10">
        <f>'A) Base RI'!E32</f>
        <v>0</v>
      </c>
      <c r="I32" s="10">
        <f>'A) Base RI'!F32</f>
        <v>0</v>
      </c>
      <c r="J32" s="10">
        <f>'A) Base RI'!G32+'A) Base RI'!H32</f>
        <v>660.8</v>
      </c>
      <c r="K32" s="10">
        <f>'A) Base RI'!I32</f>
        <v>0</v>
      </c>
      <c r="L32" s="10">
        <f>'A) Base RI'!J32</f>
        <v>10042.17</v>
      </c>
      <c r="M32" s="10">
        <f>'A) Base RI'!K32</f>
        <v>300.5</v>
      </c>
      <c r="N32" s="10">
        <f>'A) Base RI'!Q32</f>
        <v>0</v>
      </c>
      <c r="O32" s="10">
        <f t="shared" si="1"/>
        <v>48331.8</v>
      </c>
      <c r="P32" s="10">
        <f>'A) Base RI'!L32</f>
        <v>48331.8</v>
      </c>
      <c r="Q32" s="37">
        <f>'A) Base RI'!AR32</f>
        <v>1</v>
      </c>
      <c r="R32" s="2">
        <f t="shared" si="2"/>
        <v>829246.3</v>
      </c>
      <c r="S32" s="36">
        <f>'A) Base RI'!AM32</f>
        <v>74</v>
      </c>
      <c r="T32" s="2">
        <f t="shared" si="3"/>
        <v>780614</v>
      </c>
      <c r="U32" s="2">
        <f t="shared" si="4"/>
        <v>11206.031081081082</v>
      </c>
      <c r="V32" s="10">
        <f>'A) Base RI'!O32</f>
        <v>0</v>
      </c>
      <c r="W32" s="10">
        <f>'A) Base RI'!P32</f>
        <v>11739.25</v>
      </c>
      <c r="X32" s="10">
        <f>'A) Base RI'!R32</f>
        <v>38039.949999999997</v>
      </c>
      <c r="Y32" s="2">
        <f t="shared" si="5"/>
        <v>49779.199999999997</v>
      </c>
      <c r="Z32" s="10">
        <f>'A) Base RI'!N32</f>
        <v>0</v>
      </c>
      <c r="AA32" s="10">
        <f>'A) Base RI'!S32+'A) Base RI'!T32</f>
        <v>0</v>
      </c>
      <c r="AB32" s="10">
        <f>+'A) Base RI'!U32</f>
        <v>2150</v>
      </c>
      <c r="AC32" s="10">
        <f>'A) Base RI'!V32</f>
        <v>0</v>
      </c>
      <c r="AD32" s="10">
        <f>+'A) Base RI'!W32</f>
        <v>0</v>
      </c>
      <c r="AE32" s="10">
        <f>'A) Base RI'!Y32</f>
        <v>1937.15</v>
      </c>
      <c r="AF32" s="10">
        <f>'A) Base RI'!Z32</f>
        <v>0</v>
      </c>
      <c r="AG32" s="10">
        <f>'A) Base RI'!AA32</f>
        <v>90125</v>
      </c>
      <c r="AH32" s="10">
        <f>'A) Base RI'!AB32</f>
        <v>0</v>
      </c>
      <c r="AI32" s="10">
        <f>'A) Base RI'!AC32</f>
        <v>16521.8</v>
      </c>
      <c r="AJ32" s="10">
        <f>'A) Base RI'!AD32</f>
        <v>1937.15</v>
      </c>
      <c r="AK32" s="10">
        <f>'A) Base RI'!AE32</f>
        <v>0</v>
      </c>
      <c r="AL32" s="10">
        <f>'A) Base RI'!AF32</f>
        <v>0</v>
      </c>
      <c r="AM32" s="10">
        <f>'A) Base RI'!AG32</f>
        <v>0</v>
      </c>
      <c r="AN32" s="10">
        <f>'A) Base RI'!AH32</f>
        <v>0</v>
      </c>
      <c r="AO32" s="10">
        <f>'A) Base RI'!AI32</f>
        <v>0</v>
      </c>
      <c r="AP32" s="10">
        <f>'A) Base RI'!AJ32</f>
        <v>0</v>
      </c>
      <c r="AQ32" s="10">
        <f>'A) Base RI'!AK32</f>
        <v>0</v>
      </c>
      <c r="AR32" s="10">
        <f>'A) Base RI'!AN32</f>
        <v>295</v>
      </c>
    </row>
    <row r="33" spans="1:44" x14ac:dyDescent="0.25">
      <c r="A33" s="8">
        <f>'A) Base RI'!A33</f>
        <v>5432</v>
      </c>
      <c r="B33" s="35" t="str">
        <f>'A) Base RI'!B33</f>
        <v>Montherod</v>
      </c>
      <c r="C33" s="10">
        <f>'A) Base RI'!C33+'A) Base RI'!D33</f>
        <v>1190447.6600000001</v>
      </c>
      <c r="D33" s="10">
        <f>'A) Base RI'!AO33</f>
        <v>-28065.99</v>
      </c>
      <c r="E33" s="34">
        <f>'A) Base RI'!AP33</f>
        <v>0</v>
      </c>
      <c r="F33" s="34">
        <f>'A) Base RI'!AQ33</f>
        <v>-31.8</v>
      </c>
      <c r="G33" s="2">
        <f t="shared" si="0"/>
        <v>1162349.8700000001</v>
      </c>
      <c r="H33" s="10">
        <f>'A) Base RI'!E33</f>
        <v>0</v>
      </c>
      <c r="I33" s="10">
        <f>'A) Base RI'!F33</f>
        <v>0</v>
      </c>
      <c r="J33" s="10">
        <f>'A) Base RI'!G33+'A) Base RI'!H33</f>
        <v>57706.799999999996</v>
      </c>
      <c r="K33" s="10">
        <f>'A) Base RI'!I33</f>
        <v>0</v>
      </c>
      <c r="L33" s="10">
        <f>'A) Base RI'!J33</f>
        <v>65044.54</v>
      </c>
      <c r="M33" s="10">
        <f>'A) Base RI'!K33</f>
        <v>5103.5</v>
      </c>
      <c r="N33" s="10">
        <f>'A) Base RI'!Q33</f>
        <v>790.59</v>
      </c>
      <c r="O33" s="10">
        <f t="shared" si="1"/>
        <v>91587.4</v>
      </c>
      <c r="P33" s="10">
        <f>'A) Base RI'!L33</f>
        <v>91587.4</v>
      </c>
      <c r="Q33" s="37">
        <f>'A) Base RI'!AR33</f>
        <v>1</v>
      </c>
      <c r="R33" s="2">
        <f t="shared" si="2"/>
        <v>1382582.7000000002</v>
      </c>
      <c r="S33" s="36">
        <f>'A) Base RI'!AM33</f>
        <v>78</v>
      </c>
      <c r="T33" s="2">
        <f t="shared" si="3"/>
        <v>1285891.8000000003</v>
      </c>
      <c r="U33" s="2">
        <f t="shared" si="4"/>
        <v>17725.419230769232</v>
      </c>
      <c r="V33" s="10">
        <f>'A) Base RI'!O33</f>
        <v>44885.2</v>
      </c>
      <c r="W33" s="10">
        <f>'A) Base RI'!P33</f>
        <v>14080</v>
      </c>
      <c r="X33" s="10">
        <f>'A) Base RI'!R33</f>
        <v>51697.65</v>
      </c>
      <c r="Y33" s="2">
        <f t="shared" si="5"/>
        <v>110662.85</v>
      </c>
      <c r="Z33" s="10">
        <f>'A) Base RI'!N33</f>
        <v>11765.7</v>
      </c>
      <c r="AA33" s="10">
        <f>'A) Base RI'!S33+'A) Base RI'!T33</f>
        <v>180</v>
      </c>
      <c r="AB33" s="10">
        <f>+'A) Base RI'!U33</f>
        <v>4060</v>
      </c>
      <c r="AC33" s="10">
        <f>'A) Base RI'!V33</f>
        <v>0</v>
      </c>
      <c r="AD33" s="10">
        <f>+'A) Base RI'!W33</f>
        <v>0</v>
      </c>
      <c r="AE33" s="10">
        <f>'A) Base RI'!Y33</f>
        <v>0</v>
      </c>
      <c r="AF33" s="10">
        <f>'A) Base RI'!Z33</f>
        <v>4337.45</v>
      </c>
      <c r="AG33" s="10">
        <f>'A) Base RI'!AA33</f>
        <v>37502.1</v>
      </c>
      <c r="AH33" s="10">
        <f>'A) Base RI'!AB33</f>
        <v>0</v>
      </c>
      <c r="AI33" s="10">
        <f>'A) Base RI'!AC33</f>
        <v>49630</v>
      </c>
      <c r="AJ33" s="10">
        <f>'A) Base RI'!AD33</f>
        <v>0</v>
      </c>
      <c r="AK33" s="10">
        <f>'A) Base RI'!AE33</f>
        <v>4337.45</v>
      </c>
      <c r="AL33" s="10">
        <f>'A) Base RI'!AF33</f>
        <v>0</v>
      </c>
      <c r="AM33" s="10">
        <f>'A) Base RI'!AG33</f>
        <v>0</v>
      </c>
      <c r="AN33" s="10">
        <f>'A) Base RI'!AH33</f>
        <v>11285.75</v>
      </c>
      <c r="AO33" s="10">
        <f>'A) Base RI'!AI33</f>
        <v>0</v>
      </c>
      <c r="AP33" s="10">
        <f>'A) Base RI'!AJ33</f>
        <v>0</v>
      </c>
      <c r="AQ33" s="10">
        <f>'A) Base RI'!AK33</f>
        <v>0</v>
      </c>
      <c r="AR33" s="10">
        <f>'A) Base RI'!AN33</f>
        <v>522</v>
      </c>
    </row>
    <row r="34" spans="1:44" x14ac:dyDescent="0.25">
      <c r="A34" s="8">
        <f>'A) Base RI'!A34</f>
        <v>5434</v>
      </c>
      <c r="B34" s="35" t="str">
        <f>'A) Base RI'!B34</f>
        <v>Saint-George</v>
      </c>
      <c r="C34" s="10">
        <f>'A) Base RI'!C34+'A) Base RI'!D34</f>
        <v>2177245.42</v>
      </c>
      <c r="D34" s="10">
        <f>'A) Base RI'!AO34</f>
        <v>-7056.2</v>
      </c>
      <c r="E34" s="34">
        <f>'A) Base RI'!AP34</f>
        <v>0</v>
      </c>
      <c r="F34" s="34">
        <f>'A) Base RI'!AQ34</f>
        <v>0</v>
      </c>
      <c r="G34" s="2">
        <f t="shared" si="0"/>
        <v>2170189.2199999997</v>
      </c>
      <c r="H34" s="10">
        <f>'A) Base RI'!E34</f>
        <v>0</v>
      </c>
      <c r="I34" s="10">
        <f>'A) Base RI'!F34</f>
        <v>0</v>
      </c>
      <c r="J34" s="10">
        <f>'A) Base RI'!G34+'A) Base RI'!H34</f>
        <v>45696.6</v>
      </c>
      <c r="K34" s="10">
        <f>'A) Base RI'!I34</f>
        <v>0</v>
      </c>
      <c r="L34" s="10">
        <f>'A) Base RI'!J34</f>
        <v>40785.25</v>
      </c>
      <c r="M34" s="10">
        <f>'A) Base RI'!K34</f>
        <v>0</v>
      </c>
      <c r="N34" s="10">
        <f>'A) Base RI'!Q34</f>
        <v>1600.11</v>
      </c>
      <c r="O34" s="10">
        <f t="shared" si="1"/>
        <v>200586.4</v>
      </c>
      <c r="P34" s="10">
        <f>'A) Base RI'!L34</f>
        <v>200586.4</v>
      </c>
      <c r="Q34" s="37">
        <f>'A) Base RI'!AR34</f>
        <v>1</v>
      </c>
      <c r="R34" s="2">
        <f t="shared" si="2"/>
        <v>2458857.5799999996</v>
      </c>
      <c r="S34" s="36">
        <f>'A) Base RI'!AM34</f>
        <v>68.5</v>
      </c>
      <c r="T34" s="2">
        <f t="shared" si="3"/>
        <v>2258271.1799999997</v>
      </c>
      <c r="U34" s="2">
        <f t="shared" si="4"/>
        <v>35895.731094890507</v>
      </c>
      <c r="V34" s="10">
        <f>'A) Base RI'!O34</f>
        <v>51215.199999999997</v>
      </c>
      <c r="W34" s="10">
        <f>'A) Base RI'!P34</f>
        <v>77779.899999999994</v>
      </c>
      <c r="X34" s="10">
        <f>'A) Base RI'!R34</f>
        <v>57894.55</v>
      </c>
      <c r="Y34" s="2">
        <f t="shared" si="5"/>
        <v>186889.65</v>
      </c>
      <c r="Z34" s="10">
        <f>'A) Base RI'!N34</f>
        <v>35108.800000000003</v>
      </c>
      <c r="AA34" s="10">
        <f>'A) Base RI'!S34+'A) Base RI'!T34</f>
        <v>977.1</v>
      </c>
      <c r="AB34" s="10">
        <f>+'A) Base RI'!U34</f>
        <v>7640</v>
      </c>
      <c r="AC34" s="10">
        <f>'A) Base RI'!V34</f>
        <v>0</v>
      </c>
      <c r="AD34" s="10">
        <f>+'A) Base RI'!W34</f>
        <v>0</v>
      </c>
      <c r="AE34" s="10">
        <f>'A) Base RI'!Y34</f>
        <v>9286.2000000000007</v>
      </c>
      <c r="AF34" s="10">
        <f>'A) Base RI'!Z34</f>
        <v>0</v>
      </c>
      <c r="AG34" s="10">
        <f>'A) Base RI'!AA34</f>
        <v>96936.95</v>
      </c>
      <c r="AH34" s="10">
        <f>'A) Base RI'!AB34</f>
        <v>0</v>
      </c>
      <c r="AI34" s="10">
        <f>'A) Base RI'!AC34</f>
        <v>84543.95</v>
      </c>
      <c r="AJ34" s="10">
        <f>'A) Base RI'!AD34</f>
        <v>35272.800000000003</v>
      </c>
      <c r="AK34" s="10">
        <f>'A) Base RI'!AE34</f>
        <v>0</v>
      </c>
      <c r="AL34" s="10">
        <f>'A) Base RI'!AF34</f>
        <v>0</v>
      </c>
      <c r="AM34" s="10">
        <f>'A) Base RI'!AG34</f>
        <v>10704.45</v>
      </c>
      <c r="AN34" s="10">
        <f>'A) Base RI'!AH34</f>
        <v>0</v>
      </c>
      <c r="AO34" s="10">
        <f>'A) Base RI'!AI34</f>
        <v>0</v>
      </c>
      <c r="AP34" s="10">
        <f>'A) Base RI'!AJ34</f>
        <v>0</v>
      </c>
      <c r="AQ34" s="10">
        <f>'A) Base RI'!AK34</f>
        <v>0</v>
      </c>
      <c r="AR34" s="10">
        <f>'A) Base RI'!AN34</f>
        <v>991</v>
      </c>
    </row>
    <row r="35" spans="1:44" x14ac:dyDescent="0.25">
      <c r="A35" s="8">
        <f>'A) Base RI'!A35</f>
        <v>5435</v>
      </c>
      <c r="B35" s="35" t="str">
        <f>'A) Base RI'!B35</f>
        <v>Saint-Livres</v>
      </c>
      <c r="C35" s="10">
        <f>'A) Base RI'!C35+'A) Base RI'!D35</f>
        <v>1352681.5999999999</v>
      </c>
      <c r="D35" s="10">
        <f>'A) Base RI'!AO35</f>
        <v>-36760.92</v>
      </c>
      <c r="E35" s="34">
        <f>'A) Base RI'!AP35</f>
        <v>0</v>
      </c>
      <c r="F35" s="34">
        <f>'A) Base RI'!AQ35</f>
        <v>-0.91</v>
      </c>
      <c r="G35" s="2">
        <f t="shared" si="0"/>
        <v>1315919.77</v>
      </c>
      <c r="H35" s="10">
        <f>'A) Base RI'!E35</f>
        <v>0</v>
      </c>
      <c r="I35" s="10">
        <f>'A) Base RI'!F35</f>
        <v>0</v>
      </c>
      <c r="J35" s="10">
        <f>'A) Base RI'!G35+'A) Base RI'!H35</f>
        <v>17381.5</v>
      </c>
      <c r="K35" s="10">
        <f>'A) Base RI'!I35</f>
        <v>0</v>
      </c>
      <c r="L35" s="10">
        <f>'A) Base RI'!J35</f>
        <v>90637.82</v>
      </c>
      <c r="M35" s="10">
        <f>'A) Base RI'!K35</f>
        <v>0</v>
      </c>
      <c r="N35" s="10">
        <f>'A) Base RI'!Q35</f>
        <v>4134.6499999999996</v>
      </c>
      <c r="O35" s="10">
        <f t="shared" si="1"/>
        <v>117397.2</v>
      </c>
      <c r="P35" s="10">
        <f>'A) Base RI'!L35</f>
        <v>117397.2</v>
      </c>
      <c r="Q35" s="37">
        <f>'A) Base RI'!AR35</f>
        <v>1</v>
      </c>
      <c r="R35" s="2">
        <f t="shared" si="2"/>
        <v>1545470.94</v>
      </c>
      <c r="S35" s="36">
        <f>'A) Base RI'!AM35</f>
        <v>69</v>
      </c>
      <c r="T35" s="2">
        <f t="shared" si="3"/>
        <v>1428073.74</v>
      </c>
      <c r="U35" s="2">
        <f t="shared" si="4"/>
        <v>22398.12956521739</v>
      </c>
      <c r="V35" s="10">
        <f>'A) Base RI'!O35</f>
        <v>0</v>
      </c>
      <c r="W35" s="10">
        <f>'A) Base RI'!P35</f>
        <v>9516.15</v>
      </c>
      <c r="X35" s="10">
        <f>'A) Base RI'!R35</f>
        <v>9444.35</v>
      </c>
      <c r="Y35" s="2">
        <f t="shared" si="5"/>
        <v>18960.5</v>
      </c>
      <c r="Z35" s="10">
        <f>'A) Base RI'!N35</f>
        <v>1994.1</v>
      </c>
      <c r="AA35" s="10">
        <f>'A) Base RI'!S35+'A) Base RI'!T35</f>
        <v>360</v>
      </c>
      <c r="AB35" s="10">
        <f>+'A) Base RI'!U35</f>
        <v>5380</v>
      </c>
      <c r="AC35" s="10">
        <f>'A) Base RI'!V35</f>
        <v>0</v>
      </c>
      <c r="AD35" s="10">
        <f>+'A) Base RI'!W35</f>
        <v>0</v>
      </c>
      <c r="AE35" s="10">
        <f>'A) Base RI'!Y35</f>
        <v>2962.15</v>
      </c>
      <c r="AF35" s="10">
        <f>'A) Base RI'!Z35</f>
        <v>0</v>
      </c>
      <c r="AG35" s="10">
        <f>'A) Base RI'!AA35</f>
        <v>84148.68</v>
      </c>
      <c r="AH35" s="10">
        <f>'A) Base RI'!AB35</f>
        <v>0</v>
      </c>
      <c r="AI35" s="10">
        <f>'A) Base RI'!AC35</f>
        <v>60500</v>
      </c>
      <c r="AJ35" s="10">
        <f>'A) Base RI'!AD35</f>
        <v>13249.15</v>
      </c>
      <c r="AK35" s="10">
        <f>'A) Base RI'!AE35</f>
        <v>0</v>
      </c>
      <c r="AL35" s="10">
        <f>'A) Base RI'!AF35</f>
        <v>0</v>
      </c>
      <c r="AM35" s="10">
        <f>'A) Base RI'!AG35</f>
        <v>0</v>
      </c>
      <c r="AN35" s="10">
        <f>'A) Base RI'!AH35</f>
        <v>12212.6</v>
      </c>
      <c r="AO35" s="10">
        <f>'A) Base RI'!AI35</f>
        <v>0</v>
      </c>
      <c r="AP35" s="10">
        <f>'A) Base RI'!AJ35</f>
        <v>0</v>
      </c>
      <c r="AQ35" s="10">
        <f>'A) Base RI'!AK35</f>
        <v>0</v>
      </c>
      <c r="AR35" s="10">
        <f>'A) Base RI'!AN35</f>
        <v>689</v>
      </c>
    </row>
    <row r="36" spans="1:44" x14ac:dyDescent="0.25">
      <c r="A36" s="8">
        <f>'A) Base RI'!A36</f>
        <v>5436</v>
      </c>
      <c r="B36" s="35" t="str">
        <f>'A) Base RI'!B36</f>
        <v>Saint-Oyens</v>
      </c>
      <c r="C36" s="10">
        <f>'A) Base RI'!C36+'A) Base RI'!D36</f>
        <v>778080.34</v>
      </c>
      <c r="D36" s="10">
        <f>'A) Base RI'!AO36</f>
        <v>-5768.66</v>
      </c>
      <c r="E36" s="34">
        <f>'A) Base RI'!AP36</f>
        <v>0</v>
      </c>
      <c r="F36" s="34">
        <f>'A) Base RI'!AQ36</f>
        <v>0</v>
      </c>
      <c r="G36" s="2">
        <f t="shared" si="0"/>
        <v>772311.67999999993</v>
      </c>
      <c r="H36" s="10">
        <f>'A) Base RI'!E36</f>
        <v>0</v>
      </c>
      <c r="I36" s="10">
        <f>'A) Base RI'!F36</f>
        <v>0</v>
      </c>
      <c r="J36" s="10">
        <f>'A) Base RI'!G36+'A) Base RI'!H36</f>
        <v>-206.1</v>
      </c>
      <c r="K36" s="10">
        <f>'A) Base RI'!I36</f>
        <v>0</v>
      </c>
      <c r="L36" s="10">
        <f>'A) Base RI'!J36</f>
        <v>15444.16</v>
      </c>
      <c r="M36" s="10">
        <f>'A) Base RI'!K36</f>
        <v>0</v>
      </c>
      <c r="N36" s="10">
        <f>'A) Base RI'!Q36</f>
        <v>0</v>
      </c>
      <c r="O36" s="10">
        <f t="shared" si="1"/>
        <v>60893.249999999993</v>
      </c>
      <c r="P36" s="10">
        <f>'A) Base RI'!L36</f>
        <v>48714.6</v>
      </c>
      <c r="Q36" s="37">
        <f>'A) Base RI'!AR36</f>
        <v>0.8</v>
      </c>
      <c r="R36" s="2">
        <f t="shared" si="2"/>
        <v>848442.99</v>
      </c>
      <c r="S36" s="36">
        <f>'A) Base RI'!AM36</f>
        <v>81</v>
      </c>
      <c r="T36" s="2">
        <f t="shared" si="3"/>
        <v>787549.74</v>
      </c>
      <c r="U36" s="2">
        <f t="shared" si="4"/>
        <v>10474.604814814815</v>
      </c>
      <c r="V36" s="10">
        <f>'A) Base RI'!O36</f>
        <v>0</v>
      </c>
      <c r="W36" s="10">
        <f>'A) Base RI'!P36</f>
        <v>55317.5</v>
      </c>
      <c r="X36" s="10">
        <f>'A) Base RI'!R36</f>
        <v>9207.35</v>
      </c>
      <c r="Y36" s="2">
        <f t="shared" si="5"/>
        <v>64524.85</v>
      </c>
      <c r="Z36" s="10">
        <f>'A) Base RI'!N36</f>
        <v>0</v>
      </c>
      <c r="AA36" s="10">
        <f>'A) Base RI'!S36+'A) Base RI'!T36</f>
        <v>0</v>
      </c>
      <c r="AB36" s="10">
        <f>+'A) Base RI'!U36</f>
        <v>3112.5</v>
      </c>
      <c r="AC36" s="10">
        <f>'A) Base RI'!V36</f>
        <v>0</v>
      </c>
      <c r="AD36" s="10">
        <f>+'A) Base RI'!W36</f>
        <v>0</v>
      </c>
      <c r="AE36" s="10">
        <f>'A) Base RI'!Y36</f>
        <v>117696</v>
      </c>
      <c r="AF36" s="10">
        <f>'A) Base RI'!Z36</f>
        <v>0</v>
      </c>
      <c r="AG36" s="10">
        <f>'A) Base RI'!AA36</f>
        <v>53243.5</v>
      </c>
      <c r="AH36" s="10">
        <f>'A) Base RI'!AB36</f>
        <v>0</v>
      </c>
      <c r="AI36" s="10">
        <f>'A) Base RI'!AC36</f>
        <v>27922</v>
      </c>
      <c r="AJ36" s="10">
        <f>'A) Base RI'!AD36</f>
        <v>117696</v>
      </c>
      <c r="AK36" s="10">
        <f>'A) Base RI'!AE36</f>
        <v>0</v>
      </c>
      <c r="AL36" s="10">
        <f>'A) Base RI'!AF36</f>
        <v>0</v>
      </c>
      <c r="AM36" s="10">
        <f>'A) Base RI'!AG36</f>
        <v>0</v>
      </c>
      <c r="AN36" s="10">
        <f>'A) Base RI'!AH36</f>
        <v>0</v>
      </c>
      <c r="AO36" s="10">
        <f>'A) Base RI'!AI36</f>
        <v>0</v>
      </c>
      <c r="AP36" s="10">
        <f>'A) Base RI'!AJ36</f>
        <v>0</v>
      </c>
      <c r="AQ36" s="10">
        <f>'A) Base RI'!AK36</f>
        <v>0</v>
      </c>
      <c r="AR36" s="10">
        <f>'A) Base RI'!AN36</f>
        <v>350</v>
      </c>
    </row>
    <row r="37" spans="1:44" x14ac:dyDescent="0.25">
      <c r="A37" s="8">
        <f>'A) Base RI'!A37</f>
        <v>5437</v>
      </c>
      <c r="B37" s="35" t="str">
        <f>'A) Base RI'!B37</f>
        <v>Saubraz</v>
      </c>
      <c r="C37" s="10">
        <f>'A) Base RI'!C37+'A) Base RI'!D37</f>
        <v>741466.29</v>
      </c>
      <c r="D37" s="10">
        <f>'A) Base RI'!AO37</f>
        <v>-41063.760000000002</v>
      </c>
      <c r="E37" s="34">
        <f>'A) Base RI'!AP37</f>
        <v>0</v>
      </c>
      <c r="F37" s="34">
        <f>'A) Base RI'!AQ37</f>
        <v>0</v>
      </c>
      <c r="G37" s="2">
        <f t="shared" si="0"/>
        <v>700402.53</v>
      </c>
      <c r="H37" s="10">
        <f>'A) Base RI'!E37</f>
        <v>0</v>
      </c>
      <c r="I37" s="10">
        <f>'A) Base RI'!F37</f>
        <v>-20</v>
      </c>
      <c r="J37" s="10">
        <f>'A) Base RI'!G37+'A) Base RI'!H37</f>
        <v>5573.25</v>
      </c>
      <c r="K37" s="10">
        <f>'A) Base RI'!I37</f>
        <v>0</v>
      </c>
      <c r="L37" s="10">
        <f>'A) Base RI'!J37</f>
        <v>32824.35</v>
      </c>
      <c r="M37" s="10">
        <f>'A) Base RI'!K37</f>
        <v>697</v>
      </c>
      <c r="N37" s="10">
        <f>'A) Base RI'!Q37</f>
        <v>12233.07</v>
      </c>
      <c r="O37" s="10">
        <f t="shared" si="1"/>
        <v>59393.25</v>
      </c>
      <c r="P37" s="10">
        <f>'A) Base RI'!L37</f>
        <v>59393.25</v>
      </c>
      <c r="Q37" s="37">
        <f>'A) Base RI'!AR37</f>
        <v>1</v>
      </c>
      <c r="R37" s="2">
        <f t="shared" si="2"/>
        <v>811103.45</v>
      </c>
      <c r="S37" s="36">
        <f>'A) Base RI'!AM37</f>
        <v>80</v>
      </c>
      <c r="T37" s="2">
        <f t="shared" si="3"/>
        <v>751033.2</v>
      </c>
      <c r="U37" s="2">
        <f t="shared" si="4"/>
        <v>10138.793125</v>
      </c>
      <c r="V37" s="10">
        <f>'A) Base RI'!O37</f>
        <v>59045.9</v>
      </c>
      <c r="W37" s="10">
        <f>'A) Base RI'!P37</f>
        <v>42051.3</v>
      </c>
      <c r="X37" s="10">
        <f>'A) Base RI'!R37</f>
        <v>1655.3</v>
      </c>
      <c r="Y37" s="2">
        <f t="shared" si="5"/>
        <v>102752.50000000001</v>
      </c>
      <c r="Z37" s="10">
        <f>'A) Base RI'!N37</f>
        <v>965.2</v>
      </c>
      <c r="AA37" s="10">
        <f>'A) Base RI'!S37+'A) Base RI'!T37</f>
        <v>0</v>
      </c>
      <c r="AB37" s="10">
        <f>+'A) Base RI'!U37</f>
        <v>1500</v>
      </c>
      <c r="AC37" s="10">
        <f>'A) Base RI'!V37</f>
        <v>0</v>
      </c>
      <c r="AD37" s="10">
        <f>+'A) Base RI'!W37</f>
        <v>0</v>
      </c>
      <c r="AE37" s="10">
        <f>'A) Base RI'!Y37</f>
        <v>0</v>
      </c>
      <c r="AF37" s="10">
        <f>'A) Base RI'!Z37</f>
        <v>0</v>
      </c>
      <c r="AG37" s="10">
        <f>'A) Base RI'!AA37</f>
        <v>0</v>
      </c>
      <c r="AH37" s="10">
        <f>'A) Base RI'!AB37</f>
        <v>0</v>
      </c>
      <c r="AI37" s="10">
        <f>'A) Base RI'!AC37</f>
        <v>36780</v>
      </c>
      <c r="AJ37" s="10">
        <f>'A) Base RI'!AD37</f>
        <v>0</v>
      </c>
      <c r="AK37" s="10">
        <f>'A) Base RI'!AE37</f>
        <v>0</v>
      </c>
      <c r="AL37" s="10">
        <f>'A) Base RI'!AF37</f>
        <v>0</v>
      </c>
      <c r="AM37" s="10">
        <f>'A) Base RI'!AG37</f>
        <v>0</v>
      </c>
      <c r="AN37" s="10">
        <f>'A) Base RI'!AH37</f>
        <v>0</v>
      </c>
      <c r="AO37" s="10">
        <f>'A) Base RI'!AI37</f>
        <v>0</v>
      </c>
      <c r="AP37" s="10">
        <f>'A) Base RI'!AJ37</f>
        <v>0</v>
      </c>
      <c r="AQ37" s="10">
        <f>'A) Base RI'!AK37</f>
        <v>0</v>
      </c>
      <c r="AR37" s="10">
        <f>'A) Base RI'!AN37</f>
        <v>420</v>
      </c>
    </row>
    <row r="38" spans="1:44" x14ac:dyDescent="0.25">
      <c r="A38" s="8">
        <f>'A) Base RI'!A38</f>
        <v>5451</v>
      </c>
      <c r="B38" s="35" t="str">
        <f>'A) Base RI'!B38</f>
        <v>Avenches</v>
      </c>
      <c r="C38" s="10">
        <f>'A) Base RI'!C38+'A) Base RI'!D38</f>
        <v>5465727.3200000003</v>
      </c>
      <c r="D38" s="10">
        <f>'A) Base RI'!AO38</f>
        <v>-225519.44</v>
      </c>
      <c r="E38" s="34">
        <f>'A) Base RI'!AP38</f>
        <v>0</v>
      </c>
      <c r="F38" s="34">
        <f>'A) Base RI'!AQ38</f>
        <v>-382.28</v>
      </c>
      <c r="G38" s="2">
        <f t="shared" si="0"/>
        <v>5239825.5999999996</v>
      </c>
      <c r="H38" s="10">
        <f>'A) Base RI'!E38</f>
        <v>0</v>
      </c>
      <c r="I38" s="10">
        <f>'A) Base RI'!F38</f>
        <v>0</v>
      </c>
      <c r="J38" s="10">
        <f>'A) Base RI'!G38+'A) Base RI'!H38</f>
        <v>591936.95000000007</v>
      </c>
      <c r="K38" s="10">
        <f>'A) Base RI'!I38</f>
        <v>0</v>
      </c>
      <c r="L38" s="10">
        <f>'A) Base RI'!J38</f>
        <v>625968.30000000005</v>
      </c>
      <c r="M38" s="10">
        <f>'A) Base RI'!K38</f>
        <v>96453.5</v>
      </c>
      <c r="N38" s="10">
        <f>'A) Base RI'!Q38</f>
        <v>73598.17</v>
      </c>
      <c r="O38" s="10">
        <f t="shared" si="1"/>
        <v>798349.5</v>
      </c>
      <c r="P38" s="10">
        <f>'A) Base RI'!L38</f>
        <v>1197524.25</v>
      </c>
      <c r="Q38" s="37">
        <f>'A) Base RI'!AR38</f>
        <v>1.5</v>
      </c>
      <c r="R38" s="2">
        <f t="shared" si="2"/>
        <v>7426132.0199999996</v>
      </c>
      <c r="S38" s="36">
        <f>'A) Base RI'!AM38</f>
        <v>68</v>
      </c>
      <c r="T38" s="2">
        <f t="shared" si="3"/>
        <v>6531329.0199999996</v>
      </c>
      <c r="U38" s="2">
        <f t="shared" si="4"/>
        <v>109207.82382352941</v>
      </c>
      <c r="V38" s="10">
        <f>'A) Base RI'!O38</f>
        <v>63376.2</v>
      </c>
      <c r="W38" s="10">
        <f>'A) Base RI'!P38</f>
        <v>613883.65</v>
      </c>
      <c r="X38" s="10">
        <f>'A) Base RI'!R38</f>
        <v>158487.4</v>
      </c>
      <c r="Y38" s="2">
        <f t="shared" si="5"/>
        <v>835747.25</v>
      </c>
      <c r="Z38" s="10">
        <f>'A) Base RI'!N38</f>
        <v>558913.6</v>
      </c>
      <c r="AA38" s="10">
        <f>'A) Base RI'!S38+'A) Base RI'!T38</f>
        <v>41614.75</v>
      </c>
      <c r="AB38" s="10">
        <f>+'A) Base RI'!U38</f>
        <v>21500</v>
      </c>
      <c r="AC38" s="10">
        <f>'A) Base RI'!V38</f>
        <v>0</v>
      </c>
      <c r="AD38" s="10">
        <f>+'A) Base RI'!W38</f>
        <v>0</v>
      </c>
      <c r="AE38" s="10">
        <f>'A) Base RI'!Y38</f>
        <v>338134.6</v>
      </c>
      <c r="AF38" s="10">
        <f>'A) Base RI'!Z38</f>
        <v>51045.5</v>
      </c>
      <c r="AG38" s="10">
        <f>'A) Base RI'!AA38</f>
        <v>885575.8</v>
      </c>
      <c r="AH38" s="10">
        <f>'A) Base RI'!AB38</f>
        <v>0</v>
      </c>
      <c r="AI38" s="10">
        <f>'A) Base RI'!AC38</f>
        <v>460056.26</v>
      </c>
      <c r="AJ38" s="10">
        <f>'A) Base RI'!AD38</f>
        <v>224332.45</v>
      </c>
      <c r="AK38" s="10">
        <f>'A) Base RI'!AE38</f>
        <v>49556.45</v>
      </c>
      <c r="AL38" s="10">
        <f>'A) Base RI'!AF38</f>
        <v>0</v>
      </c>
      <c r="AM38" s="10">
        <f>'A) Base RI'!AG38</f>
        <v>239928</v>
      </c>
      <c r="AN38" s="10">
        <f>'A) Base RI'!AH38</f>
        <v>0</v>
      </c>
      <c r="AO38" s="10">
        <f>'A) Base RI'!AI38</f>
        <v>0</v>
      </c>
      <c r="AP38" s="10">
        <f>'A) Base RI'!AJ38</f>
        <v>0</v>
      </c>
      <c r="AQ38" s="10">
        <f>'A) Base RI'!AK38</f>
        <v>0</v>
      </c>
      <c r="AR38" s="10">
        <f>'A) Base RI'!AN38</f>
        <v>4129</v>
      </c>
    </row>
    <row r="39" spans="1:44" x14ac:dyDescent="0.25">
      <c r="A39" s="8">
        <f>'A) Base RI'!A39</f>
        <v>5456</v>
      </c>
      <c r="B39" s="35" t="str">
        <f>'A) Base RI'!B39</f>
        <v>Cudrefin</v>
      </c>
      <c r="C39" s="10">
        <f>'A) Base RI'!C39+'A) Base RI'!D39</f>
        <v>2601178.3600000003</v>
      </c>
      <c r="D39" s="10">
        <f>'A) Base RI'!AO39</f>
        <v>-78436.03</v>
      </c>
      <c r="E39" s="34">
        <f>'A) Base RI'!AP39</f>
        <v>0</v>
      </c>
      <c r="F39" s="34">
        <f>'A) Base RI'!AQ39</f>
        <v>-8.08</v>
      </c>
      <c r="G39" s="2">
        <f t="shared" si="0"/>
        <v>2522734.2500000005</v>
      </c>
      <c r="H39" s="10">
        <f>'A) Base RI'!E39</f>
        <v>0</v>
      </c>
      <c r="I39" s="10">
        <f>'A) Base RI'!F39</f>
        <v>0</v>
      </c>
      <c r="J39" s="10">
        <f>'A) Base RI'!G39+'A) Base RI'!H39</f>
        <v>111496.7</v>
      </c>
      <c r="K39" s="10">
        <f>'A) Base RI'!I39</f>
        <v>0</v>
      </c>
      <c r="L39" s="10">
        <f>'A) Base RI'!J39</f>
        <v>55091.4</v>
      </c>
      <c r="M39" s="10">
        <f>'A) Base RI'!K39</f>
        <v>8012</v>
      </c>
      <c r="N39" s="10">
        <f>'A) Base RI'!Q39</f>
        <v>59652.05</v>
      </c>
      <c r="O39" s="10">
        <f t="shared" si="1"/>
        <v>274068.89999999997</v>
      </c>
      <c r="P39" s="10">
        <f>'A) Base RI'!L39</f>
        <v>411103.35</v>
      </c>
      <c r="Q39" s="37">
        <f>'A) Base RI'!AR39</f>
        <v>1.5</v>
      </c>
      <c r="R39" s="2">
        <f t="shared" si="2"/>
        <v>3031055.3000000003</v>
      </c>
      <c r="S39" s="36">
        <f>'A) Base RI'!AM39</f>
        <v>59</v>
      </c>
      <c r="T39" s="2">
        <f t="shared" si="3"/>
        <v>2748974.4000000004</v>
      </c>
      <c r="U39" s="2">
        <f t="shared" si="4"/>
        <v>51373.818644067804</v>
      </c>
      <c r="V39" s="10">
        <f>'A) Base RI'!O39</f>
        <v>16142.9</v>
      </c>
      <c r="W39" s="10">
        <f>'A) Base RI'!P39</f>
        <v>107693.5</v>
      </c>
      <c r="X39" s="10">
        <f>'A) Base RI'!R39</f>
        <v>47623.75</v>
      </c>
      <c r="Y39" s="2">
        <f t="shared" si="5"/>
        <v>171460.15</v>
      </c>
      <c r="Z39" s="10">
        <f>'A) Base RI'!N39</f>
        <v>3697.85</v>
      </c>
      <c r="AA39" s="10">
        <f>'A) Base RI'!S39+'A) Base RI'!T39</f>
        <v>0</v>
      </c>
      <c r="AB39" s="10">
        <f>+'A) Base RI'!U39</f>
        <v>6420</v>
      </c>
      <c r="AC39" s="10">
        <f>'A) Base RI'!V39</f>
        <v>0</v>
      </c>
      <c r="AD39" s="10">
        <f>+'A) Base RI'!W39</f>
        <v>0</v>
      </c>
      <c r="AE39" s="10">
        <f>'A) Base RI'!Y39</f>
        <v>213944.75</v>
      </c>
      <c r="AF39" s="10">
        <f>'A) Base RI'!Z39</f>
        <v>0</v>
      </c>
      <c r="AG39" s="10">
        <f>'A) Base RI'!AA39</f>
        <v>127886.2</v>
      </c>
      <c r="AH39" s="10">
        <f>'A) Base RI'!AB39</f>
        <v>0</v>
      </c>
      <c r="AI39" s="10">
        <f>'A) Base RI'!AC39</f>
        <v>230164.62</v>
      </c>
      <c r="AJ39" s="10">
        <f>'A) Base RI'!AD39</f>
        <v>53853.5</v>
      </c>
      <c r="AK39" s="10">
        <f>'A) Base RI'!AE39</f>
        <v>0</v>
      </c>
      <c r="AL39" s="10">
        <f>'A) Base RI'!AF39</f>
        <v>0</v>
      </c>
      <c r="AM39" s="10">
        <f>'A) Base RI'!AG39</f>
        <v>118546</v>
      </c>
      <c r="AN39" s="10">
        <f>'A) Base RI'!AH39</f>
        <v>0</v>
      </c>
      <c r="AO39" s="10">
        <f>'A) Base RI'!AI39</f>
        <v>0</v>
      </c>
      <c r="AP39" s="10">
        <f>'A) Base RI'!AJ39</f>
        <v>0</v>
      </c>
      <c r="AQ39" s="10">
        <f>'A) Base RI'!AK39</f>
        <v>0</v>
      </c>
      <c r="AR39" s="10">
        <f>'A) Base RI'!AN39</f>
        <v>1555</v>
      </c>
    </row>
    <row r="40" spans="1:44" x14ac:dyDescent="0.25">
      <c r="A40" s="8">
        <f>'A) Base RI'!A40</f>
        <v>5458</v>
      </c>
      <c r="B40" s="35" t="str">
        <f>'A) Base RI'!B40</f>
        <v>Faoug</v>
      </c>
      <c r="C40" s="10">
        <f>'A) Base RI'!C40+'A) Base RI'!D40</f>
        <v>1765226.36</v>
      </c>
      <c r="D40" s="10">
        <f>'A) Base RI'!AO40</f>
        <v>-24124.11</v>
      </c>
      <c r="E40" s="34">
        <f>'A) Base RI'!AP40</f>
        <v>0</v>
      </c>
      <c r="F40" s="34">
        <f>'A) Base RI'!AQ40</f>
        <v>-47.79</v>
      </c>
      <c r="G40" s="2">
        <f t="shared" si="0"/>
        <v>1741054.46</v>
      </c>
      <c r="H40" s="10">
        <f>'A) Base RI'!E40</f>
        <v>0</v>
      </c>
      <c r="I40" s="10">
        <f>'A) Base RI'!F40</f>
        <v>0</v>
      </c>
      <c r="J40" s="10">
        <f>'A) Base RI'!G40+'A) Base RI'!H40</f>
        <v>80169.099999999991</v>
      </c>
      <c r="K40" s="10">
        <f>'A) Base RI'!I40</f>
        <v>0</v>
      </c>
      <c r="L40" s="10">
        <f>'A) Base RI'!J40</f>
        <v>21022</v>
      </c>
      <c r="M40" s="10">
        <f>'A) Base RI'!K40</f>
        <v>6279.5</v>
      </c>
      <c r="N40" s="10">
        <f>'A) Base RI'!Q40</f>
        <v>18050.04</v>
      </c>
      <c r="O40" s="10">
        <f t="shared" si="1"/>
        <v>161718.85</v>
      </c>
      <c r="P40" s="10">
        <f>'A) Base RI'!L40</f>
        <v>161718.85</v>
      </c>
      <c r="Q40" s="37">
        <f>'A) Base RI'!AR40</f>
        <v>1</v>
      </c>
      <c r="R40" s="2">
        <f t="shared" si="2"/>
        <v>2028293.9500000002</v>
      </c>
      <c r="S40" s="36">
        <f>'A) Base RI'!AM40</f>
        <v>64</v>
      </c>
      <c r="T40" s="2">
        <f t="shared" si="3"/>
        <v>1860295.6</v>
      </c>
      <c r="U40" s="2">
        <f t="shared" si="4"/>
        <v>31692.092968750003</v>
      </c>
      <c r="V40" s="10">
        <f>'A) Base RI'!O40</f>
        <v>17841.7</v>
      </c>
      <c r="W40" s="10">
        <f>'A) Base RI'!P40</f>
        <v>71797.95</v>
      </c>
      <c r="X40" s="10">
        <f>'A) Base RI'!R40</f>
        <v>58119.8</v>
      </c>
      <c r="Y40" s="2">
        <f t="shared" si="5"/>
        <v>147759.45000000001</v>
      </c>
      <c r="Z40" s="10">
        <f>'A) Base RI'!N40</f>
        <v>0</v>
      </c>
      <c r="AA40" s="10">
        <f>'A) Base RI'!S40+'A) Base RI'!T40</f>
        <v>0</v>
      </c>
      <c r="AB40" s="10">
        <f>+'A) Base RI'!U40</f>
        <v>6650</v>
      </c>
      <c r="AC40" s="10">
        <f>'A) Base RI'!V40</f>
        <v>0</v>
      </c>
      <c r="AD40" s="10">
        <f>+'A) Base RI'!W40</f>
        <v>0</v>
      </c>
      <c r="AE40" s="10">
        <f>'A) Base RI'!Y40</f>
        <v>46687.4</v>
      </c>
      <c r="AF40" s="10">
        <f>'A) Base RI'!Z40</f>
        <v>6432.15</v>
      </c>
      <c r="AG40" s="10">
        <f>'A) Base RI'!AA40</f>
        <v>155057.54999999999</v>
      </c>
      <c r="AH40" s="10">
        <f>'A) Base RI'!AB40</f>
        <v>0</v>
      </c>
      <c r="AI40" s="10">
        <f>'A) Base RI'!AC40</f>
        <v>77823.899999999994</v>
      </c>
      <c r="AJ40" s="10">
        <f>'A) Base RI'!AD40</f>
        <v>46687.4</v>
      </c>
      <c r="AK40" s="10">
        <f>'A) Base RI'!AE40</f>
        <v>6432.15</v>
      </c>
      <c r="AL40" s="10">
        <f>'A) Base RI'!AF40</f>
        <v>0</v>
      </c>
      <c r="AM40" s="10">
        <f>'A) Base RI'!AG40</f>
        <v>32784.699999999997</v>
      </c>
      <c r="AN40" s="10">
        <f>'A) Base RI'!AH40</f>
        <v>23095.5</v>
      </c>
      <c r="AO40" s="10">
        <f>'A) Base RI'!AI40</f>
        <v>0</v>
      </c>
      <c r="AP40" s="10">
        <f>'A) Base RI'!AJ40</f>
        <v>0</v>
      </c>
      <c r="AQ40" s="10">
        <f>'A) Base RI'!AK40</f>
        <v>0</v>
      </c>
      <c r="AR40" s="10">
        <f>'A) Base RI'!AN40</f>
        <v>870</v>
      </c>
    </row>
    <row r="41" spans="1:44" x14ac:dyDescent="0.25">
      <c r="A41" s="8">
        <f>'A) Base RI'!A41</f>
        <v>5464</v>
      </c>
      <c r="B41" s="35" t="str">
        <f>'A) Base RI'!B41</f>
        <v>Vully-les-Lacs</v>
      </c>
      <c r="C41" s="10">
        <f>'A) Base RI'!C41+'A) Base RI'!D41</f>
        <v>5743250.9799999995</v>
      </c>
      <c r="D41" s="10">
        <f>'A) Base RI'!AO41</f>
        <v>-123882.68</v>
      </c>
      <c r="E41" s="34">
        <f>'A) Base RI'!AP41</f>
        <v>0</v>
      </c>
      <c r="F41" s="34">
        <f>'A) Base RI'!AQ41</f>
        <v>-572.84</v>
      </c>
      <c r="G41" s="2">
        <f t="shared" si="0"/>
        <v>5618795.46</v>
      </c>
      <c r="H41" s="10">
        <f>'A) Base RI'!E41</f>
        <v>0</v>
      </c>
      <c r="I41" s="10">
        <f>'A) Base RI'!F41</f>
        <v>0</v>
      </c>
      <c r="J41" s="10">
        <f>'A) Base RI'!G41+'A) Base RI'!H41</f>
        <v>67549.05</v>
      </c>
      <c r="K41" s="10">
        <f>'A) Base RI'!I41</f>
        <v>0</v>
      </c>
      <c r="L41" s="10">
        <f>'A) Base RI'!J41</f>
        <v>155206.01</v>
      </c>
      <c r="M41" s="10">
        <f>'A) Base RI'!K41</f>
        <v>16847.5</v>
      </c>
      <c r="N41" s="10">
        <f>'A) Base RI'!Q41</f>
        <v>36442.75</v>
      </c>
      <c r="O41" s="10">
        <f t="shared" si="1"/>
        <v>557955.03333333333</v>
      </c>
      <c r="P41" s="10">
        <f>'A) Base RI'!L41</f>
        <v>836932.55</v>
      </c>
      <c r="Q41" s="37">
        <f>'A) Base RI'!AR41</f>
        <v>1.5</v>
      </c>
      <c r="R41" s="2">
        <f t="shared" si="2"/>
        <v>6452795.8033333328</v>
      </c>
      <c r="S41" s="36">
        <f>'A) Base RI'!AM41</f>
        <v>67</v>
      </c>
      <c r="T41" s="2">
        <f t="shared" si="3"/>
        <v>5877993.2699999996</v>
      </c>
      <c r="U41" s="2">
        <f t="shared" si="4"/>
        <v>96310.385124378095</v>
      </c>
      <c r="V41" s="10">
        <f>'A) Base RI'!O41</f>
        <v>309242.5</v>
      </c>
      <c r="W41" s="10">
        <f>'A) Base RI'!P41</f>
        <v>360572.65</v>
      </c>
      <c r="X41" s="10">
        <f>'A) Base RI'!R41</f>
        <v>393647.75</v>
      </c>
      <c r="Y41" s="2">
        <f t="shared" si="5"/>
        <v>1063462.8999999999</v>
      </c>
      <c r="Z41" s="10">
        <f>'A) Base RI'!N41</f>
        <v>0</v>
      </c>
      <c r="AA41" s="10">
        <f>'A) Base RI'!S41+'A) Base RI'!T41</f>
        <v>5199.45</v>
      </c>
      <c r="AB41" s="10">
        <f>+'A) Base RI'!U41</f>
        <v>22000</v>
      </c>
      <c r="AC41" s="10">
        <f>'A) Base RI'!V41</f>
        <v>0</v>
      </c>
      <c r="AD41" s="10">
        <f>+'A) Base RI'!W41</f>
        <v>0</v>
      </c>
      <c r="AE41" s="10">
        <f>'A) Base RI'!Y41</f>
        <v>307149.09999999998</v>
      </c>
      <c r="AF41" s="10">
        <f>'A) Base RI'!Z41</f>
        <v>145781.29999999999</v>
      </c>
      <c r="AG41" s="10">
        <f>'A) Base RI'!AA41</f>
        <v>445494.25</v>
      </c>
      <c r="AH41" s="10">
        <f>'A) Base RI'!AB41</f>
        <v>0</v>
      </c>
      <c r="AI41" s="10">
        <f>'A) Base RI'!AC41</f>
        <v>281997.15999999997</v>
      </c>
      <c r="AJ41" s="10">
        <f>'A) Base RI'!AD41</f>
        <v>334075.2</v>
      </c>
      <c r="AK41" s="10">
        <f>'A) Base RI'!AE41</f>
        <v>0</v>
      </c>
      <c r="AL41" s="10">
        <f>'A) Base RI'!AF41</f>
        <v>0</v>
      </c>
      <c r="AM41" s="10">
        <f>'A) Base RI'!AG41</f>
        <v>146197.85</v>
      </c>
      <c r="AN41" s="10">
        <f>'A) Base RI'!AH41</f>
        <v>0</v>
      </c>
      <c r="AO41" s="10">
        <f>'A) Base RI'!AI41</f>
        <v>93683</v>
      </c>
      <c r="AP41" s="10">
        <f>'A) Base RI'!AJ41</f>
        <v>0</v>
      </c>
      <c r="AQ41" s="10">
        <f>'A) Base RI'!AK41</f>
        <v>0</v>
      </c>
      <c r="AR41" s="10">
        <f>'A) Base RI'!AN41</f>
        <v>2935</v>
      </c>
    </row>
    <row r="42" spans="1:44" x14ac:dyDescent="0.25">
      <c r="A42" s="8">
        <f>'A) Base RI'!A42</f>
        <v>5471</v>
      </c>
      <c r="B42" s="35" t="str">
        <f>'A) Base RI'!B42</f>
        <v>Bettens</v>
      </c>
      <c r="C42" s="10">
        <f>'A) Base RI'!C42+'A) Base RI'!D42</f>
        <v>1076650.55</v>
      </c>
      <c r="D42" s="10">
        <f>'A) Base RI'!AO42</f>
        <v>-9343.36</v>
      </c>
      <c r="E42" s="34">
        <f>'A) Base RI'!AP42</f>
        <v>0</v>
      </c>
      <c r="F42" s="34">
        <f>'A) Base RI'!AQ42</f>
        <v>-2.19</v>
      </c>
      <c r="G42" s="2">
        <f t="shared" si="0"/>
        <v>1067305</v>
      </c>
      <c r="H42" s="10">
        <f>'A) Base RI'!E42</f>
        <v>0</v>
      </c>
      <c r="I42" s="10">
        <f>'A) Base RI'!F42</f>
        <v>0</v>
      </c>
      <c r="J42" s="10">
        <f>'A) Base RI'!G42+'A) Base RI'!H42</f>
        <v>-26222.949999999997</v>
      </c>
      <c r="K42" s="10">
        <f>'A) Base RI'!I42</f>
        <v>0</v>
      </c>
      <c r="L42" s="10">
        <f>'A) Base RI'!J42</f>
        <v>17173.900000000001</v>
      </c>
      <c r="M42" s="10">
        <f>'A) Base RI'!K42</f>
        <v>2860.5</v>
      </c>
      <c r="N42" s="10">
        <f>'A) Base RI'!Q42</f>
        <v>0</v>
      </c>
      <c r="O42" s="10">
        <f t="shared" si="1"/>
        <v>90319.611111111109</v>
      </c>
      <c r="P42" s="10">
        <f>'A) Base RI'!L42</f>
        <v>81287.649999999994</v>
      </c>
      <c r="Q42" s="37">
        <f>'A) Base RI'!AR42</f>
        <v>0.9</v>
      </c>
      <c r="R42" s="2">
        <f t="shared" si="2"/>
        <v>1151436.061111111</v>
      </c>
      <c r="S42" s="36">
        <f>'A) Base RI'!AM42</f>
        <v>70</v>
      </c>
      <c r="T42" s="2">
        <f t="shared" si="3"/>
        <v>1058255.95</v>
      </c>
      <c r="U42" s="2">
        <f t="shared" si="4"/>
        <v>16449.086587301586</v>
      </c>
      <c r="V42" s="10">
        <f>'A) Base RI'!O42</f>
        <v>6801.6</v>
      </c>
      <c r="W42" s="10">
        <f>'A) Base RI'!P42</f>
        <v>32286.1</v>
      </c>
      <c r="X42" s="10">
        <f>'A) Base RI'!R42</f>
        <v>16600.75</v>
      </c>
      <c r="Y42" s="2">
        <f t="shared" si="5"/>
        <v>55688.45</v>
      </c>
      <c r="Z42" s="10">
        <f>'A) Base RI'!N42</f>
        <v>0</v>
      </c>
      <c r="AA42" s="10">
        <f>'A) Base RI'!S42+'A) Base RI'!T42</f>
        <v>0</v>
      </c>
      <c r="AB42" s="10">
        <f>+'A) Base RI'!U42</f>
        <v>4300</v>
      </c>
      <c r="AC42" s="10">
        <f>'A) Base RI'!V42</f>
        <v>0</v>
      </c>
      <c r="AD42" s="10">
        <f>+'A) Base RI'!W42</f>
        <v>0</v>
      </c>
      <c r="AE42" s="10">
        <f>'A) Base RI'!Y42</f>
        <v>51631.9</v>
      </c>
      <c r="AF42" s="10">
        <f>'A) Base RI'!Z42</f>
        <v>0</v>
      </c>
      <c r="AG42" s="10">
        <f>'A) Base RI'!AA42</f>
        <v>60185</v>
      </c>
      <c r="AH42" s="10">
        <f>'A) Base RI'!AB42</f>
        <v>0</v>
      </c>
      <c r="AI42" s="10">
        <f>'A) Base RI'!AC42</f>
        <v>21283</v>
      </c>
      <c r="AJ42" s="10">
        <f>'A) Base RI'!AD42</f>
        <v>15489</v>
      </c>
      <c r="AK42" s="10">
        <f>'A) Base RI'!AE42</f>
        <v>0</v>
      </c>
      <c r="AL42" s="10">
        <f>'A) Base RI'!AF42</f>
        <v>0</v>
      </c>
      <c r="AM42" s="10">
        <f>'A) Base RI'!AG42</f>
        <v>0</v>
      </c>
      <c r="AN42" s="10">
        <f>'A) Base RI'!AH42</f>
        <v>0</v>
      </c>
      <c r="AO42" s="10">
        <f>'A) Base RI'!AI42</f>
        <v>0</v>
      </c>
      <c r="AP42" s="10">
        <f>'A) Base RI'!AJ42</f>
        <v>0</v>
      </c>
      <c r="AQ42" s="10">
        <f>'A) Base RI'!AK42</f>
        <v>0</v>
      </c>
      <c r="AR42" s="10">
        <f>'A) Base RI'!AN42</f>
        <v>584</v>
      </c>
    </row>
    <row r="43" spans="1:44" x14ac:dyDescent="0.25">
      <c r="A43" s="8">
        <f>'A) Base RI'!A43</f>
        <v>5472</v>
      </c>
      <c r="B43" s="35" t="str">
        <f>'A) Base RI'!B43</f>
        <v>Bournens</v>
      </c>
      <c r="C43" s="10">
        <f>'A) Base RI'!C43+'A) Base RI'!D43</f>
        <v>1026499.69</v>
      </c>
      <c r="D43" s="10">
        <f>'A) Base RI'!AO43</f>
        <v>-3485.33</v>
      </c>
      <c r="E43" s="34">
        <f>'A) Base RI'!AP43</f>
        <v>0</v>
      </c>
      <c r="F43" s="34">
        <f>'A) Base RI'!AQ43</f>
        <v>-54.83</v>
      </c>
      <c r="G43" s="2">
        <f t="shared" si="0"/>
        <v>1022959.53</v>
      </c>
      <c r="H43" s="10">
        <f>'A) Base RI'!E43</f>
        <v>0</v>
      </c>
      <c r="I43" s="10">
        <f>'A) Base RI'!F43</f>
        <v>0</v>
      </c>
      <c r="J43" s="10">
        <f>'A) Base RI'!G43+'A) Base RI'!H43</f>
        <v>6901.85</v>
      </c>
      <c r="K43" s="10">
        <f>'A) Base RI'!I43</f>
        <v>0</v>
      </c>
      <c r="L43" s="10">
        <f>'A) Base RI'!J43</f>
        <v>15448.31</v>
      </c>
      <c r="M43" s="10">
        <f>'A) Base RI'!K43</f>
        <v>543.5</v>
      </c>
      <c r="N43" s="10">
        <f>'A) Base RI'!Q43</f>
        <v>19417.25</v>
      </c>
      <c r="O43" s="10">
        <f t="shared" si="1"/>
        <v>70073.649999999994</v>
      </c>
      <c r="P43" s="10">
        <f>'A) Base RI'!L43</f>
        <v>70073.649999999994</v>
      </c>
      <c r="Q43" s="37">
        <f>'A) Base RI'!AR43</f>
        <v>1</v>
      </c>
      <c r="R43" s="2">
        <f t="shared" si="2"/>
        <v>1135344.0899999999</v>
      </c>
      <c r="S43" s="36">
        <f>'A) Base RI'!AM43</f>
        <v>80</v>
      </c>
      <c r="T43" s="2">
        <f t="shared" si="3"/>
        <v>1064726.94</v>
      </c>
      <c r="U43" s="2">
        <f t="shared" si="4"/>
        <v>14191.801124999998</v>
      </c>
      <c r="V43" s="10">
        <f>'A) Base RI'!O43</f>
        <v>0</v>
      </c>
      <c r="W43" s="10">
        <f>'A) Base RI'!P43</f>
        <v>62578.6</v>
      </c>
      <c r="X43" s="10">
        <f>'A) Base RI'!R43</f>
        <v>47894.85</v>
      </c>
      <c r="Y43" s="2">
        <f t="shared" si="5"/>
        <v>110473.45</v>
      </c>
      <c r="Z43" s="10">
        <f>'A) Base RI'!N43</f>
        <v>0</v>
      </c>
      <c r="AA43" s="10">
        <f>'A) Base RI'!S43+'A) Base RI'!T43</f>
        <v>0</v>
      </c>
      <c r="AB43" s="10">
        <f>+'A) Base RI'!U43</f>
        <v>1050</v>
      </c>
      <c r="AC43" s="10">
        <f>'A) Base RI'!V43</f>
        <v>0</v>
      </c>
      <c r="AD43" s="10">
        <f>+'A) Base RI'!W43</f>
        <v>0</v>
      </c>
      <c r="AE43" s="10">
        <f>'A) Base RI'!Y43</f>
        <v>229104</v>
      </c>
      <c r="AF43" s="10">
        <f>'A) Base RI'!Z43</f>
        <v>0</v>
      </c>
      <c r="AG43" s="10">
        <f>'A) Base RI'!AA43</f>
        <v>75283.8</v>
      </c>
      <c r="AH43" s="10">
        <f>'A) Base RI'!AB43</f>
        <v>0</v>
      </c>
      <c r="AI43" s="10">
        <f>'A) Base RI'!AC43</f>
        <v>29000</v>
      </c>
      <c r="AJ43" s="10">
        <f>'A) Base RI'!AD43</f>
        <v>165030</v>
      </c>
      <c r="AK43" s="10">
        <f>'A) Base RI'!AE43</f>
        <v>0</v>
      </c>
      <c r="AL43" s="10">
        <f>'A) Base RI'!AF43</f>
        <v>0</v>
      </c>
      <c r="AM43" s="10">
        <f>'A) Base RI'!AG43</f>
        <v>0</v>
      </c>
      <c r="AN43" s="10">
        <f>'A) Base RI'!AH43</f>
        <v>0</v>
      </c>
      <c r="AO43" s="10">
        <f>'A) Base RI'!AI43</f>
        <v>0</v>
      </c>
      <c r="AP43" s="10">
        <f>'A) Base RI'!AJ43</f>
        <v>0</v>
      </c>
      <c r="AQ43" s="10">
        <f>'A) Base RI'!AK43</f>
        <v>0</v>
      </c>
      <c r="AR43" s="10">
        <f>'A) Base RI'!AN43</f>
        <v>370</v>
      </c>
    </row>
    <row r="44" spans="1:44" x14ac:dyDescent="0.25">
      <c r="A44" s="8">
        <f>'A) Base RI'!A44</f>
        <v>5473</v>
      </c>
      <c r="B44" s="35" t="str">
        <f>'A) Base RI'!B44</f>
        <v>Boussens</v>
      </c>
      <c r="C44" s="10">
        <f>'A) Base RI'!C44+'A) Base RI'!D44</f>
        <v>2045804.12</v>
      </c>
      <c r="D44" s="10">
        <f>'A) Base RI'!AO44</f>
        <v>-16446.28</v>
      </c>
      <c r="E44" s="34">
        <f>'A) Base RI'!AP44</f>
        <v>0</v>
      </c>
      <c r="F44" s="34">
        <f>'A) Base RI'!AQ44</f>
        <v>-20.57</v>
      </c>
      <c r="G44" s="2">
        <f t="shared" si="0"/>
        <v>2029337.27</v>
      </c>
      <c r="H44" s="10">
        <f>'A) Base RI'!E44</f>
        <v>0</v>
      </c>
      <c r="I44" s="10">
        <f>'A) Base RI'!F44</f>
        <v>0</v>
      </c>
      <c r="J44" s="10">
        <f>'A) Base RI'!G44+'A) Base RI'!H44</f>
        <v>49820.800000000003</v>
      </c>
      <c r="K44" s="10">
        <f>'A) Base RI'!I44</f>
        <v>0</v>
      </c>
      <c r="L44" s="10">
        <f>'A) Base RI'!J44</f>
        <v>7734.2</v>
      </c>
      <c r="M44" s="10">
        <f>'A) Base RI'!K44</f>
        <v>2078.5</v>
      </c>
      <c r="N44" s="10">
        <f>'A) Base RI'!Q44</f>
        <v>3751.18</v>
      </c>
      <c r="O44" s="10">
        <f t="shared" si="1"/>
        <v>167514.70000000001</v>
      </c>
      <c r="P44" s="10">
        <f>'A) Base RI'!L44</f>
        <v>167514.70000000001</v>
      </c>
      <c r="Q44" s="37">
        <f>'A) Base RI'!AR44</f>
        <v>1</v>
      </c>
      <c r="R44" s="2">
        <f t="shared" si="2"/>
        <v>2260236.65</v>
      </c>
      <c r="S44" s="36">
        <f>'A) Base RI'!AM44</f>
        <v>69</v>
      </c>
      <c r="T44" s="2">
        <f t="shared" si="3"/>
        <v>2090643.45</v>
      </c>
      <c r="U44" s="2">
        <f t="shared" si="4"/>
        <v>32757.052898550723</v>
      </c>
      <c r="V44" s="10">
        <f>'A) Base RI'!O44</f>
        <v>0</v>
      </c>
      <c r="W44" s="10">
        <f>'A) Base RI'!P44</f>
        <v>73404.100000000006</v>
      </c>
      <c r="X44" s="10">
        <f>'A) Base RI'!R44</f>
        <v>40460.050000000003</v>
      </c>
      <c r="Y44" s="2">
        <f t="shared" si="5"/>
        <v>113864.15000000001</v>
      </c>
      <c r="Z44" s="10">
        <f>'A) Base RI'!N44</f>
        <v>0</v>
      </c>
      <c r="AA44" s="10">
        <f>'A) Base RI'!S44+'A) Base RI'!T44</f>
        <v>0</v>
      </c>
      <c r="AB44" s="10">
        <f>+'A) Base RI'!U44</f>
        <v>5120</v>
      </c>
      <c r="AC44" s="10">
        <f>'A) Base RI'!V44</f>
        <v>0</v>
      </c>
      <c r="AD44" s="10">
        <f>+'A) Base RI'!W44</f>
        <v>0</v>
      </c>
      <c r="AE44" s="10">
        <f>'A) Base RI'!Y44</f>
        <v>27800</v>
      </c>
      <c r="AF44" s="10">
        <f>'A) Base RI'!Z44</f>
        <v>0</v>
      </c>
      <c r="AG44" s="10">
        <f>'A) Base RI'!AA44</f>
        <v>165110.39999999999</v>
      </c>
      <c r="AH44" s="10">
        <f>'A) Base RI'!AB44</f>
        <v>0</v>
      </c>
      <c r="AI44" s="10">
        <f>'A) Base RI'!AC44</f>
        <v>106438.32</v>
      </c>
      <c r="AJ44" s="10">
        <f>'A) Base RI'!AD44</f>
        <v>0</v>
      </c>
      <c r="AK44" s="10">
        <f>'A) Base RI'!AE44</f>
        <v>0</v>
      </c>
      <c r="AL44" s="10">
        <f>'A) Base RI'!AF44</f>
        <v>0</v>
      </c>
      <c r="AM44" s="10">
        <f>'A) Base RI'!AG44</f>
        <v>0</v>
      </c>
      <c r="AN44" s="10">
        <f>'A) Base RI'!AH44</f>
        <v>0</v>
      </c>
      <c r="AO44" s="10">
        <f>'A) Base RI'!AI44</f>
        <v>0</v>
      </c>
      <c r="AP44" s="10">
        <f>'A) Base RI'!AJ44</f>
        <v>0</v>
      </c>
      <c r="AQ44" s="10">
        <f>'A) Base RI'!AK44</f>
        <v>0</v>
      </c>
      <c r="AR44" s="10">
        <f>'A) Base RI'!AN44</f>
        <v>980</v>
      </c>
    </row>
    <row r="45" spans="1:44" x14ac:dyDescent="0.25">
      <c r="A45" s="8">
        <f>'A) Base RI'!A45</f>
        <v>5474</v>
      </c>
      <c r="B45" s="35" t="str">
        <f>'A) Base RI'!B45</f>
        <v>La Chaux (Cossonay)</v>
      </c>
      <c r="C45" s="10">
        <f>'A) Base RI'!C45+'A) Base RI'!D45</f>
        <v>883894.27</v>
      </c>
      <c r="D45" s="10">
        <f>'A) Base RI'!AO45</f>
        <v>-5864.71</v>
      </c>
      <c r="E45" s="34">
        <f>'A) Base RI'!AP45</f>
        <v>0</v>
      </c>
      <c r="F45" s="34">
        <f>'A) Base RI'!AQ45</f>
        <v>-21.41</v>
      </c>
      <c r="G45" s="2">
        <f t="shared" si="0"/>
        <v>878008.15</v>
      </c>
      <c r="H45" s="10">
        <f>'A) Base RI'!E45</f>
        <v>0</v>
      </c>
      <c r="I45" s="10">
        <f>'A) Base RI'!F45</f>
        <v>0</v>
      </c>
      <c r="J45" s="10">
        <f>'A) Base RI'!G45+'A) Base RI'!H45</f>
        <v>11341</v>
      </c>
      <c r="K45" s="10">
        <f>'A) Base RI'!I45</f>
        <v>33864.199999999997</v>
      </c>
      <c r="L45" s="10">
        <f>'A) Base RI'!J45</f>
        <v>5842.99</v>
      </c>
      <c r="M45" s="10">
        <f>'A) Base RI'!K45</f>
        <v>560</v>
      </c>
      <c r="N45" s="10">
        <f>'A) Base RI'!Q45</f>
        <v>0</v>
      </c>
      <c r="O45" s="10">
        <f t="shared" si="1"/>
        <v>65597.791666666672</v>
      </c>
      <c r="P45" s="10">
        <f>'A) Base RI'!L45</f>
        <v>78717.350000000006</v>
      </c>
      <c r="Q45" s="37">
        <f>'A) Base RI'!AR45</f>
        <v>1.2</v>
      </c>
      <c r="R45" s="2">
        <f t="shared" si="2"/>
        <v>995214.1316666666</v>
      </c>
      <c r="S45" s="36">
        <f>'A) Base RI'!AM45</f>
        <v>77</v>
      </c>
      <c r="T45" s="2">
        <f t="shared" si="3"/>
        <v>929056.34</v>
      </c>
      <c r="U45" s="2">
        <f t="shared" si="4"/>
        <v>12924.858852813852</v>
      </c>
      <c r="V45" s="10">
        <f>'A) Base RI'!O45</f>
        <v>1114.2</v>
      </c>
      <c r="W45" s="10">
        <f>'A) Base RI'!P45</f>
        <v>61855.75</v>
      </c>
      <c r="X45" s="10">
        <f>'A) Base RI'!R45</f>
        <v>39296.75</v>
      </c>
      <c r="Y45" s="2">
        <f t="shared" si="5"/>
        <v>102266.7</v>
      </c>
      <c r="Z45" s="10">
        <f>'A) Base RI'!N45</f>
        <v>0</v>
      </c>
      <c r="AA45" s="10">
        <f>'A) Base RI'!S45+'A) Base RI'!T45</f>
        <v>0</v>
      </c>
      <c r="AB45" s="10">
        <f>+'A) Base RI'!U45</f>
        <v>1100</v>
      </c>
      <c r="AC45" s="10">
        <f>'A) Base RI'!V45</f>
        <v>0</v>
      </c>
      <c r="AD45" s="10">
        <f>+'A) Base RI'!W45</f>
        <v>0</v>
      </c>
      <c r="AE45" s="10">
        <f>'A) Base RI'!Y45</f>
        <v>38910</v>
      </c>
      <c r="AF45" s="10">
        <f>'A) Base RI'!Z45</f>
        <v>0</v>
      </c>
      <c r="AG45" s="10">
        <f>'A) Base RI'!AA45</f>
        <v>67374.350000000006</v>
      </c>
      <c r="AH45" s="10">
        <f>'A) Base RI'!AB45</f>
        <v>0</v>
      </c>
      <c r="AI45" s="10">
        <f>'A) Base RI'!AC45</f>
        <v>27595</v>
      </c>
      <c r="AJ45" s="10">
        <f>'A) Base RI'!AD45</f>
        <v>0</v>
      </c>
      <c r="AK45" s="10">
        <f>'A) Base RI'!AE45</f>
        <v>0</v>
      </c>
      <c r="AL45" s="10">
        <f>'A) Base RI'!AF45</f>
        <v>0</v>
      </c>
      <c r="AM45" s="10">
        <f>'A) Base RI'!AG45</f>
        <v>0</v>
      </c>
      <c r="AN45" s="10">
        <f>'A) Base RI'!AH45</f>
        <v>0</v>
      </c>
      <c r="AO45" s="10">
        <f>'A) Base RI'!AI45</f>
        <v>0</v>
      </c>
      <c r="AP45" s="10">
        <f>'A) Base RI'!AJ45</f>
        <v>0</v>
      </c>
      <c r="AQ45" s="10">
        <f>'A) Base RI'!AK45</f>
        <v>0</v>
      </c>
      <c r="AR45" s="10">
        <f>'A) Base RI'!AN45</f>
        <v>421</v>
      </c>
    </row>
    <row r="46" spans="1:44" x14ac:dyDescent="0.25">
      <c r="A46" s="8">
        <f>'A) Base RI'!A46</f>
        <v>5475</v>
      </c>
      <c r="B46" s="35" t="str">
        <f>'A) Base RI'!B46</f>
        <v>Chavannes-le-Veyron</v>
      </c>
      <c r="C46" s="10">
        <f>'A) Base RI'!C46+'A) Base RI'!D46</f>
        <v>190954.38</v>
      </c>
      <c r="D46" s="10">
        <f>'A) Base RI'!AO46</f>
        <v>-4320.66</v>
      </c>
      <c r="E46" s="34">
        <f>'A) Base RI'!AP46</f>
        <v>0</v>
      </c>
      <c r="F46" s="34">
        <f>'A) Base RI'!AQ46</f>
        <v>0</v>
      </c>
      <c r="G46" s="2">
        <f t="shared" si="0"/>
        <v>186633.72</v>
      </c>
      <c r="H46" s="10">
        <f>'A) Base RI'!E46</f>
        <v>0</v>
      </c>
      <c r="I46" s="10">
        <f>'A) Base RI'!F46</f>
        <v>0</v>
      </c>
      <c r="J46" s="10">
        <f>'A) Base RI'!G46+'A) Base RI'!H46</f>
        <v>1967.3000000000002</v>
      </c>
      <c r="K46" s="10">
        <f>'A) Base RI'!I46</f>
        <v>0</v>
      </c>
      <c r="L46" s="10">
        <f>'A) Base RI'!J46</f>
        <v>-2299.14</v>
      </c>
      <c r="M46" s="10">
        <f>'A) Base RI'!K46</f>
        <v>0</v>
      </c>
      <c r="N46" s="10">
        <f>'A) Base RI'!Q46</f>
        <v>0</v>
      </c>
      <c r="O46" s="10">
        <f t="shared" si="1"/>
        <v>19503.3</v>
      </c>
      <c r="P46" s="10">
        <f>'A) Base RI'!L46</f>
        <v>19503.3</v>
      </c>
      <c r="Q46" s="37">
        <f>'A) Base RI'!AR46</f>
        <v>1</v>
      </c>
      <c r="R46" s="2">
        <f t="shared" si="2"/>
        <v>205805.17999999996</v>
      </c>
      <c r="S46" s="36">
        <f>'A) Base RI'!AM46</f>
        <v>77</v>
      </c>
      <c r="T46" s="2">
        <f t="shared" si="3"/>
        <v>186301.87999999998</v>
      </c>
      <c r="U46" s="2">
        <f t="shared" si="4"/>
        <v>2672.7945454545452</v>
      </c>
      <c r="V46" s="10">
        <f>'A) Base RI'!O46</f>
        <v>0</v>
      </c>
      <c r="W46" s="10">
        <f>'A) Base RI'!P46</f>
        <v>46905.1</v>
      </c>
      <c r="X46" s="10">
        <f>'A) Base RI'!R46</f>
        <v>21188.1</v>
      </c>
      <c r="Y46" s="2">
        <f t="shared" si="5"/>
        <v>68093.2</v>
      </c>
      <c r="Z46" s="10">
        <f>'A) Base RI'!N46</f>
        <v>0</v>
      </c>
      <c r="AA46" s="10">
        <f>'A) Base RI'!S46+'A) Base RI'!T46</f>
        <v>0</v>
      </c>
      <c r="AB46" s="10">
        <f>+'A) Base RI'!U46</f>
        <v>360</v>
      </c>
      <c r="AC46" s="10">
        <f>'A) Base RI'!V46</f>
        <v>0</v>
      </c>
      <c r="AD46" s="10">
        <f>+'A) Base RI'!W46</f>
        <v>0</v>
      </c>
      <c r="AE46" s="10">
        <f>'A) Base RI'!Y46</f>
        <v>0</v>
      </c>
      <c r="AF46" s="10">
        <f>'A) Base RI'!Z46</f>
        <v>0</v>
      </c>
      <c r="AG46" s="10">
        <f>'A) Base RI'!AA46</f>
        <v>11869.3</v>
      </c>
      <c r="AH46" s="10">
        <f>'A) Base RI'!AB46</f>
        <v>0</v>
      </c>
      <c r="AI46" s="10">
        <f>'A) Base RI'!AC46</f>
        <v>20592.099999999999</v>
      </c>
      <c r="AJ46" s="10">
        <f>'A) Base RI'!AD46</f>
        <v>0</v>
      </c>
      <c r="AK46" s="10">
        <f>'A) Base RI'!AE46</f>
        <v>0</v>
      </c>
      <c r="AL46" s="10">
        <f>'A) Base RI'!AF46</f>
        <v>0</v>
      </c>
      <c r="AM46" s="10">
        <f>'A) Base RI'!AG46</f>
        <v>0</v>
      </c>
      <c r="AN46" s="10">
        <f>'A) Base RI'!AH46</f>
        <v>0</v>
      </c>
      <c r="AO46" s="10">
        <f>'A) Base RI'!AI46</f>
        <v>0</v>
      </c>
      <c r="AP46" s="10">
        <f>'A) Base RI'!AJ46</f>
        <v>0</v>
      </c>
      <c r="AQ46" s="10">
        <f>'A) Base RI'!AK46</f>
        <v>0</v>
      </c>
      <c r="AR46" s="10">
        <f>'A) Base RI'!AN46</f>
        <v>143</v>
      </c>
    </row>
    <row r="47" spans="1:44" x14ac:dyDescent="0.25">
      <c r="A47" s="8">
        <f>'A) Base RI'!A47</f>
        <v>5476</v>
      </c>
      <c r="B47" s="35" t="str">
        <f>'A) Base RI'!B47</f>
        <v>Chevilly</v>
      </c>
      <c r="C47" s="10">
        <f>'A) Base RI'!C47+'A) Base RI'!D47</f>
        <v>704165.27</v>
      </c>
      <c r="D47" s="10">
        <f>'A) Base RI'!AO47</f>
        <v>-214.75</v>
      </c>
      <c r="E47" s="34">
        <f>'A) Base RI'!AP47</f>
        <v>0</v>
      </c>
      <c r="F47" s="34">
        <f>'A) Base RI'!AQ47</f>
        <v>-0.28999999999999998</v>
      </c>
      <c r="G47" s="2">
        <f t="shared" si="0"/>
        <v>703950.23</v>
      </c>
      <c r="H47" s="10">
        <f>'A) Base RI'!E47</f>
        <v>0</v>
      </c>
      <c r="I47" s="10">
        <f>'A) Base RI'!F47</f>
        <v>0</v>
      </c>
      <c r="J47" s="10">
        <f>'A) Base RI'!G47+'A) Base RI'!H47</f>
        <v>3558.5</v>
      </c>
      <c r="K47" s="10">
        <f>'A) Base RI'!I47</f>
        <v>0</v>
      </c>
      <c r="L47" s="10">
        <f>'A) Base RI'!J47</f>
        <v>1869.03</v>
      </c>
      <c r="M47" s="10">
        <f>'A) Base RI'!K47</f>
        <v>0</v>
      </c>
      <c r="N47" s="10">
        <f>'A) Base RI'!Q47</f>
        <v>0</v>
      </c>
      <c r="O47" s="10">
        <f t="shared" si="1"/>
        <v>48970.700000000004</v>
      </c>
      <c r="P47" s="10">
        <f>'A) Base RI'!L47</f>
        <v>73456.05</v>
      </c>
      <c r="Q47" s="37">
        <f>'A) Base RI'!AR47</f>
        <v>1.5</v>
      </c>
      <c r="R47" s="2">
        <f t="shared" si="2"/>
        <v>758348.46</v>
      </c>
      <c r="S47" s="36">
        <f>'A) Base RI'!AM47</f>
        <v>74</v>
      </c>
      <c r="T47" s="2">
        <f t="shared" si="3"/>
        <v>709377.76</v>
      </c>
      <c r="U47" s="2">
        <f t="shared" si="4"/>
        <v>10247.952162162162</v>
      </c>
      <c r="V47" s="10">
        <f>'A) Base RI'!O47</f>
        <v>2343.5</v>
      </c>
      <c r="W47" s="10">
        <f>'A) Base RI'!P47</f>
        <v>14736.3</v>
      </c>
      <c r="X47" s="10">
        <f>'A) Base RI'!R47</f>
        <v>36331.1</v>
      </c>
      <c r="Y47" s="2">
        <f t="shared" si="5"/>
        <v>53410.899999999994</v>
      </c>
      <c r="Z47" s="10">
        <f>'A) Base RI'!N47</f>
        <v>0</v>
      </c>
      <c r="AA47" s="10">
        <f>'A) Base RI'!S47+'A) Base RI'!T47</f>
        <v>0</v>
      </c>
      <c r="AB47" s="10">
        <f>+'A) Base RI'!U47</f>
        <v>3000</v>
      </c>
      <c r="AC47" s="10">
        <f>'A) Base RI'!V47</f>
        <v>0</v>
      </c>
      <c r="AD47" s="10">
        <f>+'A) Base RI'!W47</f>
        <v>0</v>
      </c>
      <c r="AE47" s="10">
        <f>'A) Base RI'!Y47</f>
        <v>2650.05</v>
      </c>
      <c r="AF47" s="10">
        <f>'A) Base RI'!Z47</f>
        <v>0</v>
      </c>
      <c r="AG47" s="10">
        <f>'A) Base RI'!AA47</f>
        <v>15340</v>
      </c>
      <c r="AH47" s="10">
        <f>'A) Base RI'!AB47</f>
        <v>0</v>
      </c>
      <c r="AI47" s="10">
        <f>'A) Base RI'!AC47</f>
        <v>15219.65</v>
      </c>
      <c r="AJ47" s="10">
        <f>'A) Base RI'!AD47</f>
        <v>4416.75</v>
      </c>
      <c r="AK47" s="10">
        <f>'A) Base RI'!AE47</f>
        <v>0</v>
      </c>
      <c r="AL47" s="10">
        <f>'A) Base RI'!AF47</f>
        <v>0</v>
      </c>
      <c r="AM47" s="10">
        <f>'A) Base RI'!AG47</f>
        <v>0</v>
      </c>
      <c r="AN47" s="10">
        <f>'A) Base RI'!AH47</f>
        <v>0</v>
      </c>
      <c r="AO47" s="10">
        <f>'A) Base RI'!AI47</f>
        <v>0</v>
      </c>
      <c r="AP47" s="10">
        <f>'A) Base RI'!AJ47</f>
        <v>0</v>
      </c>
      <c r="AQ47" s="10">
        <f>'A) Base RI'!AK47</f>
        <v>0</v>
      </c>
      <c r="AR47" s="10">
        <f>'A) Base RI'!AN47</f>
        <v>299</v>
      </c>
    </row>
    <row r="48" spans="1:44" x14ac:dyDescent="0.25">
      <c r="A48" s="8">
        <f>'A) Base RI'!A48</f>
        <v>5477</v>
      </c>
      <c r="B48" s="35" t="str">
        <f>'A) Base RI'!B48</f>
        <v>Cossonay</v>
      </c>
      <c r="C48" s="10">
        <f>'A) Base RI'!C48+'A) Base RI'!D48</f>
        <v>7336632.5499999998</v>
      </c>
      <c r="D48" s="10">
        <f>'A) Base RI'!AO48</f>
        <v>-76554.539999999994</v>
      </c>
      <c r="E48" s="34">
        <f>'A) Base RI'!AP48</f>
        <v>0</v>
      </c>
      <c r="F48" s="34">
        <f>'A) Base RI'!AQ48</f>
        <v>-107.47</v>
      </c>
      <c r="G48" s="2">
        <f t="shared" si="0"/>
        <v>7259970.54</v>
      </c>
      <c r="H48" s="10">
        <f>'A) Base RI'!E48</f>
        <v>0</v>
      </c>
      <c r="I48" s="10">
        <f>'A) Base RI'!F48</f>
        <v>0</v>
      </c>
      <c r="J48" s="10">
        <f>'A) Base RI'!G48+'A) Base RI'!H48</f>
        <v>708200</v>
      </c>
      <c r="K48" s="10">
        <f>'A) Base RI'!I48</f>
        <v>0</v>
      </c>
      <c r="L48" s="10">
        <f>'A) Base RI'!J48</f>
        <v>140217.67000000001</v>
      </c>
      <c r="M48" s="10">
        <f>'A) Base RI'!K48</f>
        <v>29691</v>
      </c>
      <c r="N48" s="10">
        <f>'A) Base RI'!Q48</f>
        <v>58945.7</v>
      </c>
      <c r="O48" s="10">
        <f t="shared" si="1"/>
        <v>530415.1</v>
      </c>
      <c r="P48" s="10">
        <f>'A) Base RI'!L48</f>
        <v>530415.1</v>
      </c>
      <c r="Q48" s="37">
        <f>'A) Base RI'!AR48</f>
        <v>1</v>
      </c>
      <c r="R48" s="2">
        <f t="shared" si="2"/>
        <v>8727440.0099999998</v>
      </c>
      <c r="S48" s="36">
        <f>'A) Base RI'!AM48</f>
        <v>69.3</v>
      </c>
      <c r="T48" s="2">
        <f t="shared" si="3"/>
        <v>8167333.9100000001</v>
      </c>
      <c r="U48" s="2">
        <f t="shared" si="4"/>
        <v>125937.08528138528</v>
      </c>
      <c r="V48" s="10">
        <f>'A) Base RI'!O48</f>
        <v>108778.3</v>
      </c>
      <c r="W48" s="10">
        <f>'A) Base RI'!P48</f>
        <v>306024.84999999998</v>
      </c>
      <c r="X48" s="10">
        <f>'A) Base RI'!R48</f>
        <v>199563.45</v>
      </c>
      <c r="Y48" s="2">
        <f t="shared" si="5"/>
        <v>614366.6</v>
      </c>
      <c r="Z48" s="10">
        <f>'A) Base RI'!N48</f>
        <v>76748.2</v>
      </c>
      <c r="AA48" s="10">
        <f>'A) Base RI'!S48+'A) Base RI'!T48</f>
        <v>0</v>
      </c>
      <c r="AB48" s="10">
        <f>+'A) Base RI'!U48</f>
        <v>18950</v>
      </c>
      <c r="AC48" s="10">
        <f>'A) Base RI'!V48</f>
        <v>0</v>
      </c>
      <c r="AD48" s="10">
        <f>+'A) Base RI'!W48</f>
        <v>0</v>
      </c>
      <c r="AE48" s="10">
        <f>'A) Base RI'!Y48</f>
        <v>275929.09999999998</v>
      </c>
      <c r="AF48" s="10">
        <f>'A) Base RI'!Z48</f>
        <v>141609</v>
      </c>
      <c r="AG48" s="10">
        <f>'A) Base RI'!AA48</f>
        <v>361007.55</v>
      </c>
      <c r="AH48" s="10">
        <f>'A) Base RI'!AB48</f>
        <v>481555.05</v>
      </c>
      <c r="AI48" s="10">
        <f>'A) Base RI'!AC48</f>
        <v>336464.4</v>
      </c>
      <c r="AJ48" s="10">
        <f>'A) Base RI'!AD48</f>
        <v>196777.9</v>
      </c>
      <c r="AK48" s="10">
        <f>'A) Base RI'!AE48</f>
        <v>63258.3</v>
      </c>
      <c r="AL48" s="10">
        <f>'A) Base RI'!AF48</f>
        <v>0</v>
      </c>
      <c r="AM48" s="10">
        <f>'A) Base RI'!AG48</f>
        <v>3028.2</v>
      </c>
      <c r="AN48" s="10">
        <f>'A) Base RI'!AH48</f>
        <v>84303.25</v>
      </c>
      <c r="AO48" s="10">
        <f>'A) Base RI'!AI48</f>
        <v>0</v>
      </c>
      <c r="AP48" s="10">
        <f>'A) Base RI'!AJ48</f>
        <v>0</v>
      </c>
      <c r="AQ48" s="10">
        <f>'A) Base RI'!AK48</f>
        <v>17337.45</v>
      </c>
      <c r="AR48" s="10">
        <f>'A) Base RI'!AN48</f>
        <v>3632</v>
      </c>
    </row>
    <row r="49" spans="1:44" x14ac:dyDescent="0.25">
      <c r="A49" s="8">
        <f>'A) Base RI'!A49</f>
        <v>5478</v>
      </c>
      <c r="B49" s="35" t="str">
        <f>'A) Base RI'!B49</f>
        <v>Cottens</v>
      </c>
      <c r="C49" s="10">
        <f>'A) Base RI'!C49+'A) Base RI'!D49</f>
        <v>979705.21</v>
      </c>
      <c r="D49" s="10">
        <f>'A) Base RI'!AO49</f>
        <v>-8548.5</v>
      </c>
      <c r="E49" s="34">
        <f>'A) Base RI'!AP49</f>
        <v>0</v>
      </c>
      <c r="F49" s="34">
        <f>'A) Base RI'!AQ49</f>
        <v>-17.579999999999998</v>
      </c>
      <c r="G49" s="2">
        <f t="shared" si="0"/>
        <v>971139.13</v>
      </c>
      <c r="H49" s="10">
        <f>'A) Base RI'!E49</f>
        <v>0</v>
      </c>
      <c r="I49" s="10">
        <f>'A) Base RI'!F49</f>
        <v>0</v>
      </c>
      <c r="J49" s="10">
        <f>'A) Base RI'!G49+'A) Base RI'!H49</f>
        <v>14478.95</v>
      </c>
      <c r="K49" s="10">
        <f>'A) Base RI'!I49</f>
        <v>0</v>
      </c>
      <c r="L49" s="10">
        <f>'A) Base RI'!J49</f>
        <v>4194.6499999999996</v>
      </c>
      <c r="M49" s="10">
        <f>'A) Base RI'!K49</f>
        <v>250</v>
      </c>
      <c r="N49" s="10">
        <f>'A) Base RI'!Q49</f>
        <v>4390.4799999999996</v>
      </c>
      <c r="O49" s="10">
        <f t="shared" si="1"/>
        <v>75980.3</v>
      </c>
      <c r="P49" s="10">
        <f>'A) Base RI'!L49</f>
        <v>75980.3</v>
      </c>
      <c r="Q49" s="37">
        <f>'A) Base RI'!AR49</f>
        <v>1</v>
      </c>
      <c r="R49" s="2">
        <f t="shared" si="2"/>
        <v>1070433.51</v>
      </c>
      <c r="S49" s="36">
        <f>'A) Base RI'!AM49</f>
        <v>74</v>
      </c>
      <c r="T49" s="2">
        <f t="shared" si="3"/>
        <v>994203.21</v>
      </c>
      <c r="U49" s="2">
        <f t="shared" si="4"/>
        <v>14465.317702702703</v>
      </c>
      <c r="V49" s="10">
        <f>'A) Base RI'!O49</f>
        <v>0</v>
      </c>
      <c r="W49" s="10">
        <f>'A) Base RI'!P49</f>
        <v>14205.5</v>
      </c>
      <c r="X49" s="10">
        <f>'A) Base RI'!R49</f>
        <v>5973.9</v>
      </c>
      <c r="Y49" s="2">
        <f t="shared" si="5"/>
        <v>20179.400000000001</v>
      </c>
      <c r="Z49" s="10">
        <f>'A) Base RI'!N49</f>
        <v>0</v>
      </c>
      <c r="AA49" s="10">
        <f>'A) Base RI'!S49+'A) Base RI'!T49</f>
        <v>536.4</v>
      </c>
      <c r="AB49" s="10">
        <f>+'A) Base RI'!U49</f>
        <v>1825</v>
      </c>
      <c r="AC49" s="10">
        <f>'A) Base RI'!V49</f>
        <v>0</v>
      </c>
      <c r="AD49" s="10">
        <f>+'A) Base RI'!W49</f>
        <v>0</v>
      </c>
      <c r="AE49" s="10">
        <f>'A) Base RI'!Y49</f>
        <v>11598.3</v>
      </c>
      <c r="AF49" s="10">
        <f>'A) Base RI'!Z49</f>
        <v>0</v>
      </c>
      <c r="AG49" s="10">
        <f>'A) Base RI'!AA49</f>
        <v>31871.1</v>
      </c>
      <c r="AH49" s="10">
        <f>'A) Base RI'!AB49</f>
        <v>0</v>
      </c>
      <c r="AI49" s="10">
        <f>'A) Base RI'!AC49</f>
        <v>33623.25</v>
      </c>
      <c r="AJ49" s="10">
        <f>'A) Base RI'!AD49</f>
        <v>11598.3</v>
      </c>
      <c r="AK49" s="10">
        <f>'A) Base RI'!AE49</f>
        <v>0</v>
      </c>
      <c r="AL49" s="10">
        <f>'A) Base RI'!AF49</f>
        <v>0</v>
      </c>
      <c r="AM49" s="10">
        <f>'A) Base RI'!AG49</f>
        <v>0</v>
      </c>
      <c r="AN49" s="10">
        <f>'A) Base RI'!AH49</f>
        <v>0</v>
      </c>
      <c r="AO49" s="10">
        <f>'A) Base RI'!AI49</f>
        <v>0</v>
      </c>
      <c r="AP49" s="10">
        <f>'A) Base RI'!AJ49</f>
        <v>0</v>
      </c>
      <c r="AQ49" s="10">
        <f>'A) Base RI'!AK49</f>
        <v>0</v>
      </c>
      <c r="AR49" s="10">
        <f>'A) Base RI'!AN49</f>
        <v>483</v>
      </c>
    </row>
    <row r="50" spans="1:44" x14ac:dyDescent="0.25">
      <c r="A50" s="8">
        <f>'A) Base RI'!A50</f>
        <v>5479</v>
      </c>
      <c r="B50" s="35" t="str">
        <f>'A) Base RI'!B50</f>
        <v>Cuarnens</v>
      </c>
      <c r="C50" s="10">
        <f>'A) Base RI'!C50+'A) Base RI'!D50</f>
        <v>791218.61</v>
      </c>
      <c r="D50" s="10">
        <f>'A) Base RI'!AO50</f>
        <v>-42837.46</v>
      </c>
      <c r="E50" s="34">
        <f>'A) Base RI'!AP50</f>
        <v>0</v>
      </c>
      <c r="F50" s="34">
        <f>'A) Base RI'!AQ50</f>
        <v>-0.08</v>
      </c>
      <c r="G50" s="2">
        <f t="shared" si="0"/>
        <v>748381.07000000007</v>
      </c>
      <c r="H50" s="10">
        <f>'A) Base RI'!E50</f>
        <v>0</v>
      </c>
      <c r="I50" s="10">
        <f>'A) Base RI'!F50</f>
        <v>0</v>
      </c>
      <c r="J50" s="10">
        <f>'A) Base RI'!G50+'A) Base RI'!H50</f>
        <v>12564.4</v>
      </c>
      <c r="K50" s="10">
        <f>'A) Base RI'!I50</f>
        <v>40429.71</v>
      </c>
      <c r="L50" s="10">
        <f>'A) Base RI'!J50</f>
        <v>21169.16</v>
      </c>
      <c r="M50" s="10">
        <f>'A) Base RI'!K50</f>
        <v>1890</v>
      </c>
      <c r="N50" s="10">
        <f>'A) Base RI'!Q50</f>
        <v>0</v>
      </c>
      <c r="O50" s="10">
        <f t="shared" si="1"/>
        <v>65902.75</v>
      </c>
      <c r="P50" s="10">
        <f>'A) Base RI'!L50</f>
        <v>65902.75</v>
      </c>
      <c r="Q50" s="37">
        <f>'A) Base RI'!AR50</f>
        <v>1</v>
      </c>
      <c r="R50" s="2">
        <f t="shared" si="2"/>
        <v>890337.09000000008</v>
      </c>
      <c r="S50" s="36">
        <f>'A) Base RI'!AM50</f>
        <v>77</v>
      </c>
      <c r="T50" s="2">
        <f t="shared" si="3"/>
        <v>822544.34000000008</v>
      </c>
      <c r="U50" s="2">
        <f t="shared" si="4"/>
        <v>11562.819350649352</v>
      </c>
      <c r="V50" s="10">
        <f>'A) Base RI'!O50</f>
        <v>25000</v>
      </c>
      <c r="W50" s="10">
        <f>'A) Base RI'!P50</f>
        <v>42131.3</v>
      </c>
      <c r="X50" s="10">
        <f>'A) Base RI'!R50</f>
        <v>29771.9</v>
      </c>
      <c r="Y50" s="2">
        <f t="shared" si="5"/>
        <v>96903.200000000012</v>
      </c>
      <c r="Z50" s="10">
        <f>'A) Base RI'!N50</f>
        <v>8132.25</v>
      </c>
      <c r="AA50" s="10">
        <f>'A) Base RI'!S50+'A) Base RI'!T50</f>
        <v>1353.15</v>
      </c>
      <c r="AB50" s="10">
        <f>+'A) Base RI'!U50</f>
        <v>1520</v>
      </c>
      <c r="AC50" s="10">
        <f>'A) Base RI'!V50</f>
        <v>40</v>
      </c>
      <c r="AD50" s="10">
        <f>+'A) Base RI'!W50</f>
        <v>0</v>
      </c>
      <c r="AE50" s="10">
        <f>'A) Base RI'!Y50</f>
        <v>49470</v>
      </c>
      <c r="AF50" s="10">
        <f>'A) Base RI'!Z50</f>
        <v>0</v>
      </c>
      <c r="AG50" s="10">
        <f>'A) Base RI'!AA50</f>
        <v>51426</v>
      </c>
      <c r="AH50" s="10">
        <f>'A) Base RI'!AB50</f>
        <v>0</v>
      </c>
      <c r="AI50" s="10">
        <f>'A) Base RI'!AC50</f>
        <v>73255.05</v>
      </c>
      <c r="AJ50" s="10">
        <f>'A) Base RI'!AD50</f>
        <v>19581.55</v>
      </c>
      <c r="AK50" s="10">
        <f>'A) Base RI'!AE50</f>
        <v>11573.45</v>
      </c>
      <c r="AL50" s="10">
        <f>'A) Base RI'!AF50</f>
        <v>0</v>
      </c>
      <c r="AM50" s="10">
        <f>'A) Base RI'!AG50</f>
        <v>0</v>
      </c>
      <c r="AN50" s="10">
        <f>'A) Base RI'!AH50</f>
        <v>14153.4</v>
      </c>
      <c r="AO50" s="10">
        <f>'A) Base RI'!AI50</f>
        <v>0</v>
      </c>
      <c r="AP50" s="10">
        <f>'A) Base RI'!AJ50</f>
        <v>0</v>
      </c>
      <c r="AQ50" s="10">
        <f>'A) Base RI'!AK50</f>
        <v>0</v>
      </c>
      <c r="AR50" s="10">
        <f>'A) Base RI'!AN50</f>
        <v>481</v>
      </c>
    </row>
    <row r="51" spans="1:44" x14ac:dyDescent="0.25">
      <c r="A51" s="8">
        <f>'A) Base RI'!A51</f>
        <v>5480</v>
      </c>
      <c r="B51" s="35" t="str">
        <f>'A) Base RI'!B51</f>
        <v>Daillens</v>
      </c>
      <c r="C51" s="10">
        <f>'A) Base RI'!C51+'A) Base RI'!D51</f>
        <v>2232418.0699999998</v>
      </c>
      <c r="D51" s="10">
        <f>'A) Base RI'!AO51</f>
        <v>-33758.92</v>
      </c>
      <c r="E51" s="34">
        <f>'A) Base RI'!AP51</f>
        <v>0</v>
      </c>
      <c r="F51" s="34">
        <f>'A) Base RI'!AQ51</f>
        <v>-95.75</v>
      </c>
      <c r="G51" s="2">
        <f t="shared" si="0"/>
        <v>2198563.4</v>
      </c>
      <c r="H51" s="10">
        <f>'A) Base RI'!E51</f>
        <v>0</v>
      </c>
      <c r="I51" s="10">
        <f>'A) Base RI'!F51</f>
        <v>0</v>
      </c>
      <c r="J51" s="10">
        <f>'A) Base RI'!G51+'A) Base RI'!H51</f>
        <v>-49669.7</v>
      </c>
      <c r="K51" s="10">
        <f>'A) Base RI'!I51</f>
        <v>0</v>
      </c>
      <c r="L51" s="10">
        <f>'A) Base RI'!J51</f>
        <v>36012.11</v>
      </c>
      <c r="M51" s="10">
        <f>'A) Base RI'!K51</f>
        <v>1988.2</v>
      </c>
      <c r="N51" s="10">
        <f>'A) Base RI'!Q51</f>
        <v>12027.72</v>
      </c>
      <c r="O51" s="10">
        <f t="shared" si="1"/>
        <v>275576.90000000002</v>
      </c>
      <c r="P51" s="10">
        <f>'A) Base RI'!L51</f>
        <v>275576.90000000002</v>
      </c>
      <c r="Q51" s="37">
        <f>'A) Base RI'!AR51</f>
        <v>1</v>
      </c>
      <c r="R51" s="2">
        <f t="shared" si="2"/>
        <v>2474498.63</v>
      </c>
      <c r="S51" s="36">
        <f>'A) Base RI'!AM51</f>
        <v>71</v>
      </c>
      <c r="T51" s="2">
        <f t="shared" si="3"/>
        <v>2196933.5299999998</v>
      </c>
      <c r="U51" s="2">
        <f t="shared" si="4"/>
        <v>34852.093380281687</v>
      </c>
      <c r="V51" s="10">
        <f>'A) Base RI'!O51</f>
        <v>10104.5</v>
      </c>
      <c r="W51" s="10">
        <f>'A) Base RI'!P51</f>
        <v>82259.75</v>
      </c>
      <c r="X51" s="10">
        <f>'A) Base RI'!R51</f>
        <v>18261.95</v>
      </c>
      <c r="Y51" s="2">
        <f t="shared" si="5"/>
        <v>110626.2</v>
      </c>
      <c r="Z51" s="10">
        <f>'A) Base RI'!N51</f>
        <v>137463</v>
      </c>
      <c r="AA51" s="10">
        <f>'A) Base RI'!S51+'A) Base RI'!T51</f>
        <v>1000</v>
      </c>
      <c r="AB51" s="10">
        <f>+'A) Base RI'!U51</f>
        <v>8800</v>
      </c>
      <c r="AC51" s="10">
        <f>'A) Base RI'!V51</f>
        <v>100</v>
      </c>
      <c r="AD51" s="10">
        <f>+'A) Base RI'!W51</f>
        <v>699.3</v>
      </c>
      <c r="AE51" s="10">
        <f>'A) Base RI'!Y51</f>
        <v>112848.55</v>
      </c>
      <c r="AF51" s="10">
        <f>'A) Base RI'!Z51</f>
        <v>0</v>
      </c>
      <c r="AG51" s="10">
        <f>'A) Base RI'!AA51</f>
        <v>126895</v>
      </c>
      <c r="AH51" s="10">
        <f>'A) Base RI'!AB51</f>
        <v>103888.35</v>
      </c>
      <c r="AI51" s="10">
        <f>'A) Base RI'!AC51</f>
        <v>71573.95</v>
      </c>
      <c r="AJ51" s="10">
        <f>'A) Base RI'!AD51</f>
        <v>38095.050000000003</v>
      </c>
      <c r="AK51" s="10">
        <f>'A) Base RI'!AE51</f>
        <v>0</v>
      </c>
      <c r="AL51" s="10">
        <f>'A) Base RI'!AF51</f>
        <v>0</v>
      </c>
      <c r="AM51" s="10">
        <f>'A) Base RI'!AG51</f>
        <v>3205.4</v>
      </c>
      <c r="AN51" s="10">
        <f>'A) Base RI'!AH51</f>
        <v>58178.400000000001</v>
      </c>
      <c r="AO51" s="10">
        <f>'A) Base RI'!AI51</f>
        <v>0</v>
      </c>
      <c r="AP51" s="10">
        <f>'A) Base RI'!AJ51</f>
        <v>0</v>
      </c>
      <c r="AQ51" s="10">
        <f>'A) Base RI'!AK51</f>
        <v>0</v>
      </c>
      <c r="AR51" s="10">
        <f>'A) Base RI'!AN51</f>
        <v>958</v>
      </c>
    </row>
    <row r="52" spans="1:44" x14ac:dyDescent="0.25">
      <c r="A52" s="8">
        <f>'A) Base RI'!A52</f>
        <v>5481</v>
      </c>
      <c r="B52" s="35" t="str">
        <f>'A) Base RI'!B52</f>
        <v>Dizy</v>
      </c>
      <c r="C52" s="10">
        <f>'A) Base RI'!C52+'A) Base RI'!D52</f>
        <v>631868.63</v>
      </c>
      <c r="D52" s="10">
        <f>'A) Base RI'!AO52</f>
        <v>-1256.8900000000001</v>
      </c>
      <c r="E52" s="34">
        <f>'A) Base RI'!AP52</f>
        <v>0</v>
      </c>
      <c r="F52" s="34">
        <f>'A) Base RI'!AQ52</f>
        <v>-10.75</v>
      </c>
      <c r="G52" s="2">
        <f t="shared" si="0"/>
        <v>630600.99</v>
      </c>
      <c r="H52" s="10">
        <f>'A) Base RI'!E52</f>
        <v>0</v>
      </c>
      <c r="I52" s="10">
        <f>'A) Base RI'!F52</f>
        <v>0</v>
      </c>
      <c r="J52" s="10">
        <f>'A) Base RI'!G52+'A) Base RI'!H52</f>
        <v>35367.450000000004</v>
      </c>
      <c r="K52" s="10">
        <f>'A) Base RI'!I52</f>
        <v>0</v>
      </c>
      <c r="L52" s="10">
        <f>'A) Base RI'!J52</f>
        <v>2160.37</v>
      </c>
      <c r="M52" s="10">
        <f>'A) Base RI'!K52</f>
        <v>0</v>
      </c>
      <c r="N52" s="10">
        <f>'A) Base RI'!Q52</f>
        <v>0</v>
      </c>
      <c r="O52" s="10">
        <f t="shared" si="1"/>
        <v>34991.15</v>
      </c>
      <c r="P52" s="10">
        <f>'A) Base RI'!L52</f>
        <v>34991.15</v>
      </c>
      <c r="Q52" s="37">
        <f>'A) Base RI'!AR52</f>
        <v>1</v>
      </c>
      <c r="R52" s="2">
        <f t="shared" si="2"/>
        <v>703119.96</v>
      </c>
      <c r="S52" s="36">
        <f>'A) Base RI'!AM52</f>
        <v>79</v>
      </c>
      <c r="T52" s="2">
        <f t="shared" si="3"/>
        <v>668128.80999999994</v>
      </c>
      <c r="U52" s="2">
        <f t="shared" si="4"/>
        <v>8900.2526582278479</v>
      </c>
      <c r="V52" s="10">
        <f>'A) Base RI'!O52</f>
        <v>0</v>
      </c>
      <c r="W52" s="10">
        <f>'A) Base RI'!P52</f>
        <v>20790</v>
      </c>
      <c r="X52" s="10">
        <f>'A) Base RI'!R52</f>
        <v>2916.65</v>
      </c>
      <c r="Y52" s="2">
        <f t="shared" si="5"/>
        <v>23706.65</v>
      </c>
      <c r="Z52" s="10">
        <f>'A) Base RI'!N52</f>
        <v>0</v>
      </c>
      <c r="AA52" s="10">
        <f>'A) Base RI'!S52+'A) Base RI'!T52</f>
        <v>0</v>
      </c>
      <c r="AB52" s="10">
        <f>+'A) Base RI'!U52</f>
        <v>600</v>
      </c>
      <c r="AC52" s="10">
        <f>'A) Base RI'!V52</f>
        <v>0</v>
      </c>
      <c r="AD52" s="10">
        <f>+'A) Base RI'!W52</f>
        <v>0</v>
      </c>
      <c r="AE52" s="10">
        <f>'A) Base RI'!Y52</f>
        <v>0</v>
      </c>
      <c r="AF52" s="10">
        <f>'A) Base RI'!Z52</f>
        <v>0</v>
      </c>
      <c r="AG52" s="10">
        <f>'A) Base RI'!AA52</f>
        <v>70248</v>
      </c>
      <c r="AH52" s="10">
        <f>'A) Base RI'!AB52</f>
        <v>0</v>
      </c>
      <c r="AI52" s="10">
        <f>'A) Base RI'!AC52</f>
        <v>15004</v>
      </c>
      <c r="AJ52" s="10">
        <f>'A) Base RI'!AD52</f>
        <v>0</v>
      </c>
      <c r="AK52" s="10">
        <f>'A) Base RI'!AE52</f>
        <v>0</v>
      </c>
      <c r="AL52" s="10">
        <f>'A) Base RI'!AF52</f>
        <v>0</v>
      </c>
      <c r="AM52" s="10">
        <f>'A) Base RI'!AG52</f>
        <v>0</v>
      </c>
      <c r="AN52" s="10">
        <f>'A) Base RI'!AH52</f>
        <v>0</v>
      </c>
      <c r="AO52" s="10">
        <f>'A) Base RI'!AI52</f>
        <v>0</v>
      </c>
      <c r="AP52" s="10">
        <f>'A) Base RI'!AJ52</f>
        <v>0</v>
      </c>
      <c r="AQ52" s="10">
        <f>'A) Base RI'!AK52</f>
        <v>0</v>
      </c>
      <c r="AR52" s="10">
        <f>'A) Base RI'!AN52</f>
        <v>222</v>
      </c>
    </row>
    <row r="53" spans="1:44" x14ac:dyDescent="0.25">
      <c r="A53" s="8">
        <f>'A) Base RI'!A53</f>
        <v>5482</v>
      </c>
      <c r="B53" s="35" t="str">
        <f>'A) Base RI'!B53</f>
        <v>Eclépens</v>
      </c>
      <c r="C53" s="10">
        <f>'A) Base RI'!C53+'A) Base RI'!D53</f>
        <v>1310048.8600000001</v>
      </c>
      <c r="D53" s="10">
        <f>'A) Base RI'!AO53</f>
        <v>-30060.78</v>
      </c>
      <c r="E53" s="34">
        <f>'A) Base RI'!AP53</f>
        <v>0</v>
      </c>
      <c r="F53" s="34">
        <f>'A) Base RI'!AQ53</f>
        <v>-62.25</v>
      </c>
      <c r="G53" s="2">
        <f t="shared" si="0"/>
        <v>1279925.83</v>
      </c>
      <c r="H53" s="10">
        <f>'A) Base RI'!E53</f>
        <v>0</v>
      </c>
      <c r="I53" s="10">
        <f>'A) Base RI'!F53</f>
        <v>0</v>
      </c>
      <c r="J53" s="10">
        <f>'A) Base RI'!G53+'A) Base RI'!H53</f>
        <v>-474189.5</v>
      </c>
      <c r="K53" s="10">
        <f>'A) Base RI'!I53</f>
        <v>0</v>
      </c>
      <c r="L53" s="10">
        <f>'A) Base RI'!J53</f>
        <v>2988.91</v>
      </c>
      <c r="M53" s="10">
        <f>'A) Base RI'!K53</f>
        <v>40807</v>
      </c>
      <c r="N53" s="10">
        <f>'A) Base RI'!Q53</f>
        <v>3439.5</v>
      </c>
      <c r="O53" s="10">
        <f t="shared" si="1"/>
        <v>379460.6</v>
      </c>
      <c r="P53" s="10">
        <f>'A) Base RI'!L53</f>
        <v>379460.6</v>
      </c>
      <c r="Q53" s="37">
        <f>'A) Base RI'!AR53</f>
        <v>1</v>
      </c>
      <c r="R53" s="2">
        <f t="shared" si="2"/>
        <v>1232432.3400000001</v>
      </c>
      <c r="S53" s="36">
        <f>'A) Base RI'!AM53</f>
        <v>46</v>
      </c>
      <c r="T53" s="2">
        <f t="shared" si="3"/>
        <v>812164.74000000011</v>
      </c>
      <c r="U53" s="2">
        <f t="shared" si="4"/>
        <v>26792.007391304349</v>
      </c>
      <c r="V53" s="10">
        <f>'A) Base RI'!O53</f>
        <v>-23684.400000000001</v>
      </c>
      <c r="W53" s="10">
        <f>'A) Base RI'!P53</f>
        <v>100222.25</v>
      </c>
      <c r="X53" s="10">
        <f>'A) Base RI'!R53</f>
        <v>203293.8</v>
      </c>
      <c r="Y53" s="2">
        <f t="shared" si="5"/>
        <v>279831.65000000002</v>
      </c>
      <c r="Z53" s="10">
        <f>'A) Base RI'!N53</f>
        <v>177330.05</v>
      </c>
      <c r="AA53" s="10">
        <f>'A) Base RI'!S53+'A) Base RI'!T53</f>
        <v>0</v>
      </c>
      <c r="AB53" s="10">
        <f>+'A) Base RI'!U53</f>
        <v>8550</v>
      </c>
      <c r="AC53" s="10">
        <f>'A) Base RI'!V53</f>
        <v>0</v>
      </c>
      <c r="AD53" s="10">
        <f>+'A) Base RI'!W53</f>
        <v>0</v>
      </c>
      <c r="AE53" s="10">
        <f>'A) Base RI'!Y53</f>
        <v>287456.45</v>
      </c>
      <c r="AF53" s="10">
        <f>'A) Base RI'!Z53</f>
        <v>0</v>
      </c>
      <c r="AG53" s="10">
        <f>'A) Base RI'!AA53</f>
        <v>250839.45</v>
      </c>
      <c r="AH53" s="10">
        <f>'A) Base RI'!AB53</f>
        <v>0</v>
      </c>
      <c r="AI53" s="10">
        <f>'A) Base RI'!AC53</f>
        <v>99859.199999999997</v>
      </c>
      <c r="AJ53" s="10">
        <f>'A) Base RI'!AD53</f>
        <v>0</v>
      </c>
      <c r="AK53" s="10">
        <f>'A) Base RI'!AE53</f>
        <v>0</v>
      </c>
      <c r="AL53" s="10">
        <f>'A) Base RI'!AF53</f>
        <v>0</v>
      </c>
      <c r="AM53" s="10">
        <f>'A) Base RI'!AG53</f>
        <v>0</v>
      </c>
      <c r="AN53" s="10">
        <f>'A) Base RI'!AH53</f>
        <v>0</v>
      </c>
      <c r="AO53" s="10">
        <f>'A) Base RI'!AI53</f>
        <v>0</v>
      </c>
      <c r="AP53" s="10">
        <f>'A) Base RI'!AJ53</f>
        <v>0</v>
      </c>
      <c r="AQ53" s="10">
        <f>'A) Base RI'!AK53</f>
        <v>0</v>
      </c>
      <c r="AR53" s="10">
        <f>'A) Base RI'!AN53</f>
        <v>1043</v>
      </c>
    </row>
    <row r="54" spans="1:44" x14ac:dyDescent="0.25">
      <c r="A54" s="8">
        <f>'A) Base RI'!A54</f>
        <v>5483</v>
      </c>
      <c r="B54" s="35" t="str">
        <f>'A) Base RI'!B54</f>
        <v>Ferreyres</v>
      </c>
      <c r="C54" s="10">
        <f>'A) Base RI'!C54+'A) Base RI'!D54</f>
        <v>681779.83</v>
      </c>
      <c r="D54" s="10">
        <f>'A) Base RI'!AO54</f>
        <v>-72.400000000000006</v>
      </c>
      <c r="E54" s="34">
        <f>'A) Base RI'!AP54</f>
        <v>0</v>
      </c>
      <c r="F54" s="34">
        <f>'A) Base RI'!AQ54</f>
        <v>-423.63</v>
      </c>
      <c r="G54" s="2">
        <f t="shared" si="0"/>
        <v>681283.79999999993</v>
      </c>
      <c r="H54" s="10">
        <f>'A) Base RI'!E54</f>
        <v>0</v>
      </c>
      <c r="I54" s="10">
        <f>'A) Base RI'!F54</f>
        <v>0</v>
      </c>
      <c r="J54" s="10">
        <f>'A) Base RI'!G54+'A) Base RI'!H54</f>
        <v>9642.9500000000007</v>
      </c>
      <c r="K54" s="10">
        <f>'A) Base RI'!I54</f>
        <v>0</v>
      </c>
      <c r="L54" s="10">
        <f>'A) Base RI'!J54</f>
        <v>3726.27</v>
      </c>
      <c r="M54" s="10">
        <f>'A) Base RI'!K54</f>
        <v>175.5</v>
      </c>
      <c r="N54" s="10">
        <f>'A) Base RI'!Q54</f>
        <v>0</v>
      </c>
      <c r="O54" s="10">
        <f t="shared" si="1"/>
        <v>47984.5</v>
      </c>
      <c r="P54" s="10">
        <f>'A) Base RI'!L54</f>
        <v>47984.5</v>
      </c>
      <c r="Q54" s="37">
        <f>'A) Base RI'!AR54</f>
        <v>1</v>
      </c>
      <c r="R54" s="2">
        <f t="shared" si="2"/>
        <v>742813.0199999999</v>
      </c>
      <c r="S54" s="36">
        <f>'A) Base RI'!AM54</f>
        <v>76</v>
      </c>
      <c r="T54" s="2">
        <f t="shared" si="3"/>
        <v>694653.0199999999</v>
      </c>
      <c r="U54" s="2">
        <f t="shared" si="4"/>
        <v>9773.8555263157887</v>
      </c>
      <c r="V54" s="10">
        <f>'A) Base RI'!O54</f>
        <v>0</v>
      </c>
      <c r="W54" s="10">
        <f>'A) Base RI'!P54</f>
        <v>9735</v>
      </c>
      <c r="X54" s="10">
        <f>'A) Base RI'!R54</f>
        <v>0</v>
      </c>
      <c r="Y54" s="2">
        <f t="shared" si="5"/>
        <v>9735</v>
      </c>
      <c r="Z54" s="10">
        <f>'A) Base RI'!N54</f>
        <v>0</v>
      </c>
      <c r="AA54" s="10">
        <f>'A) Base RI'!S54+'A) Base RI'!T54</f>
        <v>0</v>
      </c>
      <c r="AB54" s="10">
        <f>+'A) Base RI'!U54</f>
        <v>1410</v>
      </c>
      <c r="AC54" s="10">
        <f>'A) Base RI'!V54</f>
        <v>0</v>
      </c>
      <c r="AD54" s="10">
        <f>+'A) Base RI'!W54</f>
        <v>0</v>
      </c>
      <c r="AE54" s="10">
        <f>'A) Base RI'!Y54</f>
        <v>0</v>
      </c>
      <c r="AF54" s="10">
        <f>'A) Base RI'!Z54</f>
        <v>0</v>
      </c>
      <c r="AG54" s="10">
        <f>'A) Base RI'!AA54</f>
        <v>47751.7</v>
      </c>
      <c r="AH54" s="10">
        <f>'A) Base RI'!AB54</f>
        <v>0</v>
      </c>
      <c r="AI54" s="10">
        <f>'A) Base RI'!AC54</f>
        <v>28040.9</v>
      </c>
      <c r="AJ54" s="10">
        <f>'A) Base RI'!AD54</f>
        <v>0</v>
      </c>
      <c r="AK54" s="10">
        <f>'A) Base RI'!AE54</f>
        <v>0</v>
      </c>
      <c r="AL54" s="10">
        <f>'A) Base RI'!AF54</f>
        <v>0</v>
      </c>
      <c r="AM54" s="10">
        <f>'A) Base RI'!AG54</f>
        <v>0</v>
      </c>
      <c r="AN54" s="10">
        <f>'A) Base RI'!AH54</f>
        <v>0</v>
      </c>
      <c r="AO54" s="10">
        <f>'A) Base RI'!AI54</f>
        <v>0</v>
      </c>
      <c r="AP54" s="10">
        <f>'A) Base RI'!AJ54</f>
        <v>0</v>
      </c>
      <c r="AQ54" s="10">
        <f>'A) Base RI'!AK54</f>
        <v>0</v>
      </c>
      <c r="AR54" s="10">
        <f>'A) Base RI'!AN54</f>
        <v>316</v>
      </c>
    </row>
    <row r="55" spans="1:44" x14ac:dyDescent="0.25">
      <c r="A55" s="8">
        <f>'A) Base RI'!A55</f>
        <v>5484</v>
      </c>
      <c r="B55" s="35" t="str">
        <f>'A) Base RI'!B55</f>
        <v>Gollion</v>
      </c>
      <c r="C55" s="10">
        <f>'A) Base RI'!C55+'A) Base RI'!D55</f>
        <v>1794896.57</v>
      </c>
      <c r="D55" s="10">
        <f>'A) Base RI'!AO55</f>
        <v>-23421.48</v>
      </c>
      <c r="E55" s="34">
        <f>'A) Base RI'!AP55</f>
        <v>0</v>
      </c>
      <c r="F55" s="34">
        <f>'A) Base RI'!AQ55</f>
        <v>-14.14</v>
      </c>
      <c r="G55" s="2">
        <f t="shared" si="0"/>
        <v>1771460.9500000002</v>
      </c>
      <c r="H55" s="10">
        <f>'A) Base RI'!E55</f>
        <v>0</v>
      </c>
      <c r="I55" s="10">
        <f>'A) Base RI'!F55</f>
        <v>0</v>
      </c>
      <c r="J55" s="10">
        <f>'A) Base RI'!G55+'A) Base RI'!H55</f>
        <v>174298.85</v>
      </c>
      <c r="K55" s="10">
        <f>'A) Base RI'!I55</f>
        <v>0</v>
      </c>
      <c r="L55" s="10">
        <f>'A) Base RI'!J55</f>
        <v>57192.78</v>
      </c>
      <c r="M55" s="10">
        <f>'A) Base RI'!K55</f>
        <v>4515.5</v>
      </c>
      <c r="N55" s="10">
        <f>'A) Base RI'!Q55</f>
        <v>0</v>
      </c>
      <c r="O55" s="10">
        <f t="shared" si="1"/>
        <v>143247.29999999999</v>
      </c>
      <c r="P55" s="10">
        <f>'A) Base RI'!L55</f>
        <v>143247.29999999999</v>
      </c>
      <c r="Q55" s="37">
        <f>'A) Base RI'!AR55</f>
        <v>1</v>
      </c>
      <c r="R55" s="2">
        <f t="shared" si="2"/>
        <v>2150715.3800000004</v>
      </c>
      <c r="S55" s="36">
        <f>'A) Base RI'!AM55</f>
        <v>74</v>
      </c>
      <c r="T55" s="2">
        <f t="shared" si="3"/>
        <v>2002952.5800000003</v>
      </c>
      <c r="U55" s="2">
        <f t="shared" si="4"/>
        <v>29063.721351351356</v>
      </c>
      <c r="V55" s="10">
        <f>'A) Base RI'!O55</f>
        <v>19542.599999999999</v>
      </c>
      <c r="W55" s="10">
        <f>'A) Base RI'!P55</f>
        <v>170295.15</v>
      </c>
      <c r="X55" s="10">
        <f>'A) Base RI'!R55</f>
        <v>13454.65</v>
      </c>
      <c r="Y55" s="2">
        <f t="shared" si="5"/>
        <v>203292.4</v>
      </c>
      <c r="Z55" s="10">
        <f>'A) Base RI'!N55</f>
        <v>29146.95</v>
      </c>
      <c r="AA55" s="10">
        <f>'A) Base RI'!S55+'A) Base RI'!T55</f>
        <v>0</v>
      </c>
      <c r="AB55" s="10">
        <f>+'A) Base RI'!U55</f>
        <v>4110</v>
      </c>
      <c r="AC55" s="10">
        <f>'A) Base RI'!V55</f>
        <v>0</v>
      </c>
      <c r="AD55" s="10">
        <f>+'A) Base RI'!W55</f>
        <v>0</v>
      </c>
      <c r="AE55" s="10">
        <f>'A) Base RI'!Y55</f>
        <v>0</v>
      </c>
      <c r="AF55" s="10">
        <f>'A) Base RI'!Z55</f>
        <v>24750</v>
      </c>
      <c r="AG55" s="10">
        <f>'A) Base RI'!AA55</f>
        <v>120626.55</v>
      </c>
      <c r="AH55" s="10">
        <f>'A) Base RI'!AB55</f>
        <v>0</v>
      </c>
      <c r="AI55" s="10">
        <f>'A) Base RI'!AC55</f>
        <v>100267.35</v>
      </c>
      <c r="AJ55" s="10">
        <f>'A) Base RI'!AD55</f>
        <v>17325</v>
      </c>
      <c r="AK55" s="10">
        <f>'A) Base RI'!AE55</f>
        <v>0</v>
      </c>
      <c r="AL55" s="10">
        <f>'A) Base RI'!AF55</f>
        <v>0</v>
      </c>
      <c r="AM55" s="10">
        <f>'A) Base RI'!AG55</f>
        <v>0</v>
      </c>
      <c r="AN55" s="10">
        <f>'A) Base RI'!AH55</f>
        <v>0</v>
      </c>
      <c r="AO55" s="10">
        <f>'A) Base RI'!AI55</f>
        <v>0</v>
      </c>
      <c r="AP55" s="10">
        <f>'A) Base RI'!AJ55</f>
        <v>0</v>
      </c>
      <c r="AQ55" s="10">
        <f>'A) Base RI'!AK55</f>
        <v>0</v>
      </c>
      <c r="AR55" s="10">
        <f>'A) Base RI'!AN55</f>
        <v>902</v>
      </c>
    </row>
    <row r="56" spans="1:44" x14ac:dyDescent="0.25">
      <c r="A56" s="8">
        <f>'A) Base RI'!A56</f>
        <v>5485</v>
      </c>
      <c r="B56" s="35" t="str">
        <f>'A) Base RI'!B56</f>
        <v>Grancy</v>
      </c>
      <c r="C56" s="10">
        <f>'A) Base RI'!C56+'A) Base RI'!D56</f>
        <v>971548.30999999994</v>
      </c>
      <c r="D56" s="10">
        <f>'A) Base RI'!AO56</f>
        <v>-15477.86</v>
      </c>
      <c r="E56" s="34">
        <f>'A) Base RI'!AP56</f>
        <v>0</v>
      </c>
      <c r="F56" s="34">
        <f>'A) Base RI'!AQ56</f>
        <v>-73.52</v>
      </c>
      <c r="G56" s="2">
        <f t="shared" si="0"/>
        <v>955996.92999999993</v>
      </c>
      <c r="H56" s="10">
        <f>'A) Base RI'!E56</f>
        <v>0</v>
      </c>
      <c r="I56" s="10">
        <f>'A) Base RI'!F56</f>
        <v>0</v>
      </c>
      <c r="J56" s="10">
        <f>'A) Base RI'!G56+'A) Base RI'!H56</f>
        <v>18836.099999999999</v>
      </c>
      <c r="K56" s="10">
        <f>'A) Base RI'!I56</f>
        <v>0</v>
      </c>
      <c r="L56" s="10">
        <f>'A) Base RI'!J56</f>
        <v>13608.28</v>
      </c>
      <c r="M56" s="10">
        <f>'A) Base RI'!K56</f>
        <v>0</v>
      </c>
      <c r="N56" s="10">
        <f>'A) Base RI'!Q56</f>
        <v>0</v>
      </c>
      <c r="O56" s="10">
        <f t="shared" si="1"/>
        <v>66735.05</v>
      </c>
      <c r="P56" s="10">
        <f>'A) Base RI'!L56</f>
        <v>66735.05</v>
      </c>
      <c r="Q56" s="37">
        <f>'A) Base RI'!AR56</f>
        <v>1</v>
      </c>
      <c r="R56" s="2">
        <f t="shared" si="2"/>
        <v>1055176.3599999999</v>
      </c>
      <c r="S56" s="36">
        <f>'A) Base RI'!AM56</f>
        <v>70</v>
      </c>
      <c r="T56" s="2">
        <f t="shared" si="3"/>
        <v>988441.30999999994</v>
      </c>
      <c r="U56" s="2">
        <f t="shared" si="4"/>
        <v>15073.947999999999</v>
      </c>
      <c r="V56" s="10">
        <f>'A) Base RI'!O56</f>
        <v>27651.4</v>
      </c>
      <c r="W56" s="10">
        <f>'A) Base RI'!P56</f>
        <v>25932.5</v>
      </c>
      <c r="X56" s="10">
        <f>'A) Base RI'!R56</f>
        <v>5992.5</v>
      </c>
      <c r="Y56" s="2">
        <f t="shared" si="5"/>
        <v>59576.4</v>
      </c>
      <c r="Z56" s="10">
        <f>'A) Base RI'!N56</f>
        <v>7760.75</v>
      </c>
      <c r="AA56" s="10">
        <f>'A) Base RI'!S56+'A) Base RI'!T56</f>
        <v>0</v>
      </c>
      <c r="AB56" s="10">
        <f>+'A) Base RI'!U56</f>
        <v>1080</v>
      </c>
      <c r="AC56" s="10">
        <f>'A) Base RI'!V56</f>
        <v>0</v>
      </c>
      <c r="AD56" s="10">
        <f>+'A) Base RI'!W56</f>
        <v>0</v>
      </c>
      <c r="AE56" s="10">
        <f>'A) Base RI'!Y56</f>
        <v>5130</v>
      </c>
      <c r="AF56" s="10">
        <f>'A) Base RI'!Z56</f>
        <v>0</v>
      </c>
      <c r="AG56" s="10">
        <f>'A) Base RI'!AA56</f>
        <v>73393</v>
      </c>
      <c r="AH56" s="10">
        <f>'A) Base RI'!AB56</f>
        <v>0</v>
      </c>
      <c r="AI56" s="10">
        <f>'A) Base RI'!AC56</f>
        <v>27628</v>
      </c>
      <c r="AJ56" s="10">
        <f>'A) Base RI'!AD56</f>
        <v>10778</v>
      </c>
      <c r="AK56" s="10">
        <f>'A) Base RI'!AE56</f>
        <v>0</v>
      </c>
      <c r="AL56" s="10">
        <f>'A) Base RI'!AF56</f>
        <v>0</v>
      </c>
      <c r="AM56" s="10">
        <f>'A) Base RI'!AG56</f>
        <v>0</v>
      </c>
      <c r="AN56" s="10">
        <f>'A) Base RI'!AH56</f>
        <v>0</v>
      </c>
      <c r="AO56" s="10">
        <f>'A) Base RI'!AI56</f>
        <v>0</v>
      </c>
      <c r="AP56" s="10">
        <f>'A) Base RI'!AJ56</f>
        <v>0</v>
      </c>
      <c r="AQ56" s="10">
        <f>'A) Base RI'!AK56</f>
        <v>0</v>
      </c>
      <c r="AR56" s="10">
        <f>'A) Base RI'!AN56</f>
        <v>408</v>
      </c>
    </row>
    <row r="57" spans="1:44" x14ac:dyDescent="0.25">
      <c r="A57" s="8">
        <f>'A) Base RI'!A57</f>
        <v>5486</v>
      </c>
      <c r="B57" s="35" t="str">
        <f>'A) Base RI'!B57</f>
        <v>L'Isle</v>
      </c>
      <c r="C57" s="10">
        <f>'A) Base RI'!C57+'A) Base RI'!D57</f>
        <v>1947730.63</v>
      </c>
      <c r="D57" s="10">
        <f>'A) Base RI'!AO57</f>
        <v>-8831.39</v>
      </c>
      <c r="E57" s="34">
        <f>'A) Base RI'!AP57</f>
        <v>0</v>
      </c>
      <c r="F57" s="34">
        <f>'A) Base RI'!AQ57</f>
        <v>0</v>
      </c>
      <c r="G57" s="2">
        <f t="shared" si="0"/>
        <v>1938899.24</v>
      </c>
      <c r="H57" s="10">
        <f>'A) Base RI'!E57</f>
        <v>0</v>
      </c>
      <c r="I57" s="10">
        <f>'A) Base RI'!F57</f>
        <v>0</v>
      </c>
      <c r="J57" s="10">
        <f>'A) Base RI'!G57+'A) Base RI'!H57</f>
        <v>80286.850000000006</v>
      </c>
      <c r="K57" s="10">
        <f>'A) Base RI'!I57</f>
        <v>45945.25</v>
      </c>
      <c r="L57" s="10">
        <f>'A) Base RI'!J57</f>
        <v>24647.11</v>
      </c>
      <c r="M57" s="10">
        <f>'A) Base RI'!K57</f>
        <v>6432</v>
      </c>
      <c r="N57" s="10">
        <f>'A) Base RI'!Q57</f>
        <v>98.44</v>
      </c>
      <c r="O57" s="10">
        <f t="shared" si="1"/>
        <v>171119.65</v>
      </c>
      <c r="P57" s="10">
        <f>'A) Base RI'!L57</f>
        <v>171119.65</v>
      </c>
      <c r="Q57" s="37">
        <f>'A) Base RI'!AR57</f>
        <v>1</v>
      </c>
      <c r="R57" s="2">
        <f t="shared" si="2"/>
        <v>2267428.54</v>
      </c>
      <c r="S57" s="36">
        <f>'A) Base RI'!AM57</f>
        <v>76</v>
      </c>
      <c r="T57" s="2">
        <f t="shared" si="3"/>
        <v>2089876.8900000001</v>
      </c>
      <c r="U57" s="2">
        <f t="shared" si="4"/>
        <v>29834.586052631581</v>
      </c>
      <c r="V57" s="10">
        <f>'A) Base RI'!O57</f>
        <v>9701.4</v>
      </c>
      <c r="W57" s="10">
        <f>'A) Base RI'!P57</f>
        <v>105777.45</v>
      </c>
      <c r="X57" s="10">
        <f>'A) Base RI'!R57</f>
        <v>47490.9</v>
      </c>
      <c r="Y57" s="2">
        <f t="shared" si="5"/>
        <v>162969.75</v>
      </c>
      <c r="Z57" s="10">
        <f>'A) Base RI'!N57</f>
        <v>121802.3</v>
      </c>
      <c r="AA57" s="10">
        <f>'A) Base RI'!S57+'A) Base RI'!T57</f>
        <v>900</v>
      </c>
      <c r="AB57" s="10">
        <f>+'A) Base RI'!U57</f>
        <v>9850</v>
      </c>
      <c r="AC57" s="10">
        <f>'A) Base RI'!V57</f>
        <v>0</v>
      </c>
      <c r="AD57" s="10">
        <f>+'A) Base RI'!W57</f>
        <v>0</v>
      </c>
      <c r="AE57" s="10">
        <f>'A) Base RI'!Y57</f>
        <v>0</v>
      </c>
      <c r="AF57" s="10">
        <f>'A) Base RI'!Z57</f>
        <v>18693.55</v>
      </c>
      <c r="AG57" s="10">
        <f>'A) Base RI'!AA57</f>
        <v>257024</v>
      </c>
      <c r="AH57" s="10">
        <f>'A) Base RI'!AB57</f>
        <v>0</v>
      </c>
      <c r="AI57" s="10">
        <f>'A) Base RI'!AC57</f>
        <v>90726.55</v>
      </c>
      <c r="AJ57" s="10">
        <f>'A) Base RI'!AD57</f>
        <v>0</v>
      </c>
      <c r="AK57" s="10">
        <f>'A) Base RI'!AE57</f>
        <v>17630.349999999999</v>
      </c>
      <c r="AL57" s="10">
        <f>'A) Base RI'!AF57</f>
        <v>0</v>
      </c>
      <c r="AM57" s="10">
        <f>'A) Base RI'!AG57</f>
        <v>0</v>
      </c>
      <c r="AN57" s="10">
        <f>'A) Base RI'!AH57</f>
        <v>37023.9</v>
      </c>
      <c r="AO57" s="10">
        <f>'A) Base RI'!AI57</f>
        <v>0</v>
      </c>
      <c r="AP57" s="10">
        <f>'A) Base RI'!AJ57</f>
        <v>0</v>
      </c>
      <c r="AQ57" s="10">
        <f>'A) Base RI'!AK57</f>
        <v>0</v>
      </c>
      <c r="AR57" s="10">
        <f>'A) Base RI'!AN57</f>
        <v>1033</v>
      </c>
    </row>
    <row r="58" spans="1:44" x14ac:dyDescent="0.25">
      <c r="A58" s="8">
        <f>'A) Base RI'!A58</f>
        <v>5487</v>
      </c>
      <c r="B58" s="35" t="str">
        <f>'A) Base RI'!B58</f>
        <v>Lussery-Villars</v>
      </c>
      <c r="C58" s="10">
        <f>'A) Base RI'!C58+'A) Base RI'!D58</f>
        <v>777409.75</v>
      </c>
      <c r="D58" s="10">
        <f>'A) Base RI'!AO58</f>
        <v>-12172.16</v>
      </c>
      <c r="E58" s="34">
        <f>'A) Base RI'!AP58</f>
        <v>0</v>
      </c>
      <c r="F58" s="34">
        <f>'A) Base RI'!AQ58</f>
        <v>-7.64</v>
      </c>
      <c r="G58" s="2">
        <f t="shared" si="0"/>
        <v>765229.95</v>
      </c>
      <c r="H58" s="10">
        <f>'A) Base RI'!E58</f>
        <v>0</v>
      </c>
      <c r="I58" s="10">
        <f>'A) Base RI'!F58</f>
        <v>0</v>
      </c>
      <c r="J58" s="10">
        <f>'A) Base RI'!G58+'A) Base RI'!H58</f>
        <v>15796.7</v>
      </c>
      <c r="K58" s="10">
        <f>'A) Base RI'!I58</f>
        <v>0</v>
      </c>
      <c r="L58" s="10">
        <f>'A) Base RI'!J58</f>
        <v>30480.59</v>
      </c>
      <c r="M58" s="10">
        <f>'A) Base RI'!K58</f>
        <v>1085.5</v>
      </c>
      <c r="N58" s="10">
        <f>'A) Base RI'!Q58</f>
        <v>12725.49</v>
      </c>
      <c r="O58" s="10">
        <f t="shared" si="1"/>
        <v>68460.100000000006</v>
      </c>
      <c r="P58" s="10">
        <f>'A) Base RI'!L58</f>
        <v>68460.100000000006</v>
      </c>
      <c r="Q58" s="37">
        <f>'A) Base RI'!AR58</f>
        <v>1</v>
      </c>
      <c r="R58" s="2">
        <f t="shared" si="2"/>
        <v>893778.32999999984</v>
      </c>
      <c r="S58" s="36">
        <f>'A) Base RI'!AM58</f>
        <v>68</v>
      </c>
      <c r="T58" s="2">
        <f t="shared" si="3"/>
        <v>824232.72999999986</v>
      </c>
      <c r="U58" s="2">
        <f t="shared" si="4"/>
        <v>13143.798970588234</v>
      </c>
      <c r="V58" s="10">
        <f>'A) Base RI'!O58</f>
        <v>0</v>
      </c>
      <c r="W58" s="10">
        <f>'A) Base RI'!P58</f>
        <v>23207.5</v>
      </c>
      <c r="X58" s="10">
        <f>'A) Base RI'!R58</f>
        <v>15248.35</v>
      </c>
      <c r="Y58" s="2">
        <f t="shared" si="5"/>
        <v>38455.85</v>
      </c>
      <c r="Z58" s="10">
        <f>'A) Base RI'!N58</f>
        <v>3281.85</v>
      </c>
      <c r="AA58" s="10">
        <f>'A) Base RI'!S58+'A) Base RI'!T58</f>
        <v>75</v>
      </c>
      <c r="AB58" s="10">
        <f>+'A) Base RI'!U58</f>
        <v>2040</v>
      </c>
      <c r="AC58" s="10">
        <f>'A) Base RI'!V58</f>
        <v>0</v>
      </c>
      <c r="AD58" s="10">
        <f>+'A) Base RI'!W58</f>
        <v>0</v>
      </c>
      <c r="AE58" s="10">
        <f>'A) Base RI'!Y58</f>
        <v>750</v>
      </c>
      <c r="AF58" s="10">
        <f>'A) Base RI'!Z58</f>
        <v>0</v>
      </c>
      <c r="AG58" s="10">
        <f>'A) Base RI'!AA58</f>
        <v>38770.699999999997</v>
      </c>
      <c r="AH58" s="10">
        <f>'A) Base RI'!AB58</f>
        <v>0</v>
      </c>
      <c r="AI58" s="10">
        <f>'A) Base RI'!AC58</f>
        <v>37450</v>
      </c>
      <c r="AJ58" s="10">
        <f>'A) Base RI'!AD58</f>
        <v>2781</v>
      </c>
      <c r="AK58" s="10">
        <f>'A) Base RI'!AE58</f>
        <v>0</v>
      </c>
      <c r="AL58" s="10">
        <f>'A) Base RI'!AF58</f>
        <v>0</v>
      </c>
      <c r="AM58" s="10">
        <f>'A) Base RI'!AG58</f>
        <v>104</v>
      </c>
      <c r="AN58" s="10">
        <f>'A) Base RI'!AH58</f>
        <v>7508.55</v>
      </c>
      <c r="AO58" s="10">
        <f>'A) Base RI'!AI58</f>
        <v>0</v>
      </c>
      <c r="AP58" s="10">
        <f>'A) Base RI'!AJ58</f>
        <v>0</v>
      </c>
      <c r="AQ58" s="10">
        <f>'A) Base RI'!AK58</f>
        <v>0</v>
      </c>
      <c r="AR58" s="10">
        <f>'A) Base RI'!AN58</f>
        <v>462</v>
      </c>
    </row>
    <row r="59" spans="1:44" x14ac:dyDescent="0.25">
      <c r="A59" s="8">
        <f>'A) Base RI'!A59</f>
        <v>5488</v>
      </c>
      <c r="B59" s="35" t="str">
        <f>'A) Base RI'!B59</f>
        <v>Mauraz</v>
      </c>
      <c r="C59" s="10">
        <f>'A) Base RI'!C59+'A) Base RI'!D59</f>
        <v>117750.61000000002</v>
      </c>
      <c r="D59" s="10">
        <f>'A) Base RI'!AO59</f>
        <v>-6553.04</v>
      </c>
      <c r="E59" s="34">
        <f>'A) Base RI'!AP59</f>
        <v>0</v>
      </c>
      <c r="F59" s="34">
        <f>'A) Base RI'!AQ59</f>
        <v>0</v>
      </c>
      <c r="G59" s="2">
        <f t="shared" si="0"/>
        <v>111197.57000000002</v>
      </c>
      <c r="H59" s="10">
        <f>'A) Base RI'!E59</f>
        <v>0</v>
      </c>
      <c r="I59" s="10">
        <f>'A) Base RI'!F59</f>
        <v>0</v>
      </c>
      <c r="J59" s="10">
        <f>'A) Base RI'!G59+'A) Base RI'!H59</f>
        <v>-909.19999999999993</v>
      </c>
      <c r="K59" s="10">
        <f>'A) Base RI'!I59</f>
        <v>0</v>
      </c>
      <c r="L59" s="10">
        <f>'A) Base RI'!J59</f>
        <v>0</v>
      </c>
      <c r="M59" s="10">
        <f>'A) Base RI'!K59</f>
        <v>0</v>
      </c>
      <c r="N59" s="10">
        <f>'A) Base RI'!Q59</f>
        <v>0</v>
      </c>
      <c r="O59" s="10">
        <f t="shared" si="1"/>
        <v>8474</v>
      </c>
      <c r="P59" s="10">
        <f>'A) Base RI'!L59</f>
        <v>8474</v>
      </c>
      <c r="Q59" s="37">
        <f>'A) Base RI'!AR59</f>
        <v>1</v>
      </c>
      <c r="R59" s="2">
        <f t="shared" si="2"/>
        <v>118762.37000000002</v>
      </c>
      <c r="S59" s="36">
        <f>'A) Base RI'!AM59</f>
        <v>74</v>
      </c>
      <c r="T59" s="2">
        <f t="shared" si="3"/>
        <v>110288.37000000002</v>
      </c>
      <c r="U59" s="2">
        <f t="shared" si="4"/>
        <v>1604.8968918918922</v>
      </c>
      <c r="V59" s="10">
        <f>'A) Base RI'!O59</f>
        <v>0</v>
      </c>
      <c r="W59" s="10">
        <f>'A) Base RI'!P59</f>
        <v>0</v>
      </c>
      <c r="X59" s="10">
        <f>'A) Base RI'!R59</f>
        <v>0</v>
      </c>
      <c r="Y59" s="2">
        <f t="shared" si="5"/>
        <v>0</v>
      </c>
      <c r="Z59" s="10">
        <f>'A) Base RI'!N59</f>
        <v>0</v>
      </c>
      <c r="AA59" s="10">
        <f>'A) Base RI'!S59+'A) Base RI'!T59</f>
        <v>0</v>
      </c>
      <c r="AB59" s="10">
        <f>+'A) Base RI'!U59</f>
        <v>160</v>
      </c>
      <c r="AC59" s="10">
        <f>'A) Base RI'!V59</f>
        <v>0</v>
      </c>
      <c r="AD59" s="10">
        <f>+'A) Base RI'!W59</f>
        <v>0</v>
      </c>
      <c r="AE59" s="10">
        <f>'A) Base RI'!Y59</f>
        <v>0</v>
      </c>
      <c r="AF59" s="10">
        <f>'A) Base RI'!Z59</f>
        <v>0</v>
      </c>
      <c r="AG59" s="10">
        <f>'A) Base RI'!AA59</f>
        <v>6570.9</v>
      </c>
      <c r="AH59" s="10">
        <f>'A) Base RI'!AB59</f>
        <v>0</v>
      </c>
      <c r="AI59" s="10">
        <f>'A) Base RI'!AC59</f>
        <v>5241.6000000000004</v>
      </c>
      <c r="AJ59" s="10">
        <f>'A) Base RI'!AD59</f>
        <v>0</v>
      </c>
      <c r="AK59" s="10">
        <f>'A) Base RI'!AE59</f>
        <v>0</v>
      </c>
      <c r="AL59" s="10">
        <f>'A) Base RI'!AF59</f>
        <v>0</v>
      </c>
      <c r="AM59" s="10">
        <f>'A) Base RI'!AG59</f>
        <v>0</v>
      </c>
      <c r="AN59" s="10">
        <f>'A) Base RI'!AH59</f>
        <v>1161</v>
      </c>
      <c r="AO59" s="10">
        <f>'A) Base RI'!AI59</f>
        <v>0</v>
      </c>
      <c r="AP59" s="10">
        <f>'A) Base RI'!AJ59</f>
        <v>0</v>
      </c>
      <c r="AQ59" s="10">
        <f>'A) Base RI'!AK59</f>
        <v>0</v>
      </c>
      <c r="AR59" s="10">
        <f>'A) Base RI'!AN59</f>
        <v>53</v>
      </c>
    </row>
    <row r="60" spans="1:44" x14ac:dyDescent="0.25">
      <c r="A60" s="8">
        <f>'A) Base RI'!A60</f>
        <v>5489</v>
      </c>
      <c r="B60" s="35" t="str">
        <f>'A) Base RI'!B60</f>
        <v>Mex</v>
      </c>
      <c r="C60" s="10">
        <f>'A) Base RI'!C60+'A) Base RI'!D60</f>
        <v>2408235.48</v>
      </c>
      <c r="D60" s="10">
        <f>'A) Base RI'!AO60</f>
        <v>-27562.59</v>
      </c>
      <c r="E60" s="34">
        <f>'A) Base RI'!AP60</f>
        <v>0</v>
      </c>
      <c r="F60" s="34">
        <f>'A) Base RI'!AQ60</f>
        <v>-111.14</v>
      </c>
      <c r="G60" s="2">
        <f t="shared" si="0"/>
        <v>2380561.75</v>
      </c>
      <c r="H60" s="10">
        <f>'A) Base RI'!E60</f>
        <v>0</v>
      </c>
      <c r="I60" s="10">
        <f>'A) Base RI'!F60</f>
        <v>0</v>
      </c>
      <c r="J60" s="10">
        <f>'A) Base RI'!G60+'A) Base RI'!H60</f>
        <v>131730.4</v>
      </c>
      <c r="K60" s="10">
        <f>'A) Base RI'!I60</f>
        <v>0</v>
      </c>
      <c r="L60" s="10">
        <f>'A) Base RI'!J60</f>
        <v>56247.63</v>
      </c>
      <c r="M60" s="10">
        <f>'A) Base RI'!K60</f>
        <v>4261</v>
      </c>
      <c r="N60" s="10">
        <f>'A) Base RI'!Q60</f>
        <v>23303.22</v>
      </c>
      <c r="O60" s="10">
        <f t="shared" si="1"/>
        <v>264916.2</v>
      </c>
      <c r="P60" s="10">
        <f>'A) Base RI'!L60</f>
        <v>264916.2</v>
      </c>
      <c r="Q60" s="37">
        <f>'A) Base RI'!AR60</f>
        <v>1</v>
      </c>
      <c r="R60" s="2">
        <f t="shared" si="2"/>
        <v>2861020.2</v>
      </c>
      <c r="S60" s="36">
        <f>'A) Base RI'!AM60</f>
        <v>61</v>
      </c>
      <c r="T60" s="2">
        <f t="shared" si="3"/>
        <v>2591843</v>
      </c>
      <c r="U60" s="2">
        <f t="shared" si="4"/>
        <v>46901.97049180328</v>
      </c>
      <c r="V60" s="10">
        <f>'A) Base RI'!O60</f>
        <v>5029</v>
      </c>
      <c r="W60" s="10">
        <f>'A) Base RI'!P60</f>
        <v>83567.199999999997</v>
      </c>
      <c r="X60" s="10">
        <f>'A) Base RI'!R60</f>
        <v>36064.25</v>
      </c>
      <c r="Y60" s="2">
        <f t="shared" si="5"/>
        <v>124660.45</v>
      </c>
      <c r="Z60" s="10">
        <f>'A) Base RI'!N60</f>
        <v>206830.25</v>
      </c>
      <c r="AA60" s="10">
        <f>'A) Base RI'!S60+'A) Base RI'!T60</f>
        <v>0</v>
      </c>
      <c r="AB60" s="10">
        <f>+'A) Base RI'!U60</f>
        <v>3420</v>
      </c>
      <c r="AC60" s="10">
        <f>'A) Base RI'!V60</f>
        <v>0</v>
      </c>
      <c r="AD60" s="10">
        <f>+'A) Base RI'!W60</f>
        <v>0</v>
      </c>
      <c r="AE60" s="10">
        <f>'A) Base RI'!Y60</f>
        <v>18194.900000000001</v>
      </c>
      <c r="AF60" s="10">
        <f>'A) Base RI'!Z60</f>
        <v>0</v>
      </c>
      <c r="AG60" s="10">
        <f>'A) Base RI'!AA60</f>
        <v>127234.85</v>
      </c>
      <c r="AH60" s="10">
        <f>'A) Base RI'!AB60</f>
        <v>0</v>
      </c>
      <c r="AI60" s="10">
        <f>'A) Base RI'!AC60</f>
        <v>84554.7</v>
      </c>
      <c r="AJ60" s="10">
        <f>'A) Base RI'!AD60</f>
        <v>103884.15</v>
      </c>
      <c r="AK60" s="10">
        <f>'A) Base RI'!AE60</f>
        <v>0</v>
      </c>
      <c r="AL60" s="10">
        <f>'A) Base RI'!AF60</f>
        <v>0</v>
      </c>
      <c r="AM60" s="10">
        <f>'A) Base RI'!AG60</f>
        <v>0</v>
      </c>
      <c r="AN60" s="10">
        <f>'A) Base RI'!AH60</f>
        <v>0</v>
      </c>
      <c r="AO60" s="10">
        <f>'A) Base RI'!AI60</f>
        <v>0</v>
      </c>
      <c r="AP60" s="10">
        <f>'A) Base RI'!AJ60</f>
        <v>0</v>
      </c>
      <c r="AQ60" s="10">
        <f>'A) Base RI'!AK60</f>
        <v>0</v>
      </c>
      <c r="AR60" s="10">
        <f>'A) Base RI'!AN60</f>
        <v>710</v>
      </c>
    </row>
    <row r="61" spans="1:44" x14ac:dyDescent="0.25">
      <c r="A61" s="8">
        <f>'A) Base RI'!A61</f>
        <v>5490</v>
      </c>
      <c r="B61" s="35" t="str">
        <f>'A) Base RI'!B61</f>
        <v>Moiry</v>
      </c>
      <c r="C61" s="10">
        <f>'A) Base RI'!C61+'A) Base RI'!D61</f>
        <v>557867.05000000005</v>
      </c>
      <c r="D61" s="10">
        <f>'A) Base RI'!AO61</f>
        <v>-5895.97</v>
      </c>
      <c r="E61" s="34">
        <f>'A) Base RI'!AP61</f>
        <v>0</v>
      </c>
      <c r="F61" s="34">
        <f>'A) Base RI'!AQ61</f>
        <v>-201.16</v>
      </c>
      <c r="G61" s="2">
        <f t="shared" si="0"/>
        <v>551769.92000000004</v>
      </c>
      <c r="H61" s="10">
        <f>'A) Base RI'!E61</f>
        <v>0</v>
      </c>
      <c r="I61" s="10">
        <f>'A) Base RI'!F61</f>
        <v>0</v>
      </c>
      <c r="J61" s="10">
        <f>'A) Base RI'!G61+'A) Base RI'!H61</f>
        <v>11329.9</v>
      </c>
      <c r="K61" s="10">
        <f>'A) Base RI'!I61</f>
        <v>0</v>
      </c>
      <c r="L61" s="10">
        <f>'A) Base RI'!J61</f>
        <v>1952.59</v>
      </c>
      <c r="M61" s="10">
        <f>'A) Base RI'!K61</f>
        <v>0</v>
      </c>
      <c r="N61" s="10">
        <f>'A) Base RI'!Q61</f>
        <v>0</v>
      </c>
      <c r="O61" s="10">
        <f t="shared" si="1"/>
        <v>38067.699999999997</v>
      </c>
      <c r="P61" s="10">
        <f>'A) Base RI'!L61</f>
        <v>38067.699999999997</v>
      </c>
      <c r="Q61" s="37">
        <f>'A) Base RI'!AR61</f>
        <v>1</v>
      </c>
      <c r="R61" s="2">
        <f t="shared" si="2"/>
        <v>603120.11</v>
      </c>
      <c r="S61" s="36">
        <f>'A) Base RI'!AM61</f>
        <v>81</v>
      </c>
      <c r="T61" s="2">
        <f t="shared" si="3"/>
        <v>565052.41</v>
      </c>
      <c r="U61" s="2">
        <f t="shared" si="4"/>
        <v>7445.9272839506175</v>
      </c>
      <c r="V61" s="10">
        <f>'A) Base RI'!O61</f>
        <v>0</v>
      </c>
      <c r="W61" s="10">
        <f>'A) Base RI'!P61</f>
        <v>13533.55</v>
      </c>
      <c r="X61" s="10">
        <f>'A) Base RI'!R61</f>
        <v>19728.05</v>
      </c>
      <c r="Y61" s="2">
        <f t="shared" si="5"/>
        <v>33261.599999999999</v>
      </c>
      <c r="Z61" s="10">
        <f>'A) Base RI'!N61</f>
        <v>0</v>
      </c>
      <c r="AA61" s="10">
        <f>'A) Base RI'!S61+'A) Base RI'!T61</f>
        <v>0</v>
      </c>
      <c r="AB61" s="10">
        <f>+'A) Base RI'!U61</f>
        <v>1140</v>
      </c>
      <c r="AC61" s="10">
        <f>'A) Base RI'!V61</f>
        <v>0</v>
      </c>
      <c r="AD61" s="10">
        <f>+'A) Base RI'!W61</f>
        <v>0</v>
      </c>
      <c r="AE61" s="10">
        <f>'A) Base RI'!Y61</f>
        <v>21510.33</v>
      </c>
      <c r="AF61" s="10">
        <f>'A) Base RI'!Z61</f>
        <v>0</v>
      </c>
      <c r="AG61" s="10">
        <f>'A) Base RI'!AA61</f>
        <v>10059.950000000001</v>
      </c>
      <c r="AH61" s="10">
        <f>'A) Base RI'!AB61</f>
        <v>0</v>
      </c>
      <c r="AI61" s="10">
        <f>'A) Base RI'!AC61</f>
        <v>26839.1</v>
      </c>
      <c r="AJ61" s="10">
        <f>'A) Base RI'!AD61</f>
        <v>3600</v>
      </c>
      <c r="AK61" s="10">
        <f>'A) Base RI'!AE61</f>
        <v>0</v>
      </c>
      <c r="AL61" s="10">
        <f>'A) Base RI'!AF61</f>
        <v>0</v>
      </c>
      <c r="AM61" s="10">
        <f>'A) Base RI'!AG61</f>
        <v>0</v>
      </c>
      <c r="AN61" s="10">
        <f>'A) Base RI'!AH61</f>
        <v>5924.5</v>
      </c>
      <c r="AO61" s="10">
        <f>'A) Base RI'!AI61</f>
        <v>0</v>
      </c>
      <c r="AP61" s="10">
        <f>'A) Base RI'!AJ61</f>
        <v>0</v>
      </c>
      <c r="AQ61" s="10">
        <f>'A) Base RI'!AK61</f>
        <v>0</v>
      </c>
      <c r="AR61" s="10">
        <f>'A) Base RI'!AN61</f>
        <v>304</v>
      </c>
    </row>
    <row r="62" spans="1:44" x14ac:dyDescent="0.25">
      <c r="A62" s="8">
        <f>'A) Base RI'!A62</f>
        <v>5491</v>
      </c>
      <c r="B62" s="35" t="str">
        <f>'A) Base RI'!B62</f>
        <v>Mont-la-Ville</v>
      </c>
      <c r="C62" s="10">
        <f>'A) Base RI'!C62+'A) Base RI'!D62</f>
        <v>603583.66999999993</v>
      </c>
      <c r="D62" s="10">
        <f>'A) Base RI'!AO62</f>
        <v>-13431.11</v>
      </c>
      <c r="E62" s="34">
        <f>'A) Base RI'!AP62</f>
        <v>0</v>
      </c>
      <c r="F62" s="34">
        <f>'A) Base RI'!AQ62</f>
        <v>0</v>
      </c>
      <c r="G62" s="2">
        <f t="shared" si="0"/>
        <v>590152.55999999994</v>
      </c>
      <c r="H62" s="10">
        <f>'A) Base RI'!E62</f>
        <v>0</v>
      </c>
      <c r="I62" s="10">
        <f>'A) Base RI'!F62</f>
        <v>0</v>
      </c>
      <c r="J62" s="10">
        <f>'A) Base RI'!G62+'A) Base RI'!H62</f>
        <v>2339.65</v>
      </c>
      <c r="K62" s="10">
        <f>'A) Base RI'!I62</f>
        <v>0</v>
      </c>
      <c r="L62" s="10">
        <f>'A) Base RI'!J62</f>
        <v>10484.049999999999</v>
      </c>
      <c r="M62" s="10">
        <f>'A) Base RI'!K62</f>
        <v>512.5</v>
      </c>
      <c r="N62" s="10">
        <f>'A) Base RI'!Q62</f>
        <v>0</v>
      </c>
      <c r="O62" s="10">
        <f t="shared" si="1"/>
        <v>62000.1</v>
      </c>
      <c r="P62" s="10">
        <f>'A) Base RI'!L62</f>
        <v>62000.1</v>
      </c>
      <c r="Q62" s="37">
        <f>'A) Base RI'!AR62</f>
        <v>1</v>
      </c>
      <c r="R62" s="2">
        <f t="shared" si="2"/>
        <v>665488.86</v>
      </c>
      <c r="S62" s="36">
        <f>'A) Base RI'!AM62</f>
        <v>76</v>
      </c>
      <c r="T62" s="2">
        <f t="shared" si="3"/>
        <v>602976.26</v>
      </c>
      <c r="U62" s="2">
        <f t="shared" si="4"/>
        <v>8756.4323684210522</v>
      </c>
      <c r="V62" s="10">
        <f>'A) Base RI'!O62</f>
        <v>16236</v>
      </c>
      <c r="W62" s="10">
        <f>'A) Base RI'!P62</f>
        <v>44240.65</v>
      </c>
      <c r="X62" s="10">
        <f>'A) Base RI'!R62</f>
        <v>55262.15</v>
      </c>
      <c r="Y62" s="2">
        <f t="shared" si="5"/>
        <v>115738.8</v>
      </c>
      <c r="Z62" s="10">
        <f>'A) Base RI'!N62</f>
        <v>875.85</v>
      </c>
      <c r="AA62" s="10">
        <f>'A) Base RI'!S62+'A) Base RI'!T62</f>
        <v>0</v>
      </c>
      <c r="AB62" s="10">
        <f>+'A) Base RI'!U62</f>
        <v>3400</v>
      </c>
      <c r="AC62" s="10">
        <f>'A) Base RI'!V62</f>
        <v>0</v>
      </c>
      <c r="AD62" s="10">
        <f>+'A) Base RI'!W62</f>
        <v>0</v>
      </c>
      <c r="AE62" s="10">
        <f>'A) Base RI'!Y62</f>
        <v>0</v>
      </c>
      <c r="AF62" s="10">
        <f>'A) Base RI'!Z62</f>
        <v>0</v>
      </c>
      <c r="AG62" s="10">
        <f>'A) Base RI'!AA62</f>
        <v>47645</v>
      </c>
      <c r="AH62" s="10">
        <f>'A) Base RI'!AB62</f>
        <v>0</v>
      </c>
      <c r="AI62" s="10">
        <f>'A) Base RI'!AC62</f>
        <v>33882</v>
      </c>
      <c r="AJ62" s="10">
        <f>'A) Base RI'!AD62</f>
        <v>0</v>
      </c>
      <c r="AK62" s="10">
        <f>'A) Base RI'!AE62</f>
        <v>0</v>
      </c>
      <c r="AL62" s="10">
        <f>'A) Base RI'!AF62</f>
        <v>0</v>
      </c>
      <c r="AM62" s="10">
        <f>'A) Base RI'!AG62</f>
        <v>0</v>
      </c>
      <c r="AN62" s="10">
        <f>'A) Base RI'!AH62</f>
        <v>10158</v>
      </c>
      <c r="AO62" s="10">
        <f>'A) Base RI'!AI62</f>
        <v>0</v>
      </c>
      <c r="AP62" s="10">
        <f>'A) Base RI'!AJ62</f>
        <v>0</v>
      </c>
      <c r="AQ62" s="10">
        <f>'A) Base RI'!AK62</f>
        <v>0</v>
      </c>
      <c r="AR62" s="10">
        <f>'A) Base RI'!AN62</f>
        <v>402</v>
      </c>
    </row>
    <row r="63" spans="1:44" x14ac:dyDescent="0.25">
      <c r="A63" s="8">
        <f>'A) Base RI'!A63</f>
        <v>5492</v>
      </c>
      <c r="B63" s="35" t="str">
        <f>'A) Base RI'!B63</f>
        <v>Montricher</v>
      </c>
      <c r="C63" s="10">
        <f>'A) Base RI'!C63+'A) Base RI'!D63</f>
        <v>12494564.859999999</v>
      </c>
      <c r="D63" s="10">
        <f>'A) Base RI'!AO63</f>
        <v>-13806.69</v>
      </c>
      <c r="E63" s="34">
        <f>'A) Base RI'!AP63</f>
        <v>0</v>
      </c>
      <c r="F63" s="34">
        <f>'A) Base RI'!AQ63</f>
        <v>-5227.37</v>
      </c>
      <c r="G63" s="2">
        <f t="shared" si="0"/>
        <v>12475530.800000001</v>
      </c>
      <c r="H63" s="10">
        <f>'A) Base RI'!E63</f>
        <v>0</v>
      </c>
      <c r="I63" s="10">
        <f>'A) Base RI'!F63</f>
        <v>0</v>
      </c>
      <c r="J63" s="10">
        <f>'A) Base RI'!G63+'A) Base RI'!H63</f>
        <v>141119.65</v>
      </c>
      <c r="K63" s="10">
        <f>'A) Base RI'!I63</f>
        <v>0</v>
      </c>
      <c r="L63" s="10">
        <f>'A) Base RI'!J63</f>
        <v>32490.799999999999</v>
      </c>
      <c r="M63" s="10">
        <f>'A) Base RI'!K63</f>
        <v>32691</v>
      </c>
      <c r="N63" s="10">
        <f>'A) Base RI'!Q63</f>
        <v>20595.77</v>
      </c>
      <c r="O63" s="10">
        <f t="shared" si="1"/>
        <v>215625.5</v>
      </c>
      <c r="P63" s="10">
        <f>'A) Base RI'!L63</f>
        <v>64687.65</v>
      </c>
      <c r="Q63" s="37">
        <f>'A) Base RI'!AR63</f>
        <v>0.3</v>
      </c>
      <c r="R63" s="2">
        <f t="shared" si="2"/>
        <v>12918053.520000001</v>
      </c>
      <c r="S63" s="36">
        <f>'A) Base RI'!AM63</f>
        <v>64</v>
      </c>
      <c r="T63" s="2">
        <f t="shared" si="3"/>
        <v>12669737.020000001</v>
      </c>
      <c r="U63" s="2">
        <f t="shared" si="4"/>
        <v>201844.58625000002</v>
      </c>
      <c r="V63" s="10">
        <f>'A) Base RI'!O63</f>
        <v>23780.400000000001</v>
      </c>
      <c r="W63" s="10">
        <f>'A) Base RI'!P63</f>
        <v>58300</v>
      </c>
      <c r="X63" s="10">
        <f>'A) Base RI'!R63</f>
        <v>42505.35</v>
      </c>
      <c r="Y63" s="2">
        <f t="shared" si="5"/>
        <v>124585.75</v>
      </c>
      <c r="Z63" s="10">
        <f>'A) Base RI'!N63</f>
        <v>1917</v>
      </c>
      <c r="AA63" s="10">
        <f>'A) Base RI'!S63+'A) Base RI'!T63</f>
        <v>0</v>
      </c>
      <c r="AB63" s="10">
        <f>+'A) Base RI'!U63</f>
        <v>5700</v>
      </c>
      <c r="AC63" s="10">
        <f>'A) Base RI'!V63</f>
        <v>0</v>
      </c>
      <c r="AD63" s="10">
        <f>+'A) Base RI'!W63</f>
        <v>0</v>
      </c>
      <c r="AE63" s="10">
        <f>'A) Base RI'!Y63</f>
        <v>18356</v>
      </c>
      <c r="AF63" s="10">
        <f>'A) Base RI'!Z63</f>
        <v>0</v>
      </c>
      <c r="AG63" s="10">
        <f>'A) Base RI'!AA63</f>
        <v>22232</v>
      </c>
      <c r="AH63" s="10">
        <f>'A) Base RI'!AB63</f>
        <v>0</v>
      </c>
      <c r="AI63" s="10">
        <f>'A) Base RI'!AC63</f>
        <v>30990</v>
      </c>
      <c r="AJ63" s="10">
        <f>'A) Base RI'!AD63</f>
        <v>18356</v>
      </c>
      <c r="AK63" s="10">
        <f>'A) Base RI'!AE63</f>
        <v>0</v>
      </c>
      <c r="AL63" s="10">
        <f>'A) Base RI'!AF63</f>
        <v>0</v>
      </c>
      <c r="AM63" s="10">
        <f>'A) Base RI'!AG63</f>
        <v>0</v>
      </c>
      <c r="AN63" s="10">
        <f>'A) Base RI'!AH63</f>
        <v>0</v>
      </c>
      <c r="AO63" s="10">
        <f>'A) Base RI'!AI63</f>
        <v>0</v>
      </c>
      <c r="AP63" s="10">
        <f>'A) Base RI'!AJ63</f>
        <v>0</v>
      </c>
      <c r="AQ63" s="10">
        <f>'A) Base RI'!AK63</f>
        <v>0</v>
      </c>
      <c r="AR63" s="10">
        <f>'A) Base RI'!AN63</f>
        <v>951</v>
      </c>
    </row>
    <row r="64" spans="1:44" x14ac:dyDescent="0.25">
      <c r="A64" s="8">
        <f>'A) Base RI'!A64</f>
        <v>5493</v>
      </c>
      <c r="B64" s="35" t="str">
        <f>'A) Base RI'!B64</f>
        <v>Orny</v>
      </c>
      <c r="C64" s="10">
        <f>'A) Base RI'!C64+'A) Base RI'!D64</f>
        <v>644260.12</v>
      </c>
      <c r="D64" s="10">
        <f>'A) Base RI'!AO64</f>
        <v>-55005.85</v>
      </c>
      <c r="E64" s="34">
        <f>'A) Base RI'!AP64</f>
        <v>0</v>
      </c>
      <c r="F64" s="34">
        <f>'A) Base RI'!AQ64</f>
        <v>0</v>
      </c>
      <c r="G64" s="2">
        <f t="shared" si="0"/>
        <v>589254.27</v>
      </c>
      <c r="H64" s="10">
        <f>'A) Base RI'!E64</f>
        <v>0</v>
      </c>
      <c r="I64" s="10">
        <f>'A) Base RI'!F64</f>
        <v>0</v>
      </c>
      <c r="J64" s="10">
        <f>'A) Base RI'!G64+'A) Base RI'!H64</f>
        <v>6831.0499999999993</v>
      </c>
      <c r="K64" s="10">
        <f>'A) Base RI'!I64</f>
        <v>0</v>
      </c>
      <c r="L64" s="10">
        <f>'A) Base RI'!J64</f>
        <v>13146.21</v>
      </c>
      <c r="M64" s="10">
        <f>'A) Base RI'!K64</f>
        <v>133</v>
      </c>
      <c r="N64" s="10">
        <f>'A) Base RI'!Q64</f>
        <v>3539.15</v>
      </c>
      <c r="O64" s="10">
        <f t="shared" si="1"/>
        <v>49871.538461538461</v>
      </c>
      <c r="P64" s="10">
        <f>'A) Base RI'!L64</f>
        <v>32416.5</v>
      </c>
      <c r="Q64" s="37">
        <f>'A) Base RI'!AR64</f>
        <v>0.65</v>
      </c>
      <c r="R64" s="2">
        <f t="shared" si="2"/>
        <v>662775.21846153855</v>
      </c>
      <c r="S64" s="36">
        <f>'A) Base RI'!AM64</f>
        <v>73</v>
      </c>
      <c r="T64" s="2">
        <f t="shared" si="3"/>
        <v>612770.68000000005</v>
      </c>
      <c r="U64" s="2">
        <f t="shared" si="4"/>
        <v>9079.112581664911</v>
      </c>
      <c r="V64" s="10">
        <f>'A) Base RI'!O64</f>
        <v>224152.2</v>
      </c>
      <c r="W64" s="10">
        <f>'A) Base RI'!P64</f>
        <v>0</v>
      </c>
      <c r="X64" s="10">
        <f>'A) Base RI'!R64</f>
        <v>0</v>
      </c>
      <c r="Y64" s="2">
        <f t="shared" si="5"/>
        <v>224152.2</v>
      </c>
      <c r="Z64" s="10">
        <f>'A) Base RI'!N64</f>
        <v>52227.15</v>
      </c>
      <c r="AA64" s="10">
        <f>'A) Base RI'!S64+'A) Base RI'!T64</f>
        <v>0</v>
      </c>
      <c r="AB64" s="10">
        <f>+'A) Base RI'!U64</f>
        <v>1200</v>
      </c>
      <c r="AC64" s="10">
        <f>'A) Base RI'!V64</f>
        <v>0</v>
      </c>
      <c r="AD64" s="10">
        <f>+'A) Base RI'!W64</f>
        <v>0</v>
      </c>
      <c r="AE64" s="10">
        <f>'A) Base RI'!Y64</f>
        <v>5494.3</v>
      </c>
      <c r="AF64" s="10">
        <f>'A) Base RI'!Z64</f>
        <v>0</v>
      </c>
      <c r="AG64" s="10">
        <f>'A) Base RI'!AA64</f>
        <v>52520.45</v>
      </c>
      <c r="AH64" s="10">
        <f>'A) Base RI'!AB64</f>
        <v>0</v>
      </c>
      <c r="AI64" s="10">
        <f>'A) Base RI'!AC64</f>
        <v>16498.3</v>
      </c>
      <c r="AJ64" s="10">
        <f>'A) Base RI'!AD64</f>
        <v>0</v>
      </c>
      <c r="AK64" s="10">
        <f>'A) Base RI'!AE64</f>
        <v>0</v>
      </c>
      <c r="AL64" s="10">
        <f>'A) Base RI'!AF64</f>
        <v>0</v>
      </c>
      <c r="AM64" s="10">
        <f>'A) Base RI'!AG64</f>
        <v>0</v>
      </c>
      <c r="AN64" s="10">
        <f>'A) Base RI'!AH64</f>
        <v>0</v>
      </c>
      <c r="AO64" s="10">
        <f>'A) Base RI'!AI64</f>
        <v>0</v>
      </c>
      <c r="AP64" s="10">
        <f>'A) Base RI'!AJ64</f>
        <v>0</v>
      </c>
      <c r="AQ64" s="10">
        <f>'A) Base RI'!AK64</f>
        <v>0</v>
      </c>
      <c r="AR64" s="10">
        <f>'A) Base RI'!AN64</f>
        <v>371</v>
      </c>
    </row>
    <row r="65" spans="1:44" x14ac:dyDescent="0.25">
      <c r="A65" s="8">
        <f>'A) Base RI'!A65</f>
        <v>5494</v>
      </c>
      <c r="B65" s="35" t="str">
        <f>'A) Base RI'!B65</f>
        <v>Pampigny</v>
      </c>
      <c r="C65" s="10">
        <f>'A) Base RI'!C65+'A) Base RI'!D65</f>
        <v>2462835.0299999998</v>
      </c>
      <c r="D65" s="10">
        <f>'A) Base RI'!AO65</f>
        <v>-28008.05</v>
      </c>
      <c r="E65" s="34">
        <f>'A) Base RI'!AP65</f>
        <v>0</v>
      </c>
      <c r="F65" s="34">
        <f>'A) Base RI'!AQ65</f>
        <v>-130.6</v>
      </c>
      <c r="G65" s="2">
        <f t="shared" si="0"/>
        <v>2434696.38</v>
      </c>
      <c r="H65" s="10">
        <f>'A) Base RI'!E65</f>
        <v>0</v>
      </c>
      <c r="I65" s="10">
        <f>'A) Base RI'!F65</f>
        <v>0</v>
      </c>
      <c r="J65" s="10">
        <f>'A) Base RI'!G65+'A) Base RI'!H65</f>
        <v>64170.15</v>
      </c>
      <c r="K65" s="10">
        <f>'A) Base RI'!I65</f>
        <v>0</v>
      </c>
      <c r="L65" s="10">
        <f>'A) Base RI'!J65</f>
        <v>42897.66</v>
      </c>
      <c r="M65" s="10">
        <f>'A) Base RI'!K65</f>
        <v>2601</v>
      </c>
      <c r="N65" s="10">
        <f>'A) Base RI'!Q65</f>
        <v>16337.48</v>
      </c>
      <c r="O65" s="10">
        <f t="shared" si="1"/>
        <v>199146.76190476189</v>
      </c>
      <c r="P65" s="10">
        <f>'A) Base RI'!L65</f>
        <v>209104.1</v>
      </c>
      <c r="Q65" s="37">
        <f>'A) Base RI'!AR65</f>
        <v>1.05</v>
      </c>
      <c r="R65" s="2">
        <f t="shared" si="2"/>
        <v>2759849.4319047621</v>
      </c>
      <c r="S65" s="36">
        <f>'A) Base RI'!AM65</f>
        <v>75</v>
      </c>
      <c r="T65" s="2">
        <f t="shared" si="3"/>
        <v>2558101.67</v>
      </c>
      <c r="U65" s="2">
        <f t="shared" si="4"/>
        <v>36797.992425396827</v>
      </c>
      <c r="V65" s="10">
        <f>'A) Base RI'!O65</f>
        <v>117664.4</v>
      </c>
      <c r="W65" s="10">
        <f>'A) Base RI'!P65</f>
        <v>58073</v>
      </c>
      <c r="X65" s="10">
        <f>'A) Base RI'!R65</f>
        <v>40662.35</v>
      </c>
      <c r="Y65" s="2">
        <f t="shared" si="5"/>
        <v>216399.75</v>
      </c>
      <c r="Z65" s="10">
        <f>'A) Base RI'!N65</f>
        <v>21414.7</v>
      </c>
      <c r="AA65" s="10">
        <f>'A) Base RI'!S65+'A) Base RI'!T65</f>
        <v>4127.6000000000004</v>
      </c>
      <c r="AB65" s="10">
        <f>+'A) Base RI'!U65</f>
        <v>5960</v>
      </c>
      <c r="AC65" s="10">
        <f>'A) Base RI'!V65</f>
        <v>0</v>
      </c>
      <c r="AD65" s="10">
        <f>+'A) Base RI'!W65</f>
        <v>0</v>
      </c>
      <c r="AE65" s="10">
        <f>'A) Base RI'!Y65</f>
        <v>12035</v>
      </c>
      <c r="AF65" s="10">
        <f>'A) Base RI'!Z65</f>
        <v>3426.99</v>
      </c>
      <c r="AG65" s="10">
        <f>'A) Base RI'!AA65</f>
        <v>147192.82</v>
      </c>
      <c r="AH65" s="10">
        <f>'A) Base RI'!AB65</f>
        <v>0</v>
      </c>
      <c r="AI65" s="10">
        <f>'A) Base RI'!AC65</f>
        <v>118992.27</v>
      </c>
      <c r="AJ65" s="10">
        <f>'A) Base RI'!AD65</f>
        <v>13228</v>
      </c>
      <c r="AK65" s="10">
        <f>'A) Base RI'!AE65</f>
        <v>2892</v>
      </c>
      <c r="AL65" s="10">
        <f>'A) Base RI'!AF65</f>
        <v>0</v>
      </c>
      <c r="AM65" s="10">
        <f>'A) Base RI'!AG65</f>
        <v>0</v>
      </c>
      <c r="AN65" s="10">
        <f>'A) Base RI'!AH65</f>
        <v>0</v>
      </c>
      <c r="AO65" s="10">
        <f>'A) Base RI'!AI65</f>
        <v>0</v>
      </c>
      <c r="AP65" s="10">
        <f>'A) Base RI'!AJ65</f>
        <v>0</v>
      </c>
      <c r="AQ65" s="10">
        <f>'A) Base RI'!AK65</f>
        <v>0</v>
      </c>
      <c r="AR65" s="10">
        <f>'A) Base RI'!AN65</f>
        <v>1116</v>
      </c>
    </row>
    <row r="66" spans="1:44" x14ac:dyDescent="0.25">
      <c r="A66" s="8">
        <f>'A) Base RI'!A66</f>
        <v>5495</v>
      </c>
      <c r="B66" s="35" t="str">
        <f>'A) Base RI'!B66</f>
        <v>Penthalaz</v>
      </c>
      <c r="C66" s="10">
        <f>'A) Base RI'!C66+'A) Base RI'!D66</f>
        <v>6128829.959999999</v>
      </c>
      <c r="D66" s="10">
        <f>'A) Base RI'!AO66</f>
        <v>-120476.32</v>
      </c>
      <c r="E66" s="34">
        <f>'A) Base RI'!AP66</f>
        <v>0</v>
      </c>
      <c r="F66" s="34">
        <f>'A) Base RI'!AQ66</f>
        <v>-280.22000000000003</v>
      </c>
      <c r="G66" s="2">
        <f t="shared" si="0"/>
        <v>6008073.419999999</v>
      </c>
      <c r="H66" s="10">
        <f>'A) Base RI'!E66</f>
        <v>0</v>
      </c>
      <c r="I66" s="10">
        <f>'A) Base RI'!F66</f>
        <v>0</v>
      </c>
      <c r="J66" s="10">
        <f>'A) Base RI'!G66+'A) Base RI'!H66</f>
        <v>479300.45</v>
      </c>
      <c r="K66" s="10">
        <f>'A) Base RI'!I66</f>
        <v>41780.25</v>
      </c>
      <c r="L66" s="10">
        <f>'A) Base RI'!J66</f>
        <v>244727.84</v>
      </c>
      <c r="M66" s="10">
        <f>'A) Base RI'!K66</f>
        <v>73878.5</v>
      </c>
      <c r="N66" s="10">
        <f>'A) Base RI'!Q66</f>
        <v>24248.82</v>
      </c>
      <c r="O66" s="10">
        <f t="shared" si="1"/>
        <v>486256.8</v>
      </c>
      <c r="P66" s="10">
        <f>'A) Base RI'!L66</f>
        <v>486256.8</v>
      </c>
      <c r="Q66" s="37">
        <f>'A) Base RI'!AR66</f>
        <v>1</v>
      </c>
      <c r="R66" s="2">
        <f t="shared" si="2"/>
        <v>7358266.0799999991</v>
      </c>
      <c r="S66" s="36">
        <f>'A) Base RI'!AM66</f>
        <v>74</v>
      </c>
      <c r="T66" s="2">
        <f t="shared" si="3"/>
        <v>6798130.7799999993</v>
      </c>
      <c r="U66" s="2">
        <f t="shared" si="4"/>
        <v>99436.02810810809</v>
      </c>
      <c r="V66" s="10">
        <f>'A) Base RI'!O66</f>
        <v>75320</v>
      </c>
      <c r="W66" s="10">
        <f>'A) Base RI'!P66</f>
        <v>79030.850000000006</v>
      </c>
      <c r="X66" s="10">
        <f>'A) Base RI'!R66</f>
        <v>76468.800000000003</v>
      </c>
      <c r="Y66" s="2">
        <f t="shared" si="5"/>
        <v>230819.65000000002</v>
      </c>
      <c r="Z66" s="10">
        <f>'A) Base RI'!N66</f>
        <v>168264.7</v>
      </c>
      <c r="AA66" s="10">
        <f>'A) Base RI'!S66+'A) Base RI'!T66</f>
        <v>0</v>
      </c>
      <c r="AB66" s="10">
        <f>+'A) Base RI'!U66</f>
        <v>12330</v>
      </c>
      <c r="AC66" s="10">
        <f>'A) Base RI'!V66</f>
        <v>0</v>
      </c>
      <c r="AD66" s="10">
        <f>+'A) Base RI'!W66</f>
        <v>0</v>
      </c>
      <c r="AE66" s="10">
        <f>'A) Base RI'!Y66</f>
        <v>226838.9</v>
      </c>
      <c r="AF66" s="10">
        <f>'A) Base RI'!Z66</f>
        <v>73734.100000000006</v>
      </c>
      <c r="AG66" s="10">
        <f>'A) Base RI'!AA66</f>
        <v>328159.25</v>
      </c>
      <c r="AH66" s="10">
        <f>'A) Base RI'!AB66</f>
        <v>305698.40000000002</v>
      </c>
      <c r="AI66" s="10">
        <f>'A) Base RI'!AC66</f>
        <v>226838.9</v>
      </c>
      <c r="AJ66" s="10">
        <f>'A) Base RI'!AD66</f>
        <v>0</v>
      </c>
      <c r="AK66" s="10">
        <f>'A) Base RI'!AE66</f>
        <v>0</v>
      </c>
      <c r="AL66" s="10">
        <f>'A) Base RI'!AF66</f>
        <v>0</v>
      </c>
      <c r="AM66" s="10">
        <f>'A) Base RI'!AG66</f>
        <v>16646</v>
      </c>
      <c r="AN66" s="10">
        <f>'A) Base RI'!AH66</f>
        <v>104500</v>
      </c>
      <c r="AO66" s="10">
        <f>'A) Base RI'!AI66</f>
        <v>0</v>
      </c>
      <c r="AP66" s="10">
        <f>'A) Base RI'!AJ66</f>
        <v>0</v>
      </c>
      <c r="AQ66" s="10">
        <f>'A) Base RI'!AK66</f>
        <v>0</v>
      </c>
      <c r="AR66" s="10">
        <f>'A) Base RI'!AN66</f>
        <v>3252</v>
      </c>
    </row>
    <row r="67" spans="1:44" x14ac:dyDescent="0.25">
      <c r="A67" s="8">
        <f>'A) Base RI'!A67</f>
        <v>5496</v>
      </c>
      <c r="B67" s="35" t="str">
        <f>'A) Base RI'!B67</f>
        <v>Penthaz</v>
      </c>
      <c r="C67" s="10">
        <f>'A) Base RI'!C67+'A) Base RI'!D67</f>
        <v>3239018.33</v>
      </c>
      <c r="D67" s="10">
        <f>'A) Base RI'!AO67</f>
        <v>-32738.97</v>
      </c>
      <c r="E67" s="34">
        <f>'A) Base RI'!AP67</f>
        <v>0</v>
      </c>
      <c r="F67" s="34">
        <f>'A) Base RI'!AQ67</f>
        <v>-1344.63</v>
      </c>
      <c r="G67" s="2">
        <f t="shared" si="0"/>
        <v>3204934.73</v>
      </c>
      <c r="H67" s="10">
        <f>'A) Base RI'!E67</f>
        <v>0</v>
      </c>
      <c r="I67" s="10">
        <f>'A) Base RI'!F67</f>
        <v>0</v>
      </c>
      <c r="J67" s="10">
        <f>'A) Base RI'!G67+'A) Base RI'!H67</f>
        <v>156623</v>
      </c>
      <c r="K67" s="10">
        <f>'A) Base RI'!I67</f>
        <v>0</v>
      </c>
      <c r="L67" s="10">
        <f>'A) Base RI'!J67</f>
        <v>76022.87</v>
      </c>
      <c r="M67" s="10">
        <f>'A) Base RI'!K67</f>
        <v>15258.5</v>
      </c>
      <c r="N67" s="10">
        <f>'A) Base RI'!Q67</f>
        <v>14968.11</v>
      </c>
      <c r="O67" s="10">
        <f t="shared" si="1"/>
        <v>288493.75</v>
      </c>
      <c r="P67" s="10">
        <f>'A) Base RI'!L67</f>
        <v>288493.75</v>
      </c>
      <c r="Q67" s="37">
        <f>'A) Base RI'!AR67</f>
        <v>1</v>
      </c>
      <c r="R67" s="2">
        <f t="shared" si="2"/>
        <v>3756300.96</v>
      </c>
      <c r="S67" s="36">
        <f>'A) Base RI'!AM67</f>
        <v>71</v>
      </c>
      <c r="T67" s="2">
        <f t="shared" si="3"/>
        <v>3452548.71</v>
      </c>
      <c r="U67" s="2">
        <f t="shared" si="4"/>
        <v>52905.64732394366</v>
      </c>
      <c r="V67" s="10">
        <f>'A) Base RI'!O67</f>
        <v>13.2</v>
      </c>
      <c r="W67" s="10">
        <f>'A) Base RI'!P67</f>
        <v>84712.05</v>
      </c>
      <c r="X67" s="10">
        <f>'A) Base RI'!R67</f>
        <v>24979.8</v>
      </c>
      <c r="Y67" s="2">
        <f t="shared" si="5"/>
        <v>109705.05</v>
      </c>
      <c r="Z67" s="10">
        <f>'A) Base RI'!N67</f>
        <v>84768.55</v>
      </c>
      <c r="AA67" s="10">
        <f>'A) Base RI'!S67+'A) Base RI'!T67</f>
        <v>7708.25</v>
      </c>
      <c r="AB67" s="10">
        <f>+'A) Base RI'!U67</f>
        <v>14050</v>
      </c>
      <c r="AC67" s="10">
        <f>'A) Base RI'!V67</f>
        <v>0</v>
      </c>
      <c r="AD67" s="10">
        <f>+'A) Base RI'!W67</f>
        <v>0</v>
      </c>
      <c r="AE67" s="10">
        <f>'A) Base RI'!Y67</f>
        <v>67868.25</v>
      </c>
      <c r="AF67" s="10">
        <f>'A) Base RI'!Z67</f>
        <v>0</v>
      </c>
      <c r="AG67" s="10">
        <f>'A) Base RI'!AA67</f>
        <v>0</v>
      </c>
      <c r="AH67" s="10">
        <f>'A) Base RI'!AB67</f>
        <v>181931.45</v>
      </c>
      <c r="AI67" s="10">
        <f>'A) Base RI'!AC67</f>
        <v>123360</v>
      </c>
      <c r="AJ67" s="10">
        <f>'A) Base RI'!AD67</f>
        <v>84660.25</v>
      </c>
      <c r="AK67" s="10">
        <f>'A) Base RI'!AE67</f>
        <v>0</v>
      </c>
      <c r="AL67" s="10">
        <f>'A) Base RI'!AF67</f>
        <v>0</v>
      </c>
      <c r="AM67" s="10">
        <f>'A) Base RI'!AG67</f>
        <v>5623.8</v>
      </c>
      <c r="AN67" s="10">
        <f>'A) Base RI'!AH67</f>
        <v>48311.9</v>
      </c>
      <c r="AO67" s="10">
        <f>'A) Base RI'!AI67</f>
        <v>0</v>
      </c>
      <c r="AP67" s="10">
        <f>'A) Base RI'!AJ67</f>
        <v>0</v>
      </c>
      <c r="AQ67" s="10">
        <f>'A) Base RI'!AK67</f>
        <v>0</v>
      </c>
      <c r="AR67" s="10">
        <f>'A) Base RI'!AN67</f>
        <v>1703</v>
      </c>
    </row>
    <row r="68" spans="1:44" x14ac:dyDescent="0.25">
      <c r="A68" s="8">
        <f>'A) Base RI'!A68</f>
        <v>5497</v>
      </c>
      <c r="B68" s="35" t="str">
        <f>'A) Base RI'!B68</f>
        <v>Pompaples</v>
      </c>
      <c r="C68" s="10">
        <f>'A) Base RI'!C68+'A) Base RI'!D68</f>
        <v>1290550.42</v>
      </c>
      <c r="D68" s="10">
        <f>'A) Base RI'!AO68</f>
        <v>-38479.18</v>
      </c>
      <c r="E68" s="34">
        <f>'A) Base RI'!AP68</f>
        <v>0</v>
      </c>
      <c r="F68" s="34">
        <f>'A) Base RI'!AQ68</f>
        <v>-7.73</v>
      </c>
      <c r="G68" s="2">
        <f t="shared" si="0"/>
        <v>1252063.51</v>
      </c>
      <c r="H68" s="10">
        <f>'A) Base RI'!E68</f>
        <v>0</v>
      </c>
      <c r="I68" s="10">
        <f>'A) Base RI'!F68</f>
        <v>0</v>
      </c>
      <c r="J68" s="10">
        <f>'A) Base RI'!G68+'A) Base RI'!H68</f>
        <v>12354.85</v>
      </c>
      <c r="K68" s="10">
        <f>'A) Base RI'!I68</f>
        <v>0</v>
      </c>
      <c r="L68" s="10">
        <f>'A) Base RI'!J68</f>
        <v>62153.62</v>
      </c>
      <c r="M68" s="10">
        <f>'A) Base RI'!K68</f>
        <v>6367.5</v>
      </c>
      <c r="N68" s="10">
        <f>'A) Base RI'!Q68</f>
        <v>15082.56</v>
      </c>
      <c r="O68" s="10">
        <f t="shared" si="1"/>
        <v>121970.1</v>
      </c>
      <c r="P68" s="10">
        <f>'A) Base RI'!L68</f>
        <v>121970.1</v>
      </c>
      <c r="Q68" s="37">
        <f>'A) Base RI'!AR68</f>
        <v>1</v>
      </c>
      <c r="R68" s="2">
        <f t="shared" si="2"/>
        <v>1469992.1400000004</v>
      </c>
      <c r="S68" s="36">
        <f>'A) Base RI'!AM68</f>
        <v>66</v>
      </c>
      <c r="T68" s="2">
        <f t="shared" si="3"/>
        <v>1341654.5400000003</v>
      </c>
      <c r="U68" s="2">
        <f t="shared" si="4"/>
        <v>22272.608181818188</v>
      </c>
      <c r="V68" s="10">
        <f>'A) Base RI'!O68</f>
        <v>129693</v>
      </c>
      <c r="W68" s="10">
        <f>'A) Base RI'!P68</f>
        <v>49863.7</v>
      </c>
      <c r="X68" s="10">
        <f>'A) Base RI'!R68</f>
        <v>13534.7</v>
      </c>
      <c r="Y68" s="2">
        <f t="shared" si="5"/>
        <v>193091.40000000002</v>
      </c>
      <c r="Z68" s="10">
        <f>'A) Base RI'!N68</f>
        <v>245491.55</v>
      </c>
      <c r="AA68" s="10">
        <f>'A) Base RI'!S68+'A) Base RI'!T68</f>
        <v>0</v>
      </c>
      <c r="AB68" s="10">
        <f>+'A) Base RI'!U68</f>
        <v>2300</v>
      </c>
      <c r="AC68" s="10">
        <f>'A) Base RI'!V68</f>
        <v>0</v>
      </c>
      <c r="AD68" s="10">
        <f>+'A) Base RI'!W68</f>
        <v>0</v>
      </c>
      <c r="AE68" s="10">
        <f>'A) Base RI'!Y68</f>
        <v>450</v>
      </c>
      <c r="AF68" s="10">
        <f>'A) Base RI'!Z68</f>
        <v>0</v>
      </c>
      <c r="AG68" s="10">
        <f>'A) Base RI'!AA68</f>
        <v>87334</v>
      </c>
      <c r="AH68" s="10">
        <f>'A) Base RI'!AB68</f>
        <v>0</v>
      </c>
      <c r="AI68" s="10">
        <f>'A) Base RI'!AC68</f>
        <v>93356.95</v>
      </c>
      <c r="AJ68" s="10">
        <f>'A) Base RI'!AD68</f>
        <v>0</v>
      </c>
      <c r="AK68" s="10">
        <f>'A) Base RI'!AE68</f>
        <v>0</v>
      </c>
      <c r="AL68" s="10">
        <f>'A) Base RI'!AF68</f>
        <v>0</v>
      </c>
      <c r="AM68" s="10">
        <f>'A) Base RI'!AG68</f>
        <v>0</v>
      </c>
      <c r="AN68" s="10">
        <f>'A) Base RI'!AH68</f>
        <v>32328.35</v>
      </c>
      <c r="AO68" s="10">
        <f>'A) Base RI'!AI68</f>
        <v>0</v>
      </c>
      <c r="AP68" s="10">
        <f>'A) Base RI'!AJ68</f>
        <v>0</v>
      </c>
      <c r="AQ68" s="10">
        <f>'A) Base RI'!AK68</f>
        <v>0</v>
      </c>
      <c r="AR68" s="10">
        <f>'A) Base RI'!AN68</f>
        <v>859</v>
      </c>
    </row>
    <row r="69" spans="1:44" x14ac:dyDescent="0.25">
      <c r="A69" s="8">
        <f>'A) Base RI'!A69</f>
        <v>5498</v>
      </c>
      <c r="B69" s="35" t="str">
        <f>'A) Base RI'!B69</f>
        <v>La Sarraz</v>
      </c>
      <c r="C69" s="10">
        <f>'A) Base RI'!C69+'A) Base RI'!D69</f>
        <v>4206215.4799999995</v>
      </c>
      <c r="D69" s="10">
        <f>'A) Base RI'!AO69</f>
        <v>-50263.13</v>
      </c>
      <c r="E69" s="34">
        <f>'A) Base RI'!AP69</f>
        <v>0</v>
      </c>
      <c r="F69" s="34">
        <f>'A) Base RI'!AQ69</f>
        <v>-12.78</v>
      </c>
      <c r="G69" s="2">
        <f t="shared" si="0"/>
        <v>4155939.57</v>
      </c>
      <c r="H69" s="10">
        <f>'A) Base RI'!E69</f>
        <v>0</v>
      </c>
      <c r="I69" s="10">
        <f>'A) Base RI'!F69</f>
        <v>0</v>
      </c>
      <c r="J69" s="10">
        <f>'A) Base RI'!G69+'A) Base RI'!H69</f>
        <v>164603.9</v>
      </c>
      <c r="K69" s="10">
        <f>'A) Base RI'!I69</f>
        <v>0</v>
      </c>
      <c r="L69" s="10">
        <f>'A) Base RI'!J69</f>
        <v>146654.28</v>
      </c>
      <c r="M69" s="10">
        <f>'A) Base RI'!K69</f>
        <v>20025</v>
      </c>
      <c r="N69" s="10">
        <f>'A) Base RI'!Q69</f>
        <v>32354.06</v>
      </c>
      <c r="O69" s="10">
        <f t="shared" si="1"/>
        <v>351528.05</v>
      </c>
      <c r="P69" s="10">
        <f>'A) Base RI'!L69</f>
        <v>351528.05</v>
      </c>
      <c r="Q69" s="37">
        <f>'A) Base RI'!AR69</f>
        <v>1</v>
      </c>
      <c r="R69" s="2">
        <f t="shared" si="2"/>
        <v>4871104.8599999994</v>
      </c>
      <c r="S69" s="36">
        <f>'A) Base RI'!AM69</f>
        <v>66</v>
      </c>
      <c r="T69" s="2">
        <f t="shared" si="3"/>
        <v>4499551.8099999996</v>
      </c>
      <c r="U69" s="2">
        <f t="shared" si="4"/>
        <v>73804.61909090908</v>
      </c>
      <c r="V69" s="10">
        <f>'A) Base RI'!O69</f>
        <v>50753.8</v>
      </c>
      <c r="W69" s="10">
        <f>'A) Base RI'!P69</f>
        <v>102946.35</v>
      </c>
      <c r="X69" s="10">
        <f>'A) Base RI'!R69</f>
        <v>147553.1</v>
      </c>
      <c r="Y69" s="2">
        <f t="shared" si="5"/>
        <v>301253.25</v>
      </c>
      <c r="Z69" s="10">
        <f>'A) Base RI'!N69</f>
        <v>77197.350000000006</v>
      </c>
      <c r="AA69" s="10">
        <f>'A) Base RI'!S69+'A) Base RI'!T69</f>
        <v>11267.3</v>
      </c>
      <c r="AB69" s="10">
        <f>+'A) Base RI'!U69</f>
        <v>16520</v>
      </c>
      <c r="AC69" s="10">
        <f>'A) Base RI'!V69</f>
        <v>0</v>
      </c>
      <c r="AD69" s="10">
        <f>+'A) Base RI'!W69</f>
        <v>0</v>
      </c>
      <c r="AE69" s="10">
        <f>'A) Base RI'!Y69</f>
        <v>45202.5</v>
      </c>
      <c r="AF69" s="10">
        <f>'A) Base RI'!Z69</f>
        <v>0</v>
      </c>
      <c r="AG69" s="10">
        <f>'A) Base RI'!AA69</f>
        <v>276679.65000000002</v>
      </c>
      <c r="AH69" s="10">
        <f>'A) Base RI'!AB69</f>
        <v>0</v>
      </c>
      <c r="AI69" s="10">
        <f>'A) Base RI'!AC69</f>
        <v>290325.53999999998</v>
      </c>
      <c r="AJ69" s="10">
        <f>'A) Base RI'!AD69</f>
        <v>0</v>
      </c>
      <c r="AK69" s="10">
        <f>'A) Base RI'!AE69</f>
        <v>0</v>
      </c>
      <c r="AL69" s="10">
        <f>'A) Base RI'!AF69</f>
        <v>0</v>
      </c>
      <c r="AM69" s="10">
        <f>'A) Base RI'!AG69</f>
        <v>0</v>
      </c>
      <c r="AN69" s="10">
        <f>'A) Base RI'!AH69</f>
        <v>0</v>
      </c>
      <c r="AO69" s="10">
        <f>'A) Base RI'!AI69</f>
        <v>0</v>
      </c>
      <c r="AP69" s="10">
        <f>'A) Base RI'!AJ69</f>
        <v>0</v>
      </c>
      <c r="AQ69" s="10">
        <f>'A) Base RI'!AK69</f>
        <v>0</v>
      </c>
      <c r="AR69" s="10">
        <f>'A) Base RI'!AN69</f>
        <v>2567</v>
      </c>
    </row>
    <row r="70" spans="1:44" x14ac:dyDescent="0.25">
      <c r="A70" s="8">
        <f>'A) Base RI'!A70</f>
        <v>5499</v>
      </c>
      <c r="B70" s="35" t="str">
        <f>'A) Base RI'!B70</f>
        <v>Senarclens</v>
      </c>
      <c r="C70" s="10">
        <f>'A) Base RI'!C70+'A) Base RI'!D70</f>
        <v>1135072.6499999999</v>
      </c>
      <c r="D70" s="10">
        <f>'A) Base RI'!AO70</f>
        <v>-122.02</v>
      </c>
      <c r="E70" s="34">
        <f>'A) Base RI'!AP70</f>
        <v>0</v>
      </c>
      <c r="F70" s="34">
        <f>'A) Base RI'!AQ70</f>
        <v>-486.9</v>
      </c>
      <c r="G70" s="2">
        <f t="shared" si="0"/>
        <v>1134463.73</v>
      </c>
      <c r="H70" s="10">
        <f>'A) Base RI'!E70</f>
        <v>0</v>
      </c>
      <c r="I70" s="10">
        <f>'A) Base RI'!F70</f>
        <v>0</v>
      </c>
      <c r="J70" s="10">
        <f>'A) Base RI'!G70+'A) Base RI'!H70</f>
        <v>35790.9</v>
      </c>
      <c r="K70" s="10">
        <f>'A) Base RI'!I70</f>
        <v>0</v>
      </c>
      <c r="L70" s="10">
        <f>'A) Base RI'!J70</f>
        <v>20063.439999999999</v>
      </c>
      <c r="M70" s="10">
        <f>'A) Base RI'!K70</f>
        <v>0</v>
      </c>
      <c r="N70" s="10">
        <f>'A) Base RI'!Q70</f>
        <v>0</v>
      </c>
      <c r="O70" s="10">
        <f t="shared" si="1"/>
        <v>82818.600000000006</v>
      </c>
      <c r="P70" s="10">
        <f>'A) Base RI'!L70</f>
        <v>82818.600000000006</v>
      </c>
      <c r="Q70" s="37">
        <f>'A) Base RI'!AR70</f>
        <v>1</v>
      </c>
      <c r="R70" s="2">
        <f t="shared" si="2"/>
        <v>1273136.67</v>
      </c>
      <c r="S70" s="36">
        <f>'A) Base RI'!AM70</f>
        <v>68.5</v>
      </c>
      <c r="T70" s="2">
        <f t="shared" si="3"/>
        <v>1190318.0699999998</v>
      </c>
      <c r="U70" s="2">
        <f t="shared" si="4"/>
        <v>18585.936788321167</v>
      </c>
      <c r="V70" s="10">
        <f>'A) Base RI'!O70</f>
        <v>29227.3</v>
      </c>
      <c r="W70" s="10">
        <f>'A) Base RI'!P70</f>
        <v>45346.25</v>
      </c>
      <c r="X70" s="10">
        <f>'A) Base RI'!R70</f>
        <v>34854.449999999997</v>
      </c>
      <c r="Y70" s="2">
        <f t="shared" si="5"/>
        <v>109428</v>
      </c>
      <c r="Z70" s="10">
        <f>'A) Base RI'!N70</f>
        <v>12062.9</v>
      </c>
      <c r="AA70" s="10">
        <f>'A) Base RI'!S70+'A) Base RI'!T70</f>
        <v>150</v>
      </c>
      <c r="AB70" s="10">
        <f>+'A) Base RI'!U70</f>
        <v>1100</v>
      </c>
      <c r="AC70" s="10">
        <f>'A) Base RI'!V70</f>
        <v>0</v>
      </c>
      <c r="AD70" s="10">
        <f>+'A) Base RI'!W70</f>
        <v>0</v>
      </c>
      <c r="AE70" s="10">
        <f>'A) Base RI'!Y70</f>
        <v>40616</v>
      </c>
      <c r="AF70" s="10">
        <f>'A) Base RI'!Z70</f>
        <v>0</v>
      </c>
      <c r="AG70" s="10">
        <f>'A) Base RI'!AA70</f>
        <v>32780</v>
      </c>
      <c r="AH70" s="10">
        <f>'A) Base RI'!AB70</f>
        <v>0</v>
      </c>
      <c r="AI70" s="10">
        <f>'A) Base RI'!AC70</f>
        <v>33385.4</v>
      </c>
      <c r="AJ70" s="10">
        <f>'A) Base RI'!AD70</f>
        <v>40616</v>
      </c>
      <c r="AK70" s="10">
        <f>'A) Base RI'!AE70</f>
        <v>0</v>
      </c>
      <c r="AL70" s="10">
        <f>'A) Base RI'!AF70</f>
        <v>0</v>
      </c>
      <c r="AM70" s="10">
        <f>'A) Base RI'!AG70</f>
        <v>0</v>
      </c>
      <c r="AN70" s="10">
        <f>'A) Base RI'!AH70</f>
        <v>0</v>
      </c>
      <c r="AO70" s="10">
        <f>'A) Base RI'!AI70</f>
        <v>0</v>
      </c>
      <c r="AP70" s="10">
        <f>'A) Base RI'!AJ70</f>
        <v>0</v>
      </c>
      <c r="AQ70" s="10">
        <f>'A) Base RI'!AK70</f>
        <v>0</v>
      </c>
      <c r="AR70" s="10">
        <f>'A) Base RI'!AN70</f>
        <v>459</v>
      </c>
    </row>
    <row r="71" spans="1:44" x14ac:dyDescent="0.25">
      <c r="A71" s="8">
        <f>'A) Base RI'!A71</f>
        <v>5500</v>
      </c>
      <c r="B71" s="35" t="str">
        <f>'A) Base RI'!B71</f>
        <v>Sévery</v>
      </c>
      <c r="C71" s="10">
        <f>'A) Base RI'!C71+'A) Base RI'!D71</f>
        <v>557701.30000000005</v>
      </c>
      <c r="D71" s="10">
        <f>'A) Base RI'!AO71</f>
        <v>-5206.53</v>
      </c>
      <c r="E71" s="34">
        <f>'A) Base RI'!AP71</f>
        <v>0</v>
      </c>
      <c r="F71" s="34">
        <f>'A) Base RI'!AQ71</f>
        <v>-6.37</v>
      </c>
      <c r="G71" s="2">
        <f t="shared" si="0"/>
        <v>552488.4</v>
      </c>
      <c r="H71" s="10">
        <f>'A) Base RI'!E71</f>
        <v>0</v>
      </c>
      <c r="I71" s="10">
        <f>'A) Base RI'!F71</f>
        <v>0</v>
      </c>
      <c r="J71" s="10">
        <f>'A) Base RI'!G71+'A) Base RI'!H71</f>
        <v>6919.2000000000007</v>
      </c>
      <c r="K71" s="10">
        <f>'A) Base RI'!I71</f>
        <v>0</v>
      </c>
      <c r="L71" s="10">
        <f>'A) Base RI'!J71</f>
        <v>8896.19</v>
      </c>
      <c r="M71" s="10">
        <f>'A) Base RI'!K71</f>
        <v>38.5</v>
      </c>
      <c r="N71" s="10">
        <f>'A) Base RI'!Q71</f>
        <v>2344.79</v>
      </c>
      <c r="O71" s="10">
        <f t="shared" si="1"/>
        <v>39498.125</v>
      </c>
      <c r="P71" s="10">
        <f>'A) Base RI'!L71</f>
        <v>47397.75</v>
      </c>
      <c r="Q71" s="37">
        <f>'A) Base RI'!AR71</f>
        <v>1.2</v>
      </c>
      <c r="R71" s="2">
        <f t="shared" si="2"/>
        <v>610185.20499999996</v>
      </c>
      <c r="S71" s="36">
        <f>'A) Base RI'!AM71</f>
        <v>76</v>
      </c>
      <c r="T71" s="2">
        <f t="shared" si="3"/>
        <v>570648.57999999996</v>
      </c>
      <c r="U71" s="2">
        <f t="shared" si="4"/>
        <v>8028.7526973684207</v>
      </c>
      <c r="V71" s="10">
        <f>'A) Base RI'!O71</f>
        <v>0</v>
      </c>
      <c r="W71" s="10">
        <f>'A) Base RI'!P71</f>
        <v>11495</v>
      </c>
      <c r="X71" s="10">
        <f>'A) Base RI'!R71</f>
        <v>0</v>
      </c>
      <c r="Y71" s="2">
        <f t="shared" si="5"/>
        <v>11495</v>
      </c>
      <c r="Z71" s="10">
        <f>'A) Base RI'!N71</f>
        <v>4855.1499999999996</v>
      </c>
      <c r="AA71" s="10">
        <f>'A) Base RI'!S71+'A) Base RI'!T71</f>
        <v>0</v>
      </c>
      <c r="AB71" s="10">
        <f>+'A) Base RI'!U71</f>
        <v>1650</v>
      </c>
      <c r="AC71" s="10">
        <f>'A) Base RI'!V71</f>
        <v>0</v>
      </c>
      <c r="AD71" s="10">
        <f>+'A) Base RI'!W71</f>
        <v>0</v>
      </c>
      <c r="AE71" s="10">
        <f>'A) Base RI'!Y71</f>
        <v>8775.7999999999993</v>
      </c>
      <c r="AF71" s="10">
        <f>'A) Base RI'!Z71</f>
        <v>0</v>
      </c>
      <c r="AG71" s="10">
        <f>'A) Base RI'!AA71</f>
        <v>30170.1</v>
      </c>
      <c r="AH71" s="10">
        <f>'A) Base RI'!AB71</f>
        <v>0</v>
      </c>
      <c r="AI71" s="10">
        <f>'A) Base RI'!AC71</f>
        <v>22306.5</v>
      </c>
      <c r="AJ71" s="10">
        <f>'A) Base RI'!AD71</f>
        <v>5811.4</v>
      </c>
      <c r="AK71" s="10">
        <f>'A) Base RI'!AE71</f>
        <v>0</v>
      </c>
      <c r="AL71" s="10">
        <f>'A) Base RI'!AF71</f>
        <v>0</v>
      </c>
      <c r="AM71" s="10">
        <f>'A) Base RI'!AG71</f>
        <v>0</v>
      </c>
      <c r="AN71" s="10">
        <f>'A) Base RI'!AH71</f>
        <v>0</v>
      </c>
      <c r="AO71" s="10">
        <f>'A) Base RI'!AI71</f>
        <v>0</v>
      </c>
      <c r="AP71" s="10">
        <f>'A) Base RI'!AJ71</f>
        <v>0</v>
      </c>
      <c r="AQ71" s="10">
        <f>'A) Base RI'!AK71</f>
        <v>0</v>
      </c>
      <c r="AR71" s="10">
        <f>'A) Base RI'!AN71</f>
        <v>243</v>
      </c>
    </row>
    <row r="72" spans="1:44" x14ac:dyDescent="0.25">
      <c r="A72" s="8">
        <f>'A) Base RI'!A72</f>
        <v>5501</v>
      </c>
      <c r="B72" s="35" t="str">
        <f>'A) Base RI'!B72</f>
        <v>Sullens</v>
      </c>
      <c r="C72" s="10">
        <f>'A) Base RI'!C72+'A) Base RI'!D72</f>
        <v>2194812.87</v>
      </c>
      <c r="D72" s="10">
        <f>'A) Base RI'!AO72</f>
        <v>-4827.21</v>
      </c>
      <c r="E72" s="34">
        <f>'A) Base RI'!AP72</f>
        <v>0</v>
      </c>
      <c r="F72" s="34">
        <f>'A) Base RI'!AQ72</f>
        <v>-1069.06</v>
      </c>
      <c r="G72" s="2">
        <f t="shared" ref="G72:G135" si="6">SUM(C72:F72)</f>
        <v>2188916.6</v>
      </c>
      <c r="H72" s="10">
        <f>'A) Base RI'!E72</f>
        <v>0</v>
      </c>
      <c r="I72" s="10">
        <f>'A) Base RI'!F72</f>
        <v>0</v>
      </c>
      <c r="J72" s="10">
        <f>'A) Base RI'!G72+'A) Base RI'!H72</f>
        <v>35069.4</v>
      </c>
      <c r="K72" s="10">
        <f>'A) Base RI'!I72</f>
        <v>38474.65</v>
      </c>
      <c r="L72" s="10">
        <f>'A) Base RI'!J72</f>
        <v>49659.64</v>
      </c>
      <c r="M72" s="10">
        <f>'A) Base RI'!K72</f>
        <v>-3875</v>
      </c>
      <c r="N72" s="10">
        <f>'A) Base RI'!Q72</f>
        <v>6823.52</v>
      </c>
      <c r="O72" s="10">
        <f t="shared" ref="O72:O135" si="7">(P72/Q72)*1</f>
        <v>186566.7</v>
      </c>
      <c r="P72" s="10">
        <f>'A) Base RI'!L72</f>
        <v>186566.7</v>
      </c>
      <c r="Q72" s="37">
        <f>'A) Base RI'!AR72</f>
        <v>1</v>
      </c>
      <c r="R72" s="2">
        <f t="shared" ref="R72:R135" si="8">SUM(G72:O72)</f>
        <v>2501635.5100000002</v>
      </c>
      <c r="S72" s="36">
        <f>'A) Base RI'!AM72</f>
        <v>70</v>
      </c>
      <c r="T72" s="2">
        <f t="shared" ref="T72:T135" si="9">(G72+H72+J72+K72+L72+N72)</f>
        <v>2318943.81</v>
      </c>
      <c r="U72" s="2">
        <f t="shared" ref="U72:U135" si="10">R72/S72</f>
        <v>35737.650142857143</v>
      </c>
      <c r="V72" s="10">
        <f>'A) Base RI'!O72</f>
        <v>99446.8</v>
      </c>
      <c r="W72" s="10">
        <f>'A) Base RI'!P72</f>
        <v>187937.5</v>
      </c>
      <c r="X72" s="10">
        <f>'A) Base RI'!R72</f>
        <v>57275.95</v>
      </c>
      <c r="Y72" s="2">
        <f t="shared" ref="Y72:Y135" si="11">SUM(V72:X72)</f>
        <v>344660.25</v>
      </c>
      <c r="Z72" s="10">
        <f>'A) Base RI'!N72</f>
        <v>0</v>
      </c>
      <c r="AA72" s="10">
        <f>'A) Base RI'!S72+'A) Base RI'!T72</f>
        <v>0</v>
      </c>
      <c r="AB72" s="10">
        <f>+'A) Base RI'!U72</f>
        <v>2900</v>
      </c>
      <c r="AC72" s="10">
        <f>'A) Base RI'!V72</f>
        <v>0</v>
      </c>
      <c r="AD72" s="10">
        <f>+'A) Base RI'!W72</f>
        <v>0</v>
      </c>
      <c r="AE72" s="10">
        <f>'A) Base RI'!Y72</f>
        <v>30081.35</v>
      </c>
      <c r="AF72" s="10">
        <f>'A) Base RI'!Z72</f>
        <v>838.9</v>
      </c>
      <c r="AG72" s="10">
        <f>'A) Base RI'!AA72</f>
        <v>101059.2</v>
      </c>
      <c r="AH72" s="10">
        <f>'A) Base RI'!AB72</f>
        <v>0</v>
      </c>
      <c r="AI72" s="10">
        <f>'A) Base RI'!AC72</f>
        <v>109670.8</v>
      </c>
      <c r="AJ72" s="10">
        <f>'A) Base RI'!AD72</f>
        <v>37601.699999999997</v>
      </c>
      <c r="AK72" s="10">
        <f>'A) Base RI'!AE72</f>
        <v>1224.9000000000001</v>
      </c>
      <c r="AL72" s="10">
        <f>'A) Base RI'!AF72</f>
        <v>0</v>
      </c>
      <c r="AM72" s="10">
        <f>'A) Base RI'!AG72</f>
        <v>0</v>
      </c>
      <c r="AN72" s="10">
        <f>'A) Base RI'!AH72</f>
        <v>0</v>
      </c>
      <c r="AO72" s="10">
        <f>'A) Base RI'!AI72</f>
        <v>0</v>
      </c>
      <c r="AP72" s="10">
        <f>'A) Base RI'!AJ72</f>
        <v>0</v>
      </c>
      <c r="AQ72" s="10">
        <f>'A) Base RI'!AK72</f>
        <v>0</v>
      </c>
      <c r="AR72" s="10">
        <f>'A) Base RI'!AN72</f>
        <v>978</v>
      </c>
    </row>
    <row r="73" spans="1:44" x14ac:dyDescent="0.25">
      <c r="A73" s="8">
        <f>'A) Base RI'!A73</f>
        <v>5503</v>
      </c>
      <c r="B73" s="35" t="str">
        <f>'A) Base RI'!B73</f>
        <v>Vufflens-la-Ville</v>
      </c>
      <c r="C73" s="10">
        <f>'A) Base RI'!C73+'A) Base RI'!D73</f>
        <v>3421165.89</v>
      </c>
      <c r="D73" s="10">
        <f>'A) Base RI'!AO73</f>
        <v>-25518.639999999999</v>
      </c>
      <c r="E73" s="34">
        <f>'A) Base RI'!AP73</f>
        <v>0</v>
      </c>
      <c r="F73" s="34">
        <f>'A) Base RI'!AQ73</f>
        <v>-186.91</v>
      </c>
      <c r="G73" s="2">
        <f t="shared" si="6"/>
        <v>3395460.34</v>
      </c>
      <c r="H73" s="10">
        <f>'A) Base RI'!E73</f>
        <v>0</v>
      </c>
      <c r="I73" s="10">
        <f>'A) Base RI'!F73</f>
        <v>0</v>
      </c>
      <c r="J73" s="10">
        <f>'A) Base RI'!G73+'A) Base RI'!H73</f>
        <v>528516.65</v>
      </c>
      <c r="K73" s="10">
        <f>'A) Base RI'!I73</f>
        <v>0</v>
      </c>
      <c r="L73" s="10">
        <f>'A) Base RI'!J73</f>
        <v>89806.16</v>
      </c>
      <c r="M73" s="10">
        <f>'A) Base RI'!K73</f>
        <v>10842</v>
      </c>
      <c r="N73" s="10">
        <f>'A) Base RI'!Q73</f>
        <v>3633.85</v>
      </c>
      <c r="O73" s="10">
        <f t="shared" si="7"/>
        <v>321894.58333333337</v>
      </c>
      <c r="P73" s="10">
        <f>'A) Base RI'!L73</f>
        <v>386273.5</v>
      </c>
      <c r="Q73" s="37">
        <f>'A) Base RI'!AR73</f>
        <v>1.2</v>
      </c>
      <c r="R73" s="2">
        <f t="shared" si="8"/>
        <v>4350153.583333333</v>
      </c>
      <c r="S73" s="36">
        <f>'A) Base RI'!AM73</f>
        <v>67</v>
      </c>
      <c r="T73" s="2">
        <f t="shared" si="9"/>
        <v>4017417</v>
      </c>
      <c r="U73" s="2">
        <f t="shared" si="10"/>
        <v>64927.66542288557</v>
      </c>
      <c r="V73" s="10">
        <f>'A) Base RI'!O73</f>
        <v>11301.7</v>
      </c>
      <c r="W73" s="10">
        <f>'A) Base RI'!P73</f>
        <v>476178.2</v>
      </c>
      <c r="X73" s="10">
        <f>'A) Base RI'!R73</f>
        <v>77878.8</v>
      </c>
      <c r="Y73" s="2">
        <f t="shared" si="11"/>
        <v>565358.70000000007</v>
      </c>
      <c r="Z73" s="10">
        <f>'A) Base RI'!N73</f>
        <v>107223.5</v>
      </c>
      <c r="AA73" s="10">
        <f>'A) Base RI'!S73+'A) Base RI'!T73</f>
        <v>0</v>
      </c>
      <c r="AB73" s="10">
        <f>+'A) Base RI'!U73</f>
        <v>5040</v>
      </c>
      <c r="AC73" s="10">
        <f>'A) Base RI'!V73</f>
        <v>0</v>
      </c>
      <c r="AD73" s="10">
        <f>+'A) Base RI'!W73</f>
        <v>0</v>
      </c>
      <c r="AE73" s="10">
        <f>'A) Base RI'!Y73</f>
        <v>475265.6</v>
      </c>
      <c r="AF73" s="10">
        <f>'A) Base RI'!Z73</f>
        <v>0</v>
      </c>
      <c r="AG73" s="10">
        <f>'A) Base RI'!AA73</f>
        <v>166618.75</v>
      </c>
      <c r="AH73" s="10">
        <f>'A) Base RI'!AB73</f>
        <v>0</v>
      </c>
      <c r="AI73" s="10">
        <f>'A) Base RI'!AC73</f>
        <v>139557.75</v>
      </c>
      <c r="AJ73" s="10">
        <f>'A) Base RI'!AD73</f>
        <v>212653.15</v>
      </c>
      <c r="AK73" s="10">
        <f>'A) Base RI'!AE73</f>
        <v>0</v>
      </c>
      <c r="AL73" s="10">
        <f>'A) Base RI'!AF73</f>
        <v>0</v>
      </c>
      <c r="AM73" s="10">
        <f>'A) Base RI'!AG73</f>
        <v>0</v>
      </c>
      <c r="AN73" s="10">
        <f>'A) Base RI'!AH73</f>
        <v>0</v>
      </c>
      <c r="AO73" s="10">
        <f>'A) Base RI'!AI73</f>
        <v>0</v>
      </c>
      <c r="AP73" s="10">
        <f>'A) Base RI'!AJ73</f>
        <v>0</v>
      </c>
      <c r="AQ73" s="10">
        <f>'A) Base RI'!AK73</f>
        <v>0</v>
      </c>
      <c r="AR73" s="10">
        <f>'A) Base RI'!AN73</f>
        <v>1252</v>
      </c>
    </row>
    <row r="74" spans="1:44" x14ac:dyDescent="0.25">
      <c r="A74" s="8">
        <f>'A) Base RI'!A74</f>
        <v>5511</v>
      </c>
      <c r="B74" s="35" t="str">
        <f>'A) Base RI'!B74</f>
        <v>Assens</v>
      </c>
      <c r="C74" s="10">
        <f>'A) Base RI'!C74+'A) Base RI'!D74</f>
        <v>2357563.37</v>
      </c>
      <c r="D74" s="10">
        <f>'A) Base RI'!AO74</f>
        <v>-61950.69</v>
      </c>
      <c r="E74" s="34">
        <f>'A) Base RI'!AP74</f>
        <v>0</v>
      </c>
      <c r="F74" s="34">
        <f>'A) Base RI'!AQ74</f>
        <v>-5.25</v>
      </c>
      <c r="G74" s="2">
        <f t="shared" si="6"/>
        <v>2295607.4300000002</v>
      </c>
      <c r="H74" s="10">
        <f>'A) Base RI'!E74</f>
        <v>0</v>
      </c>
      <c r="I74" s="10">
        <f>'A) Base RI'!F74</f>
        <v>0</v>
      </c>
      <c r="J74" s="10">
        <f>'A) Base RI'!G74+'A) Base RI'!H74</f>
        <v>269592.15000000002</v>
      </c>
      <c r="K74" s="10">
        <f>'A) Base RI'!I74</f>
        <v>0</v>
      </c>
      <c r="L74" s="10">
        <f>'A) Base RI'!J74</f>
        <v>12612.06</v>
      </c>
      <c r="M74" s="10">
        <f>'A) Base RI'!K74</f>
        <v>569</v>
      </c>
      <c r="N74" s="10">
        <f>'A) Base RI'!Q74</f>
        <v>7207.96</v>
      </c>
      <c r="O74" s="10">
        <f t="shared" si="7"/>
        <v>213945.65</v>
      </c>
      <c r="P74" s="10">
        <f>'A) Base RI'!L74</f>
        <v>213945.65</v>
      </c>
      <c r="Q74" s="37">
        <f>'A) Base RI'!AR74</f>
        <v>1</v>
      </c>
      <c r="R74" s="2">
        <f t="shared" si="8"/>
        <v>2799534.25</v>
      </c>
      <c r="S74" s="36">
        <f>'A) Base RI'!AM74</f>
        <v>70</v>
      </c>
      <c r="T74" s="2">
        <f t="shared" si="9"/>
        <v>2585019.6</v>
      </c>
      <c r="U74" s="2">
        <f t="shared" si="10"/>
        <v>39993.346428571429</v>
      </c>
      <c r="V74" s="10">
        <f>'A) Base RI'!O74</f>
        <v>0</v>
      </c>
      <c r="W74" s="10">
        <f>'A) Base RI'!P74</f>
        <v>128803.65</v>
      </c>
      <c r="X74" s="10">
        <f>'A) Base RI'!R74</f>
        <v>57606.5</v>
      </c>
      <c r="Y74" s="2">
        <f t="shared" si="11"/>
        <v>186410.15</v>
      </c>
      <c r="Z74" s="10">
        <f>'A) Base RI'!N74</f>
        <v>9371</v>
      </c>
      <c r="AA74" s="10">
        <f>'A) Base RI'!S74+'A) Base RI'!T74</f>
        <v>0</v>
      </c>
      <c r="AB74" s="10">
        <f>+'A) Base RI'!U74</f>
        <v>10575</v>
      </c>
      <c r="AC74" s="10">
        <f>'A) Base RI'!V74</f>
        <v>0</v>
      </c>
      <c r="AD74" s="10">
        <f>+'A) Base RI'!W74</f>
        <v>5476.75</v>
      </c>
      <c r="AE74" s="10">
        <f>'A) Base RI'!Y74</f>
        <v>39263.4</v>
      </c>
      <c r="AF74" s="10">
        <f>'A) Base RI'!Z74</f>
        <v>0</v>
      </c>
      <c r="AG74" s="10">
        <f>'A) Base RI'!AA74</f>
        <v>256999.8</v>
      </c>
      <c r="AH74" s="10">
        <f>'A) Base RI'!AB74</f>
        <v>0</v>
      </c>
      <c r="AI74" s="10">
        <f>'A) Base RI'!AC74</f>
        <v>113562.1</v>
      </c>
      <c r="AJ74" s="10">
        <f>'A) Base RI'!AD74</f>
        <v>29274</v>
      </c>
      <c r="AK74" s="10">
        <f>'A) Base RI'!AE74</f>
        <v>0</v>
      </c>
      <c r="AL74" s="10">
        <f>'A) Base RI'!AF74</f>
        <v>0</v>
      </c>
      <c r="AM74" s="10">
        <f>'A) Base RI'!AG74</f>
        <v>0</v>
      </c>
      <c r="AN74" s="10">
        <f>'A) Base RI'!AH74</f>
        <v>27955.25</v>
      </c>
      <c r="AO74" s="10">
        <f>'A) Base RI'!AI74</f>
        <v>0</v>
      </c>
      <c r="AP74" s="10">
        <f>'A) Base RI'!AJ74</f>
        <v>0</v>
      </c>
      <c r="AQ74" s="10">
        <f>'A) Base RI'!AK74</f>
        <v>0</v>
      </c>
      <c r="AR74" s="10">
        <f>'A) Base RI'!AN74</f>
        <v>1060</v>
      </c>
    </row>
    <row r="75" spans="1:44" x14ac:dyDescent="0.25">
      <c r="A75" s="8">
        <f>'A) Base RI'!A75</f>
        <v>5512</v>
      </c>
      <c r="B75" s="35" t="str">
        <f>'A) Base RI'!B75</f>
        <v>Bercher</v>
      </c>
      <c r="C75" s="10">
        <f>'A) Base RI'!C75+'A) Base RI'!D75</f>
        <v>2452752.62</v>
      </c>
      <c r="D75" s="10">
        <f>'A) Base RI'!AO75</f>
        <v>-21499.08</v>
      </c>
      <c r="E75" s="34">
        <f>'A) Base RI'!AP75</f>
        <v>0</v>
      </c>
      <c r="F75" s="34">
        <f>'A) Base RI'!AQ75</f>
        <v>-83.79</v>
      </c>
      <c r="G75" s="2">
        <f t="shared" si="6"/>
        <v>2431169.75</v>
      </c>
      <c r="H75" s="10">
        <f>'A) Base RI'!E75</f>
        <v>0</v>
      </c>
      <c r="I75" s="10">
        <f>'A) Base RI'!F75</f>
        <v>0</v>
      </c>
      <c r="J75" s="10">
        <f>'A) Base RI'!G75+'A) Base RI'!H75</f>
        <v>43755.950000000004</v>
      </c>
      <c r="K75" s="10">
        <f>'A) Base RI'!I75</f>
        <v>0</v>
      </c>
      <c r="L75" s="10">
        <f>'A) Base RI'!J75</f>
        <v>58750.26</v>
      </c>
      <c r="M75" s="10">
        <f>'A) Base RI'!K75</f>
        <v>5598.5</v>
      </c>
      <c r="N75" s="10">
        <f>'A) Base RI'!Q75</f>
        <v>10067.56</v>
      </c>
      <c r="O75" s="10">
        <f t="shared" si="7"/>
        <v>223262.7</v>
      </c>
      <c r="P75" s="10">
        <f>'A) Base RI'!L75</f>
        <v>223262.7</v>
      </c>
      <c r="Q75" s="37">
        <f>'A) Base RI'!AR75</f>
        <v>1</v>
      </c>
      <c r="R75" s="2">
        <f t="shared" si="8"/>
        <v>2772604.72</v>
      </c>
      <c r="S75" s="36">
        <f>'A) Base RI'!AM75</f>
        <v>79</v>
      </c>
      <c r="T75" s="2">
        <f t="shared" si="9"/>
        <v>2543743.52</v>
      </c>
      <c r="U75" s="2">
        <f t="shared" si="10"/>
        <v>35096.262278481016</v>
      </c>
      <c r="V75" s="10">
        <f>'A) Base RI'!O75</f>
        <v>20738.3</v>
      </c>
      <c r="W75" s="10">
        <f>'A) Base RI'!P75</f>
        <v>183268.15</v>
      </c>
      <c r="X75" s="10">
        <f>'A) Base RI'!R75</f>
        <v>91335.85</v>
      </c>
      <c r="Y75" s="2">
        <f t="shared" si="11"/>
        <v>295342.3</v>
      </c>
      <c r="Z75" s="10">
        <f>'A) Base RI'!N75</f>
        <v>25548.9</v>
      </c>
      <c r="AA75" s="10">
        <f>'A) Base RI'!S75+'A) Base RI'!T75</f>
        <v>7622.2</v>
      </c>
      <c r="AB75" s="10">
        <f>+'A) Base RI'!U75</f>
        <v>8300</v>
      </c>
      <c r="AC75" s="10">
        <f>'A) Base RI'!V75</f>
        <v>0</v>
      </c>
      <c r="AD75" s="10">
        <f>+'A) Base RI'!W75</f>
        <v>0</v>
      </c>
      <c r="AE75" s="10">
        <f>'A) Base RI'!Y75</f>
        <v>0</v>
      </c>
      <c r="AF75" s="10">
        <f>'A) Base RI'!Z75</f>
        <v>0</v>
      </c>
      <c r="AG75" s="10">
        <f>'A) Base RI'!AA75</f>
        <v>249500.95</v>
      </c>
      <c r="AH75" s="10">
        <f>'A) Base RI'!AB75</f>
        <v>0</v>
      </c>
      <c r="AI75" s="10">
        <f>'A) Base RI'!AC75</f>
        <v>142412.29999999999</v>
      </c>
      <c r="AJ75" s="10">
        <f>'A) Base RI'!AD75</f>
        <v>0</v>
      </c>
      <c r="AK75" s="10">
        <f>'A) Base RI'!AE75</f>
        <v>0</v>
      </c>
      <c r="AL75" s="10">
        <f>'A) Base RI'!AF75</f>
        <v>0</v>
      </c>
      <c r="AM75" s="10">
        <f>'A) Base RI'!AG75</f>
        <v>0</v>
      </c>
      <c r="AN75" s="10">
        <f>'A) Base RI'!AH75</f>
        <v>0</v>
      </c>
      <c r="AO75" s="10">
        <f>'A) Base RI'!AI75</f>
        <v>0</v>
      </c>
      <c r="AP75" s="10">
        <f>'A) Base RI'!AJ75</f>
        <v>0</v>
      </c>
      <c r="AQ75" s="10">
        <f>'A) Base RI'!AK75</f>
        <v>0</v>
      </c>
      <c r="AR75" s="10">
        <f>'A) Base RI'!AN75</f>
        <v>1157</v>
      </c>
    </row>
    <row r="76" spans="1:44" x14ac:dyDescent="0.25">
      <c r="A76" s="8">
        <f>'A) Base RI'!A76</f>
        <v>5513</v>
      </c>
      <c r="B76" s="35" t="str">
        <f>'A) Base RI'!B76</f>
        <v>Bioley-Orjulaz</v>
      </c>
      <c r="C76" s="10">
        <f>'A) Base RI'!C76+'A) Base RI'!D76</f>
        <v>851190.59000000008</v>
      </c>
      <c r="D76" s="10">
        <f>'A) Base RI'!AO76</f>
        <v>-5338.94</v>
      </c>
      <c r="E76" s="34">
        <f>'A) Base RI'!AP76</f>
        <v>0</v>
      </c>
      <c r="F76" s="34">
        <f>'A) Base RI'!AQ76</f>
        <v>0</v>
      </c>
      <c r="G76" s="2">
        <f t="shared" si="6"/>
        <v>845851.65000000014</v>
      </c>
      <c r="H76" s="10">
        <f>'A) Base RI'!E76</f>
        <v>0</v>
      </c>
      <c r="I76" s="10">
        <f>'A) Base RI'!F76</f>
        <v>0</v>
      </c>
      <c r="J76" s="10">
        <f>'A) Base RI'!G76+'A) Base RI'!H76</f>
        <v>472625.7</v>
      </c>
      <c r="K76" s="10">
        <f>'A) Base RI'!I76</f>
        <v>0</v>
      </c>
      <c r="L76" s="10">
        <f>'A) Base RI'!J76</f>
        <v>60469.2</v>
      </c>
      <c r="M76" s="10">
        <f>'A) Base RI'!K76</f>
        <v>1774.5</v>
      </c>
      <c r="N76" s="10">
        <f>'A) Base RI'!Q76</f>
        <v>0</v>
      </c>
      <c r="O76" s="10">
        <f t="shared" si="7"/>
        <v>100400</v>
      </c>
      <c r="P76" s="10">
        <f>'A) Base RI'!L76</f>
        <v>50200</v>
      </c>
      <c r="Q76" s="37">
        <f>'A) Base RI'!AR76</f>
        <v>0.5</v>
      </c>
      <c r="R76" s="2">
        <f t="shared" si="8"/>
        <v>1481121.05</v>
      </c>
      <c r="S76" s="36">
        <f>'A) Base RI'!AM76</f>
        <v>66</v>
      </c>
      <c r="T76" s="2">
        <f t="shared" si="9"/>
        <v>1378946.55</v>
      </c>
      <c r="U76" s="2">
        <f t="shared" si="10"/>
        <v>22441.228030303031</v>
      </c>
      <c r="V76" s="10">
        <f>'A) Base RI'!O76</f>
        <v>215</v>
      </c>
      <c r="W76" s="10">
        <f>'A) Base RI'!P76</f>
        <v>27726.35</v>
      </c>
      <c r="X76" s="10">
        <f>'A) Base RI'!R76</f>
        <v>12240.55</v>
      </c>
      <c r="Y76" s="2">
        <f t="shared" si="11"/>
        <v>40181.899999999994</v>
      </c>
      <c r="Z76" s="10">
        <f>'A) Base RI'!N76</f>
        <v>94517.85</v>
      </c>
      <c r="AA76" s="10">
        <f>'A) Base RI'!S76+'A) Base RI'!T76</f>
        <v>728</v>
      </c>
      <c r="AB76" s="10">
        <f>+'A) Base RI'!U76</f>
        <v>4702.5</v>
      </c>
      <c r="AC76" s="10">
        <f>'A) Base RI'!V76</f>
        <v>0</v>
      </c>
      <c r="AD76" s="10">
        <f>+'A) Base RI'!W76</f>
        <v>0</v>
      </c>
      <c r="AE76" s="10">
        <f>'A) Base RI'!Y76</f>
        <v>9095</v>
      </c>
      <c r="AF76" s="10">
        <f>'A) Base RI'!Z76</f>
        <v>0</v>
      </c>
      <c r="AG76" s="10">
        <f>'A) Base RI'!AA76</f>
        <v>69935</v>
      </c>
      <c r="AH76" s="10">
        <f>'A) Base RI'!AB76</f>
        <v>0</v>
      </c>
      <c r="AI76" s="10">
        <f>'A) Base RI'!AC76</f>
        <v>34947.599999999999</v>
      </c>
      <c r="AJ76" s="10">
        <f>'A) Base RI'!AD76</f>
        <v>7525</v>
      </c>
      <c r="AK76" s="10">
        <f>'A) Base RI'!AE76</f>
        <v>0</v>
      </c>
      <c r="AL76" s="10">
        <f>'A) Base RI'!AF76</f>
        <v>0</v>
      </c>
      <c r="AM76" s="10">
        <f>'A) Base RI'!AG76</f>
        <v>0</v>
      </c>
      <c r="AN76" s="10">
        <f>'A) Base RI'!AH76</f>
        <v>0</v>
      </c>
      <c r="AO76" s="10">
        <f>'A) Base RI'!AI76</f>
        <v>0</v>
      </c>
      <c r="AP76" s="10">
        <f>'A) Base RI'!AJ76</f>
        <v>0</v>
      </c>
      <c r="AQ76" s="10">
        <f>'A) Base RI'!AK76</f>
        <v>0</v>
      </c>
      <c r="AR76" s="10">
        <f>'A) Base RI'!AN76</f>
        <v>483</v>
      </c>
    </row>
    <row r="77" spans="1:44" x14ac:dyDescent="0.25">
      <c r="A77" s="8">
        <f>'A) Base RI'!A77</f>
        <v>5514</v>
      </c>
      <c r="B77" s="35" t="str">
        <f>'A) Base RI'!B77</f>
        <v>Bottens</v>
      </c>
      <c r="C77" s="10">
        <f>'A) Base RI'!C77+'A) Base RI'!D77</f>
        <v>2487318.1</v>
      </c>
      <c r="D77" s="10">
        <f>'A) Base RI'!AO77</f>
        <v>-53341.760000000002</v>
      </c>
      <c r="E77" s="34">
        <f>'A) Base RI'!AP77</f>
        <v>0</v>
      </c>
      <c r="F77" s="34">
        <f>'A) Base RI'!AQ77</f>
        <v>-25.52</v>
      </c>
      <c r="G77" s="2">
        <f t="shared" si="6"/>
        <v>2433950.8200000003</v>
      </c>
      <c r="H77" s="10">
        <f>'A) Base RI'!E77</f>
        <v>0</v>
      </c>
      <c r="I77" s="10">
        <f>'A) Base RI'!F77</f>
        <v>0</v>
      </c>
      <c r="J77" s="10">
        <f>'A) Base RI'!G77+'A) Base RI'!H77</f>
        <v>39505.75</v>
      </c>
      <c r="K77" s="10">
        <f>'A) Base RI'!I77</f>
        <v>34926.15</v>
      </c>
      <c r="L77" s="10">
        <f>'A) Base RI'!J77</f>
        <v>64315.16</v>
      </c>
      <c r="M77" s="10">
        <f>'A) Base RI'!K77</f>
        <v>6085</v>
      </c>
      <c r="N77" s="10">
        <f>'A) Base RI'!Q77</f>
        <v>9375.27</v>
      </c>
      <c r="O77" s="10">
        <f t="shared" si="7"/>
        <v>211858.05</v>
      </c>
      <c r="P77" s="10">
        <f>'A) Base RI'!L77</f>
        <v>211858.05</v>
      </c>
      <c r="Q77" s="37">
        <f>'A) Base RI'!AR77</f>
        <v>1</v>
      </c>
      <c r="R77" s="2">
        <f t="shared" si="8"/>
        <v>2800016.2</v>
      </c>
      <c r="S77" s="36">
        <f>'A) Base RI'!AM77</f>
        <v>69</v>
      </c>
      <c r="T77" s="2">
        <f t="shared" si="9"/>
        <v>2582073.1500000004</v>
      </c>
      <c r="U77" s="2">
        <f t="shared" si="10"/>
        <v>40579.944927536235</v>
      </c>
      <c r="V77" s="10">
        <f>'A) Base RI'!O77</f>
        <v>150776.20000000001</v>
      </c>
      <c r="W77" s="10">
        <f>'A) Base RI'!P77</f>
        <v>59343.1</v>
      </c>
      <c r="X77" s="10">
        <f>'A) Base RI'!R77</f>
        <v>43356</v>
      </c>
      <c r="Y77" s="2">
        <f t="shared" si="11"/>
        <v>253475.30000000002</v>
      </c>
      <c r="Z77" s="10">
        <f>'A) Base RI'!N77</f>
        <v>10495.45</v>
      </c>
      <c r="AA77" s="10">
        <f>'A) Base RI'!S77+'A) Base RI'!T77</f>
        <v>0</v>
      </c>
      <c r="AB77" s="10">
        <f>+'A) Base RI'!U77</f>
        <v>8160</v>
      </c>
      <c r="AC77" s="10">
        <f>'A) Base RI'!V77</f>
        <v>0</v>
      </c>
      <c r="AD77" s="10">
        <f>+'A) Base RI'!W77</f>
        <v>0</v>
      </c>
      <c r="AE77" s="10">
        <f>'A) Base RI'!Y77</f>
        <v>108204</v>
      </c>
      <c r="AF77" s="10">
        <f>'A) Base RI'!Z77</f>
        <v>0</v>
      </c>
      <c r="AG77" s="10">
        <f>'A) Base RI'!AA77</f>
        <v>306172.90000000002</v>
      </c>
      <c r="AH77" s="10">
        <f>'A) Base RI'!AB77</f>
        <v>0</v>
      </c>
      <c r="AI77" s="10">
        <f>'A) Base RI'!AC77</f>
        <v>91382.3</v>
      </c>
      <c r="AJ77" s="10">
        <f>'A) Base RI'!AD77</f>
        <v>68172.149999999994</v>
      </c>
      <c r="AK77" s="10">
        <f>'A) Base RI'!AE77</f>
        <v>0</v>
      </c>
      <c r="AL77" s="10">
        <f>'A) Base RI'!AF77</f>
        <v>0</v>
      </c>
      <c r="AM77" s="10">
        <f>'A) Base RI'!AG77</f>
        <v>0</v>
      </c>
      <c r="AN77" s="10">
        <f>'A) Base RI'!AH77</f>
        <v>22736.2</v>
      </c>
      <c r="AO77" s="10">
        <f>'A) Base RI'!AI77</f>
        <v>0</v>
      </c>
      <c r="AP77" s="10">
        <f>'A) Base RI'!AJ77</f>
        <v>0</v>
      </c>
      <c r="AQ77" s="10">
        <f>'A) Base RI'!AK77</f>
        <v>0</v>
      </c>
      <c r="AR77" s="10">
        <f>'A) Base RI'!AN77</f>
        <v>1240</v>
      </c>
    </row>
    <row r="78" spans="1:44" x14ac:dyDescent="0.25">
      <c r="A78" s="8">
        <f>'A) Base RI'!A78</f>
        <v>5515</v>
      </c>
      <c r="B78" s="35" t="str">
        <f>'A) Base RI'!B78</f>
        <v>Bretigny-sur-Morrens</v>
      </c>
      <c r="C78" s="10">
        <f>'A) Base RI'!C78+'A) Base RI'!D78</f>
        <v>1657588.48</v>
      </c>
      <c r="D78" s="10">
        <f>'A) Base RI'!AO78</f>
        <v>6822.25</v>
      </c>
      <c r="E78" s="34">
        <f>'A) Base RI'!AP78</f>
        <v>0</v>
      </c>
      <c r="F78" s="34">
        <f>'A) Base RI'!AQ78</f>
        <v>-12.6</v>
      </c>
      <c r="G78" s="2">
        <f t="shared" si="6"/>
        <v>1664398.13</v>
      </c>
      <c r="H78" s="10">
        <f>'A) Base RI'!E78</f>
        <v>0</v>
      </c>
      <c r="I78" s="10">
        <f>'A) Base RI'!F78</f>
        <v>0</v>
      </c>
      <c r="J78" s="10">
        <f>'A) Base RI'!G78+'A) Base RI'!H78</f>
        <v>4493.5</v>
      </c>
      <c r="K78" s="10">
        <f>'A) Base RI'!I78</f>
        <v>0</v>
      </c>
      <c r="L78" s="10">
        <f>'A) Base RI'!J78</f>
        <v>38943.040000000001</v>
      </c>
      <c r="M78" s="10">
        <f>'A) Base RI'!K78</f>
        <v>3345</v>
      </c>
      <c r="N78" s="10">
        <f>'A) Base RI'!Q78</f>
        <v>24818.05</v>
      </c>
      <c r="O78" s="10">
        <f t="shared" si="7"/>
        <v>136815.85</v>
      </c>
      <c r="P78" s="10">
        <f>'A) Base RI'!L78</f>
        <v>136815.85</v>
      </c>
      <c r="Q78" s="37">
        <f>'A) Base RI'!AR78</f>
        <v>1</v>
      </c>
      <c r="R78" s="2">
        <f t="shared" si="8"/>
        <v>1872813.57</v>
      </c>
      <c r="S78" s="36">
        <f>'A) Base RI'!AM78</f>
        <v>73</v>
      </c>
      <c r="T78" s="2">
        <f t="shared" si="9"/>
        <v>1732652.72</v>
      </c>
      <c r="U78" s="2">
        <f t="shared" si="10"/>
        <v>25654.980410958906</v>
      </c>
      <c r="V78" s="10">
        <f>'A) Base RI'!O78</f>
        <v>0</v>
      </c>
      <c r="W78" s="10">
        <f>'A) Base RI'!P78</f>
        <v>42300.45</v>
      </c>
      <c r="X78" s="10">
        <f>'A) Base RI'!R78</f>
        <v>31343.599999999999</v>
      </c>
      <c r="Y78" s="2">
        <f t="shared" si="11"/>
        <v>73644.049999999988</v>
      </c>
      <c r="Z78" s="10">
        <f>'A) Base RI'!N78</f>
        <v>15317</v>
      </c>
      <c r="AA78" s="10">
        <f>'A) Base RI'!S78+'A) Base RI'!T78</f>
        <v>0</v>
      </c>
      <c r="AB78" s="10">
        <f>+'A) Base RI'!U78</f>
        <v>5985</v>
      </c>
      <c r="AC78" s="10">
        <f>'A) Base RI'!V78</f>
        <v>0</v>
      </c>
      <c r="AD78" s="10">
        <f>+'A) Base RI'!W78</f>
        <v>0</v>
      </c>
      <c r="AE78" s="10">
        <f>'A) Base RI'!Y78</f>
        <v>26071.200000000001</v>
      </c>
      <c r="AF78" s="10">
        <f>'A) Base RI'!Z78</f>
        <v>0</v>
      </c>
      <c r="AG78" s="10">
        <f>'A) Base RI'!AA78</f>
        <v>203847.15</v>
      </c>
      <c r="AH78" s="10">
        <f>'A) Base RI'!AB78</f>
        <v>0</v>
      </c>
      <c r="AI78" s="10">
        <f>'A) Base RI'!AC78</f>
        <v>75470</v>
      </c>
      <c r="AJ78" s="10">
        <f>'A) Base RI'!AD78</f>
        <v>9643.7000000000007</v>
      </c>
      <c r="AK78" s="10">
        <f>'A) Base RI'!AE78</f>
        <v>0</v>
      </c>
      <c r="AL78" s="10">
        <f>'A) Base RI'!AF78</f>
        <v>0</v>
      </c>
      <c r="AM78" s="10">
        <f>'A) Base RI'!AG78</f>
        <v>0</v>
      </c>
      <c r="AN78" s="10">
        <f>'A) Base RI'!AH78</f>
        <v>0</v>
      </c>
      <c r="AO78" s="10">
        <f>'A) Base RI'!AI78</f>
        <v>0</v>
      </c>
      <c r="AP78" s="10">
        <f>'A) Base RI'!AJ78</f>
        <v>0</v>
      </c>
      <c r="AQ78" s="10">
        <f>'A) Base RI'!AK78</f>
        <v>0</v>
      </c>
      <c r="AR78" s="10">
        <f>'A) Base RI'!AN78</f>
        <v>817</v>
      </c>
    </row>
    <row r="79" spans="1:44" x14ac:dyDescent="0.25">
      <c r="A79" s="8">
        <f>'A) Base RI'!A79</f>
        <v>5516</v>
      </c>
      <c r="B79" s="35" t="str">
        <f>'A) Base RI'!B79</f>
        <v>Cugy</v>
      </c>
      <c r="C79" s="10">
        <f>'A) Base RI'!C79+'A) Base RI'!D79</f>
        <v>6567408.8499999996</v>
      </c>
      <c r="D79" s="10">
        <f>'A) Base RI'!AO79</f>
        <v>-108603.75</v>
      </c>
      <c r="E79" s="34">
        <f>'A) Base RI'!AP79</f>
        <v>0</v>
      </c>
      <c r="F79" s="34">
        <f>'A) Base RI'!AQ79</f>
        <v>-721.21</v>
      </c>
      <c r="G79" s="2">
        <f t="shared" si="6"/>
        <v>6458083.8899999997</v>
      </c>
      <c r="H79" s="10">
        <f>'A) Base RI'!E79</f>
        <v>0</v>
      </c>
      <c r="I79" s="10">
        <f>'A) Base RI'!F79</f>
        <v>0</v>
      </c>
      <c r="J79" s="10">
        <f>'A) Base RI'!G79+'A) Base RI'!H79</f>
        <v>293626.55000000005</v>
      </c>
      <c r="K79" s="10">
        <f>'A) Base RI'!I79</f>
        <v>1540.1</v>
      </c>
      <c r="L79" s="10">
        <f>'A) Base RI'!J79</f>
        <v>178023.52</v>
      </c>
      <c r="M79" s="10">
        <f>'A) Base RI'!K79</f>
        <v>33138.5</v>
      </c>
      <c r="N79" s="10">
        <f>'A) Base RI'!Q79</f>
        <v>23570.18</v>
      </c>
      <c r="O79" s="10">
        <f t="shared" si="7"/>
        <v>551896.1</v>
      </c>
      <c r="P79" s="10">
        <f>'A) Base RI'!L79</f>
        <v>551896.1</v>
      </c>
      <c r="Q79" s="37">
        <f>'A) Base RI'!AR79</f>
        <v>1</v>
      </c>
      <c r="R79" s="2">
        <f t="shared" si="8"/>
        <v>7539878.839999998</v>
      </c>
      <c r="S79" s="36">
        <f>'A) Base RI'!AM79</f>
        <v>70</v>
      </c>
      <c r="T79" s="2">
        <f t="shared" si="9"/>
        <v>6954844.2399999984</v>
      </c>
      <c r="U79" s="2">
        <f t="shared" si="10"/>
        <v>107712.55485714282</v>
      </c>
      <c r="V79" s="10">
        <f>'A) Base RI'!O79</f>
        <v>94177.600000000006</v>
      </c>
      <c r="W79" s="10">
        <f>'A) Base RI'!P79</f>
        <v>169255.7</v>
      </c>
      <c r="X79" s="10">
        <f>'A) Base RI'!R79</f>
        <v>145908.85</v>
      </c>
      <c r="Y79" s="2">
        <f t="shared" si="11"/>
        <v>409342.15</v>
      </c>
      <c r="Z79" s="10">
        <f>'A) Base RI'!N79</f>
        <v>113660.65</v>
      </c>
      <c r="AA79" s="10">
        <f>'A) Base RI'!S79+'A) Base RI'!T79</f>
        <v>0</v>
      </c>
      <c r="AB79" s="10">
        <f>+'A) Base RI'!U79</f>
        <v>14250</v>
      </c>
      <c r="AC79" s="10">
        <f>'A) Base RI'!V79</f>
        <v>0</v>
      </c>
      <c r="AD79" s="10">
        <f>+'A) Base RI'!W79</f>
        <v>12023.7</v>
      </c>
      <c r="AE79" s="10">
        <f>'A) Base RI'!Y79</f>
        <v>-6707</v>
      </c>
      <c r="AF79" s="10">
        <f>'A) Base RI'!Z79</f>
        <v>0</v>
      </c>
      <c r="AG79" s="10">
        <f>'A) Base RI'!AA79</f>
        <v>478606.9</v>
      </c>
      <c r="AH79" s="10">
        <f>'A) Base RI'!AB79</f>
        <v>0</v>
      </c>
      <c r="AI79" s="10">
        <f>'A) Base RI'!AC79</f>
        <v>264107.7</v>
      </c>
      <c r="AJ79" s="10">
        <f>'A) Base RI'!AD79</f>
        <v>-7433.05</v>
      </c>
      <c r="AK79" s="10">
        <f>'A) Base RI'!AE79</f>
        <v>0</v>
      </c>
      <c r="AL79" s="10">
        <f>'A) Base RI'!AF79</f>
        <v>0</v>
      </c>
      <c r="AM79" s="10">
        <f>'A) Base RI'!AG79</f>
        <v>0</v>
      </c>
      <c r="AN79" s="10">
        <f>'A) Base RI'!AH79</f>
        <v>68668.2</v>
      </c>
      <c r="AO79" s="10">
        <f>'A) Base RI'!AI79</f>
        <v>0</v>
      </c>
      <c r="AP79" s="10">
        <f>'A) Base RI'!AJ79</f>
        <v>0</v>
      </c>
      <c r="AQ79" s="10">
        <f>'A) Base RI'!AK79</f>
        <v>0</v>
      </c>
      <c r="AR79" s="10">
        <f>'A) Base RI'!AN79</f>
        <v>2739</v>
      </c>
    </row>
    <row r="80" spans="1:44" x14ac:dyDescent="0.25">
      <c r="A80" s="8">
        <f>'A) Base RI'!A80</f>
        <v>5518</v>
      </c>
      <c r="B80" s="35" t="str">
        <f>'A) Base RI'!B80</f>
        <v>Echallens</v>
      </c>
      <c r="C80" s="10">
        <f>'A) Base RI'!C80+'A) Base RI'!D80</f>
        <v>11252562.460000001</v>
      </c>
      <c r="D80" s="10">
        <f>'A) Base RI'!AO80</f>
        <v>-193545.49</v>
      </c>
      <c r="E80" s="34">
        <f>'A) Base RI'!AP80</f>
        <v>0</v>
      </c>
      <c r="F80" s="34">
        <f>'A) Base RI'!AQ80</f>
        <v>-896.59</v>
      </c>
      <c r="G80" s="2">
        <f t="shared" si="6"/>
        <v>11058120.380000001</v>
      </c>
      <c r="H80" s="10">
        <f>'A) Base RI'!E80</f>
        <v>0</v>
      </c>
      <c r="I80" s="10">
        <f>'A) Base RI'!F80</f>
        <v>0</v>
      </c>
      <c r="J80" s="10">
        <f>'A) Base RI'!G80+'A) Base RI'!H80</f>
        <v>1545256.5</v>
      </c>
      <c r="K80" s="10">
        <f>'A) Base RI'!I80</f>
        <v>0</v>
      </c>
      <c r="L80" s="10">
        <f>'A) Base RI'!J80</f>
        <v>234820.72</v>
      </c>
      <c r="M80" s="10">
        <f>'A) Base RI'!K80</f>
        <v>44147</v>
      </c>
      <c r="N80" s="10">
        <f>'A) Base RI'!Q80</f>
        <v>36283.64</v>
      </c>
      <c r="O80" s="10">
        <f t="shared" si="7"/>
        <v>939163.3</v>
      </c>
      <c r="P80" s="10">
        <f>'A) Base RI'!L80</f>
        <v>939163.3</v>
      </c>
      <c r="Q80" s="37">
        <f>'A) Base RI'!AR80</f>
        <v>1</v>
      </c>
      <c r="R80" s="2">
        <f t="shared" si="8"/>
        <v>13857791.540000003</v>
      </c>
      <c r="S80" s="36">
        <f>'A) Base RI'!AM80</f>
        <v>74</v>
      </c>
      <c r="T80" s="2">
        <f t="shared" si="9"/>
        <v>12874481.240000002</v>
      </c>
      <c r="U80" s="2">
        <f t="shared" si="10"/>
        <v>187267.45324324328</v>
      </c>
      <c r="V80" s="10">
        <f>'A) Base RI'!O80</f>
        <v>129287.5</v>
      </c>
      <c r="W80" s="10">
        <f>'A) Base RI'!P80</f>
        <v>409741.25</v>
      </c>
      <c r="X80" s="10">
        <f>'A) Base RI'!R80</f>
        <v>734487.1</v>
      </c>
      <c r="Y80" s="2">
        <f t="shared" si="11"/>
        <v>1273515.8500000001</v>
      </c>
      <c r="Z80" s="10">
        <f>'A) Base RI'!N80</f>
        <v>194399.35</v>
      </c>
      <c r="AA80" s="10">
        <f>'A) Base RI'!S80+'A) Base RI'!T80</f>
        <v>32035.55</v>
      </c>
      <c r="AB80" s="10">
        <f>+'A) Base RI'!U80</f>
        <v>19145</v>
      </c>
      <c r="AC80" s="10">
        <f>'A) Base RI'!V80</f>
        <v>0</v>
      </c>
      <c r="AD80" s="10">
        <f>+'A) Base RI'!W80</f>
        <v>1575.75</v>
      </c>
      <c r="AE80" s="10">
        <f>'A) Base RI'!Y80</f>
        <v>80330.55</v>
      </c>
      <c r="AF80" s="10">
        <f>'A) Base RI'!Z80</f>
        <v>0</v>
      </c>
      <c r="AG80" s="10">
        <f>'A) Base RI'!AA80</f>
        <v>962519.75</v>
      </c>
      <c r="AH80" s="10">
        <f>'A) Base RI'!AB80</f>
        <v>0</v>
      </c>
      <c r="AI80" s="10">
        <f>'A) Base RI'!AC80</f>
        <v>332380.99</v>
      </c>
      <c r="AJ80" s="10">
        <f>'A) Base RI'!AD80</f>
        <v>41129.4</v>
      </c>
      <c r="AK80" s="10">
        <f>'A) Base RI'!AE80</f>
        <v>0</v>
      </c>
      <c r="AL80" s="10">
        <f>'A) Base RI'!AF80</f>
        <v>0</v>
      </c>
      <c r="AM80" s="10">
        <f>'A) Base RI'!AG80</f>
        <v>0</v>
      </c>
      <c r="AN80" s="10">
        <f>'A) Base RI'!AH80</f>
        <v>0</v>
      </c>
      <c r="AO80" s="10">
        <f>'A) Base RI'!AI80</f>
        <v>0</v>
      </c>
      <c r="AP80" s="10">
        <f>'A) Base RI'!AJ80</f>
        <v>0</v>
      </c>
      <c r="AQ80" s="10">
        <f>'A) Base RI'!AK80</f>
        <v>0</v>
      </c>
      <c r="AR80" s="10">
        <f>'A) Base RI'!AN80</f>
        <v>5677</v>
      </c>
    </row>
    <row r="81" spans="1:44" x14ac:dyDescent="0.25">
      <c r="A81" s="8">
        <f>'A) Base RI'!A81</f>
        <v>5520</v>
      </c>
      <c r="B81" s="35" t="str">
        <f>'A) Base RI'!B81</f>
        <v>Essertines-sur-Yverdon</v>
      </c>
      <c r="C81" s="10">
        <f>'A) Base RI'!C81+'A) Base RI'!D81</f>
        <v>1863518.95</v>
      </c>
      <c r="D81" s="10">
        <f>'A) Base RI'!AO81</f>
        <v>-13371.97</v>
      </c>
      <c r="E81" s="34">
        <f>'A) Base RI'!AP81</f>
        <v>0</v>
      </c>
      <c r="F81" s="34">
        <f>'A) Base RI'!AQ81</f>
        <v>-48.88</v>
      </c>
      <c r="G81" s="2">
        <f t="shared" si="6"/>
        <v>1850098.1</v>
      </c>
      <c r="H81" s="10">
        <f>'A) Base RI'!E81</f>
        <v>0</v>
      </c>
      <c r="I81" s="10">
        <f>'A) Base RI'!F81</f>
        <v>0</v>
      </c>
      <c r="J81" s="10">
        <f>'A) Base RI'!G81+'A) Base RI'!H81</f>
        <v>23551.850000000002</v>
      </c>
      <c r="K81" s="10">
        <f>'A) Base RI'!I81</f>
        <v>0</v>
      </c>
      <c r="L81" s="10">
        <f>'A) Base RI'!J81</f>
        <v>10280.15</v>
      </c>
      <c r="M81" s="10">
        <f>'A) Base RI'!K81</f>
        <v>1478</v>
      </c>
      <c r="N81" s="10">
        <f>'A) Base RI'!Q81</f>
        <v>586.45000000000005</v>
      </c>
      <c r="O81" s="10">
        <f t="shared" si="7"/>
        <v>165049.70000000001</v>
      </c>
      <c r="P81" s="10">
        <f>'A) Base RI'!L81</f>
        <v>165049.70000000001</v>
      </c>
      <c r="Q81" s="37">
        <f>'A) Base RI'!AR81</f>
        <v>1</v>
      </c>
      <c r="R81" s="2">
        <f t="shared" si="8"/>
        <v>2051044.25</v>
      </c>
      <c r="S81" s="36">
        <f>'A) Base RI'!AM81</f>
        <v>73</v>
      </c>
      <c r="T81" s="2">
        <f t="shared" si="9"/>
        <v>1884516.55</v>
      </c>
      <c r="U81" s="2">
        <f t="shared" si="10"/>
        <v>28096.496575342466</v>
      </c>
      <c r="V81" s="10">
        <f>'A) Base RI'!O81</f>
        <v>28356.799999999999</v>
      </c>
      <c r="W81" s="10">
        <f>'A) Base RI'!P81</f>
        <v>60306.400000000001</v>
      </c>
      <c r="X81" s="10">
        <f>'A) Base RI'!R81</f>
        <v>26758.9</v>
      </c>
      <c r="Y81" s="2">
        <f t="shared" si="11"/>
        <v>115422.1</v>
      </c>
      <c r="Z81" s="10">
        <f>'A) Base RI'!N81</f>
        <v>9444.85</v>
      </c>
      <c r="AA81" s="10">
        <f>'A) Base RI'!S81+'A) Base RI'!T81</f>
        <v>827.65</v>
      </c>
      <c r="AB81" s="10">
        <f>+'A) Base RI'!U81</f>
        <v>7900</v>
      </c>
      <c r="AC81" s="10">
        <f>'A) Base RI'!V81</f>
        <v>0</v>
      </c>
      <c r="AD81" s="10">
        <f>+'A) Base RI'!W81</f>
        <v>0</v>
      </c>
      <c r="AE81" s="10">
        <f>'A) Base RI'!Y81</f>
        <v>9055.5</v>
      </c>
      <c r="AF81" s="10">
        <f>'A) Base RI'!Z81</f>
        <v>61618.9</v>
      </c>
      <c r="AG81" s="10">
        <f>'A) Base RI'!AA81</f>
        <v>89438.95</v>
      </c>
      <c r="AH81" s="10">
        <f>'A) Base RI'!AB81</f>
        <v>0</v>
      </c>
      <c r="AI81" s="10">
        <f>'A) Base RI'!AC81</f>
        <v>54906.8</v>
      </c>
      <c r="AJ81" s="10">
        <f>'A) Base RI'!AD81</f>
        <v>6790.25</v>
      </c>
      <c r="AK81" s="10">
        <f>'A) Base RI'!AE81</f>
        <v>29603.85</v>
      </c>
      <c r="AL81" s="10">
        <f>'A) Base RI'!AF81</f>
        <v>0</v>
      </c>
      <c r="AM81" s="10">
        <f>'A) Base RI'!AG81</f>
        <v>0</v>
      </c>
      <c r="AN81" s="10">
        <f>'A) Base RI'!AH81</f>
        <v>0</v>
      </c>
      <c r="AO81" s="10">
        <f>'A) Base RI'!AI81</f>
        <v>0</v>
      </c>
      <c r="AP81" s="10">
        <f>'A) Base RI'!AJ81</f>
        <v>0</v>
      </c>
      <c r="AQ81" s="10">
        <f>'A) Base RI'!AK81</f>
        <v>0</v>
      </c>
      <c r="AR81" s="10">
        <f>'A) Base RI'!AN81</f>
        <v>943</v>
      </c>
    </row>
    <row r="82" spans="1:44" x14ac:dyDescent="0.25">
      <c r="A82" s="8">
        <f>'A) Base RI'!A82</f>
        <v>5521</v>
      </c>
      <c r="B82" s="35" t="str">
        <f>'A) Base RI'!B82</f>
        <v>Etagnières</v>
      </c>
      <c r="C82" s="10">
        <f>'A) Base RI'!C82+'A) Base RI'!D82</f>
        <v>2578307.7199999997</v>
      </c>
      <c r="D82" s="10">
        <f>'A) Base RI'!AO82</f>
        <v>-14561.6</v>
      </c>
      <c r="E82" s="34">
        <f>'A) Base RI'!AP82</f>
        <v>0</v>
      </c>
      <c r="F82" s="34">
        <f>'A) Base RI'!AQ82</f>
        <v>-10.18</v>
      </c>
      <c r="G82" s="2">
        <f t="shared" si="6"/>
        <v>2563735.9399999995</v>
      </c>
      <c r="H82" s="10">
        <f>'A) Base RI'!E82</f>
        <v>0</v>
      </c>
      <c r="I82" s="10">
        <f>'A) Base RI'!F82</f>
        <v>0</v>
      </c>
      <c r="J82" s="10">
        <f>'A) Base RI'!G82+'A) Base RI'!H82</f>
        <v>91284.2</v>
      </c>
      <c r="K82" s="10">
        <f>'A) Base RI'!I82</f>
        <v>0</v>
      </c>
      <c r="L82" s="10">
        <f>'A) Base RI'!J82</f>
        <v>65837.91</v>
      </c>
      <c r="M82" s="10">
        <f>'A) Base RI'!K82</f>
        <v>10615</v>
      </c>
      <c r="N82" s="10">
        <f>'A) Base RI'!Q82</f>
        <v>6813.5</v>
      </c>
      <c r="O82" s="10">
        <f t="shared" si="7"/>
        <v>229750.9</v>
      </c>
      <c r="P82" s="10">
        <f>'A) Base RI'!L82</f>
        <v>229750.9</v>
      </c>
      <c r="Q82" s="37">
        <f>'A) Base RI'!AR82</f>
        <v>1</v>
      </c>
      <c r="R82" s="2">
        <f t="shared" si="8"/>
        <v>2968037.4499999997</v>
      </c>
      <c r="S82" s="36">
        <f>'A) Base RI'!AM82</f>
        <v>73</v>
      </c>
      <c r="T82" s="2">
        <f t="shared" si="9"/>
        <v>2727671.55</v>
      </c>
      <c r="U82" s="2">
        <f t="shared" si="10"/>
        <v>40658.047260273968</v>
      </c>
      <c r="V82" s="10">
        <f>'A) Base RI'!O82</f>
        <v>0</v>
      </c>
      <c r="W82" s="10">
        <f>'A) Base RI'!P82</f>
        <v>51128</v>
      </c>
      <c r="X82" s="10">
        <f>'A) Base RI'!R82</f>
        <v>32477</v>
      </c>
      <c r="Y82" s="2">
        <f t="shared" si="11"/>
        <v>83605</v>
      </c>
      <c r="Z82" s="10">
        <f>'A) Base RI'!N82</f>
        <v>43025.9</v>
      </c>
      <c r="AA82" s="10">
        <f>'A) Base RI'!S82+'A) Base RI'!T82</f>
        <v>212.55</v>
      </c>
      <c r="AB82" s="10">
        <f>+'A) Base RI'!U82</f>
        <v>5500</v>
      </c>
      <c r="AC82" s="10">
        <f>'A) Base RI'!V82</f>
        <v>0</v>
      </c>
      <c r="AD82" s="10">
        <f>+'A) Base RI'!W82</f>
        <v>0</v>
      </c>
      <c r="AE82" s="10">
        <f>'A) Base RI'!Y82</f>
        <v>23100</v>
      </c>
      <c r="AF82" s="10">
        <f>'A) Base RI'!Z82</f>
        <v>0</v>
      </c>
      <c r="AG82" s="10">
        <f>'A) Base RI'!AA82</f>
        <v>231917.22</v>
      </c>
      <c r="AH82" s="10">
        <f>'A) Base RI'!AB82</f>
        <v>0</v>
      </c>
      <c r="AI82" s="10">
        <f>'A) Base RI'!AC82</f>
        <v>156629.32999999999</v>
      </c>
      <c r="AJ82" s="10">
        <f>'A) Base RI'!AD82</f>
        <v>0</v>
      </c>
      <c r="AK82" s="10">
        <f>'A) Base RI'!AE82</f>
        <v>0</v>
      </c>
      <c r="AL82" s="10">
        <f>'A) Base RI'!AF82</f>
        <v>0</v>
      </c>
      <c r="AM82" s="10">
        <f>'A) Base RI'!AG82</f>
        <v>0</v>
      </c>
      <c r="AN82" s="10">
        <f>'A) Base RI'!AH82</f>
        <v>29091.85</v>
      </c>
      <c r="AO82" s="10">
        <f>'A) Base RI'!AI82</f>
        <v>0</v>
      </c>
      <c r="AP82" s="10">
        <f>'A) Base RI'!AJ82</f>
        <v>0</v>
      </c>
      <c r="AQ82" s="10">
        <f>'A) Base RI'!AK82</f>
        <v>0</v>
      </c>
      <c r="AR82" s="10">
        <f>'A) Base RI'!AN82</f>
        <v>1118</v>
      </c>
    </row>
    <row r="83" spans="1:44" x14ac:dyDescent="0.25">
      <c r="A83" s="8">
        <f>'A) Base RI'!A83</f>
        <v>5522</v>
      </c>
      <c r="B83" s="35" t="str">
        <f>'A) Base RI'!B83</f>
        <v>Fey</v>
      </c>
      <c r="C83" s="10">
        <f>'A) Base RI'!C83+'A) Base RI'!D83</f>
        <v>1307760.26</v>
      </c>
      <c r="D83" s="10">
        <f>'A) Base RI'!AO83</f>
        <v>-18949.990000000002</v>
      </c>
      <c r="E83" s="34">
        <f>'A) Base RI'!AP83</f>
        <v>0</v>
      </c>
      <c r="F83" s="34">
        <f>'A) Base RI'!AQ83</f>
        <v>-2.85</v>
      </c>
      <c r="G83" s="2">
        <f t="shared" si="6"/>
        <v>1288807.42</v>
      </c>
      <c r="H83" s="10">
        <f>'A) Base RI'!E83</f>
        <v>0</v>
      </c>
      <c r="I83" s="10">
        <f>'A) Base RI'!F83</f>
        <v>0</v>
      </c>
      <c r="J83" s="10">
        <f>'A) Base RI'!G83+'A) Base RI'!H83</f>
        <v>16874.3</v>
      </c>
      <c r="K83" s="10">
        <f>'A) Base RI'!I83</f>
        <v>0</v>
      </c>
      <c r="L83" s="10">
        <f>'A) Base RI'!J83</f>
        <v>8260.5300000000007</v>
      </c>
      <c r="M83" s="10">
        <f>'A) Base RI'!K83</f>
        <v>1092</v>
      </c>
      <c r="N83" s="10">
        <f>'A) Base RI'!Q83</f>
        <v>3717.05</v>
      </c>
      <c r="O83" s="10">
        <f t="shared" si="7"/>
        <v>114435.65</v>
      </c>
      <c r="P83" s="10">
        <f>'A) Base RI'!L83</f>
        <v>114435.65</v>
      </c>
      <c r="Q83" s="37">
        <f>'A) Base RI'!AR83</f>
        <v>1</v>
      </c>
      <c r="R83" s="2">
        <f t="shared" si="8"/>
        <v>1433186.95</v>
      </c>
      <c r="S83" s="36">
        <f>'A) Base RI'!AM83</f>
        <v>75</v>
      </c>
      <c r="T83" s="2">
        <f t="shared" si="9"/>
        <v>1317659.3</v>
      </c>
      <c r="U83" s="2">
        <f t="shared" si="10"/>
        <v>19109.159333333333</v>
      </c>
      <c r="V83" s="10">
        <f>'A) Base RI'!O83</f>
        <v>0</v>
      </c>
      <c r="W83" s="10">
        <f>'A) Base RI'!P83</f>
        <v>66387.199999999997</v>
      </c>
      <c r="X83" s="10">
        <f>'A) Base RI'!R83</f>
        <v>84927.25</v>
      </c>
      <c r="Y83" s="2">
        <f t="shared" si="11"/>
        <v>151314.45000000001</v>
      </c>
      <c r="Z83" s="10">
        <f>'A) Base RI'!N83</f>
        <v>9692.35</v>
      </c>
      <c r="AA83" s="10">
        <f>'A) Base RI'!S83+'A) Base RI'!T83</f>
        <v>2040</v>
      </c>
      <c r="AB83" s="10">
        <f>+'A) Base RI'!U83</f>
        <v>3150</v>
      </c>
      <c r="AC83" s="10">
        <f>'A) Base RI'!V83</f>
        <v>0</v>
      </c>
      <c r="AD83" s="10">
        <f>+'A) Base RI'!W83</f>
        <v>0</v>
      </c>
      <c r="AE83" s="10">
        <f>'A) Base RI'!Y83</f>
        <v>8000</v>
      </c>
      <c r="AF83" s="10">
        <f>'A) Base RI'!Z83</f>
        <v>0</v>
      </c>
      <c r="AG83" s="10">
        <f>'A) Base RI'!AA83</f>
        <v>64549</v>
      </c>
      <c r="AH83" s="10">
        <f>'A) Base RI'!AB83</f>
        <v>0</v>
      </c>
      <c r="AI83" s="10">
        <f>'A) Base RI'!AC83</f>
        <v>0</v>
      </c>
      <c r="AJ83" s="10">
        <f>'A) Base RI'!AD83</f>
        <v>0</v>
      </c>
      <c r="AK83" s="10">
        <f>'A) Base RI'!AE83</f>
        <v>0</v>
      </c>
      <c r="AL83" s="10">
        <f>'A) Base RI'!AF83</f>
        <v>0</v>
      </c>
      <c r="AM83" s="10">
        <f>'A) Base RI'!AG83</f>
        <v>0</v>
      </c>
      <c r="AN83" s="10">
        <f>'A) Base RI'!AH83</f>
        <v>0</v>
      </c>
      <c r="AO83" s="10">
        <f>'A) Base RI'!AI83</f>
        <v>0</v>
      </c>
      <c r="AP83" s="10">
        <f>'A) Base RI'!AJ83</f>
        <v>0</v>
      </c>
      <c r="AQ83" s="10">
        <f>'A) Base RI'!AK83</f>
        <v>0</v>
      </c>
      <c r="AR83" s="10">
        <f>'A) Base RI'!AN83</f>
        <v>696</v>
      </c>
    </row>
    <row r="84" spans="1:44" x14ac:dyDescent="0.25">
      <c r="A84" s="8">
        <f>'A) Base RI'!A84</f>
        <v>5523</v>
      </c>
      <c r="B84" s="35" t="str">
        <f>'A) Base RI'!B84</f>
        <v>Froideville</v>
      </c>
      <c r="C84" s="10">
        <f>'A) Base RI'!C84+'A) Base RI'!D84</f>
        <v>5193296.4700000007</v>
      </c>
      <c r="D84" s="10">
        <f>'A) Base RI'!AO84</f>
        <v>-35368.6</v>
      </c>
      <c r="E84" s="34">
        <f>'A) Base RI'!AP84</f>
        <v>-988</v>
      </c>
      <c r="F84" s="34">
        <f>'A) Base RI'!AQ84</f>
        <v>-23.41</v>
      </c>
      <c r="G84" s="2">
        <f t="shared" si="6"/>
        <v>5156916.4600000009</v>
      </c>
      <c r="H84" s="10">
        <f>'A) Base RI'!E84</f>
        <v>0</v>
      </c>
      <c r="I84" s="10">
        <f>'A) Base RI'!F84</f>
        <v>13670</v>
      </c>
      <c r="J84" s="10">
        <f>'A) Base RI'!G84+'A) Base RI'!H84</f>
        <v>132330.69999999998</v>
      </c>
      <c r="K84" s="10">
        <f>'A) Base RI'!I84</f>
        <v>31453.05</v>
      </c>
      <c r="L84" s="10">
        <f>'A) Base RI'!J84</f>
        <v>60188.89</v>
      </c>
      <c r="M84" s="10">
        <f>'A) Base RI'!K84</f>
        <v>14040</v>
      </c>
      <c r="N84" s="10">
        <f>'A) Base RI'!Q84</f>
        <v>1099.05</v>
      </c>
      <c r="O84" s="10">
        <f t="shared" si="7"/>
        <v>457354.2</v>
      </c>
      <c r="P84" s="10">
        <f>'A) Base RI'!L84</f>
        <v>571692.75</v>
      </c>
      <c r="Q84" s="37">
        <f>'A) Base RI'!AR84</f>
        <v>1.25</v>
      </c>
      <c r="R84" s="2">
        <f t="shared" si="8"/>
        <v>5867052.3500000006</v>
      </c>
      <c r="S84" s="36">
        <f>'A) Base RI'!AM84</f>
        <v>76</v>
      </c>
      <c r="T84" s="2">
        <f t="shared" si="9"/>
        <v>5381988.1500000004</v>
      </c>
      <c r="U84" s="2">
        <f t="shared" si="10"/>
        <v>77198.057236842113</v>
      </c>
      <c r="V84" s="10">
        <f>'A) Base RI'!O84</f>
        <v>218616.2</v>
      </c>
      <c r="W84" s="10">
        <f>'A) Base RI'!P84</f>
        <v>198513.95</v>
      </c>
      <c r="X84" s="10">
        <f>'A) Base RI'!R84</f>
        <v>188163.3</v>
      </c>
      <c r="Y84" s="2">
        <f t="shared" si="11"/>
        <v>605293.44999999995</v>
      </c>
      <c r="Z84" s="10">
        <f>'A) Base RI'!N84</f>
        <v>2731.4</v>
      </c>
      <c r="AA84" s="10">
        <f>'A) Base RI'!S84+'A) Base RI'!T84</f>
        <v>4248.5</v>
      </c>
      <c r="AB84" s="10">
        <f>+'A) Base RI'!U84</f>
        <v>13500</v>
      </c>
      <c r="AC84" s="10">
        <f>'A) Base RI'!V84</f>
        <v>0</v>
      </c>
      <c r="AD84" s="10">
        <f>+'A) Base RI'!W84</f>
        <v>0</v>
      </c>
      <c r="AE84" s="10">
        <f>'A) Base RI'!Y84</f>
        <v>110042.95</v>
      </c>
      <c r="AF84" s="10">
        <f>'A) Base RI'!Z84</f>
        <v>12319.5</v>
      </c>
      <c r="AG84" s="10">
        <f>'A) Base RI'!AA84</f>
        <v>467928.45</v>
      </c>
      <c r="AH84" s="10">
        <f>'A) Base RI'!AB84</f>
        <v>0</v>
      </c>
      <c r="AI84" s="10">
        <f>'A) Base RI'!AC84</f>
        <v>145320.95000000001</v>
      </c>
      <c r="AJ84" s="10">
        <f>'A) Base RI'!AD84</f>
        <v>90867.3</v>
      </c>
      <c r="AK84" s="10">
        <f>'A) Base RI'!AE84</f>
        <v>9535.1</v>
      </c>
      <c r="AL84" s="10">
        <f>'A) Base RI'!AF84</f>
        <v>0</v>
      </c>
      <c r="AM84" s="10">
        <f>'A) Base RI'!AG84</f>
        <v>0</v>
      </c>
      <c r="AN84" s="10">
        <f>'A) Base RI'!AH84</f>
        <v>44848.6</v>
      </c>
      <c r="AO84" s="10">
        <f>'A) Base RI'!AI84</f>
        <v>0</v>
      </c>
      <c r="AP84" s="10">
        <f>'A) Base RI'!AJ84</f>
        <v>0</v>
      </c>
      <c r="AQ84" s="10">
        <f>'A) Base RI'!AK84</f>
        <v>0</v>
      </c>
      <c r="AR84" s="10">
        <f>'A) Base RI'!AN84</f>
        <v>2459</v>
      </c>
    </row>
    <row r="85" spans="1:44" x14ac:dyDescent="0.25">
      <c r="A85" s="8">
        <f>'A) Base RI'!A85</f>
        <v>5527</v>
      </c>
      <c r="B85" s="35" t="str">
        <f>'A) Base RI'!B85</f>
        <v>Morrens</v>
      </c>
      <c r="C85" s="10">
        <f>'A) Base RI'!C85+'A) Base RI'!D85</f>
        <v>2435559.62</v>
      </c>
      <c r="D85" s="10">
        <f>'A) Base RI'!AO85</f>
        <v>-56848.01</v>
      </c>
      <c r="E85" s="34">
        <f>'A) Base RI'!AP85</f>
        <v>-943.4</v>
      </c>
      <c r="F85" s="34">
        <f>'A) Base RI'!AQ85</f>
        <v>-17.170000000000002</v>
      </c>
      <c r="G85" s="2">
        <f t="shared" si="6"/>
        <v>2377751.0400000005</v>
      </c>
      <c r="H85" s="10">
        <f>'A) Base RI'!E85</f>
        <v>0</v>
      </c>
      <c r="I85" s="10">
        <f>'A) Base RI'!F85</f>
        <v>0</v>
      </c>
      <c r="J85" s="10">
        <f>'A) Base RI'!G85+'A) Base RI'!H85</f>
        <v>11296.3</v>
      </c>
      <c r="K85" s="10">
        <f>'A) Base RI'!I85</f>
        <v>0</v>
      </c>
      <c r="L85" s="10">
        <f>'A) Base RI'!J85</f>
        <v>52363.65</v>
      </c>
      <c r="M85" s="10">
        <f>'A) Base RI'!K85</f>
        <v>2706.5</v>
      </c>
      <c r="N85" s="10">
        <f>'A) Base RI'!Q85</f>
        <v>15047.39</v>
      </c>
      <c r="O85" s="10">
        <f t="shared" si="7"/>
        <v>207646.05</v>
      </c>
      <c r="P85" s="10">
        <f>'A) Base RI'!L85</f>
        <v>207646.05</v>
      </c>
      <c r="Q85" s="37">
        <f>'A) Base RI'!AR85</f>
        <v>1</v>
      </c>
      <c r="R85" s="2">
        <f t="shared" si="8"/>
        <v>2666810.9300000002</v>
      </c>
      <c r="S85" s="36">
        <f>'A) Base RI'!AM85</f>
        <v>71</v>
      </c>
      <c r="T85" s="2">
        <f t="shared" si="9"/>
        <v>2456458.3800000004</v>
      </c>
      <c r="U85" s="2">
        <f t="shared" si="10"/>
        <v>37560.717323943667</v>
      </c>
      <c r="V85" s="10">
        <f>'A) Base RI'!O85</f>
        <v>15337.8</v>
      </c>
      <c r="W85" s="10">
        <f>'A) Base RI'!P85</f>
        <v>27280</v>
      </c>
      <c r="X85" s="10">
        <f>'A) Base RI'!R85</f>
        <v>23203</v>
      </c>
      <c r="Y85" s="2">
        <f t="shared" si="11"/>
        <v>65820.800000000003</v>
      </c>
      <c r="Z85" s="10">
        <f>'A) Base RI'!N85</f>
        <v>12170</v>
      </c>
      <c r="AA85" s="10">
        <f>'A) Base RI'!S85+'A) Base RI'!T85</f>
        <v>1758.65</v>
      </c>
      <c r="AB85" s="10">
        <f>+'A) Base RI'!U85</f>
        <v>11000</v>
      </c>
      <c r="AC85" s="10">
        <f>'A) Base RI'!V85</f>
        <v>0</v>
      </c>
      <c r="AD85" s="10">
        <f>+'A) Base RI'!W85</f>
        <v>0</v>
      </c>
      <c r="AE85" s="10">
        <f>'A) Base RI'!Y85</f>
        <v>20220.150000000001</v>
      </c>
      <c r="AF85" s="10">
        <f>'A) Base RI'!Z85</f>
        <v>0</v>
      </c>
      <c r="AG85" s="10">
        <f>'A) Base RI'!AA85</f>
        <v>115827.6</v>
      </c>
      <c r="AH85" s="10">
        <f>'A) Base RI'!AB85</f>
        <v>0</v>
      </c>
      <c r="AI85" s="10">
        <f>'A) Base RI'!AC85</f>
        <v>82409.2</v>
      </c>
      <c r="AJ85" s="10">
        <f>'A) Base RI'!AD85</f>
        <v>22263.95</v>
      </c>
      <c r="AK85" s="10">
        <f>'A) Base RI'!AE85</f>
        <v>0</v>
      </c>
      <c r="AL85" s="10">
        <f>'A) Base RI'!AF85</f>
        <v>0</v>
      </c>
      <c r="AM85" s="10">
        <f>'A) Base RI'!AG85</f>
        <v>0</v>
      </c>
      <c r="AN85" s="10">
        <f>'A) Base RI'!AH85</f>
        <v>26558.5</v>
      </c>
      <c r="AO85" s="10">
        <f>'A) Base RI'!AI85</f>
        <v>0</v>
      </c>
      <c r="AP85" s="10">
        <f>'A) Base RI'!AJ85</f>
        <v>0</v>
      </c>
      <c r="AQ85" s="10">
        <f>'A) Base RI'!AK85</f>
        <v>0</v>
      </c>
      <c r="AR85" s="10">
        <f>'A) Base RI'!AN85</f>
        <v>1074</v>
      </c>
    </row>
    <row r="86" spans="1:44" x14ac:dyDescent="0.25">
      <c r="A86" s="8">
        <f>'A) Base RI'!A86</f>
        <v>5529</v>
      </c>
      <c r="B86" s="35" t="str">
        <f>'A) Base RI'!B86</f>
        <v>Oulens-sous-Echallens</v>
      </c>
      <c r="C86" s="10">
        <f>'A) Base RI'!C86+'A) Base RI'!D86</f>
        <v>1217653.6000000001</v>
      </c>
      <c r="D86" s="10">
        <f>'A) Base RI'!AO86</f>
        <v>-10442.94</v>
      </c>
      <c r="E86" s="34">
        <f>'A) Base RI'!AP86</f>
        <v>0</v>
      </c>
      <c r="F86" s="34">
        <f>'A) Base RI'!AQ86</f>
        <v>-5.32</v>
      </c>
      <c r="G86" s="2">
        <f t="shared" si="6"/>
        <v>1207205.3400000001</v>
      </c>
      <c r="H86" s="10">
        <f>'A) Base RI'!E86</f>
        <v>0</v>
      </c>
      <c r="I86" s="10">
        <f>'A) Base RI'!F86</f>
        <v>0</v>
      </c>
      <c r="J86" s="10">
        <f>'A) Base RI'!G86+'A) Base RI'!H86</f>
        <v>84301.65</v>
      </c>
      <c r="K86" s="10">
        <f>'A) Base RI'!I86</f>
        <v>0</v>
      </c>
      <c r="L86" s="10">
        <f>'A) Base RI'!J86</f>
        <v>15232.69</v>
      </c>
      <c r="M86" s="10">
        <f>'A) Base RI'!K86</f>
        <v>2595</v>
      </c>
      <c r="N86" s="10">
        <f>'A) Base RI'!Q86</f>
        <v>319.05</v>
      </c>
      <c r="O86" s="10">
        <f t="shared" si="7"/>
        <v>101461.5</v>
      </c>
      <c r="P86" s="10">
        <f>'A) Base RI'!L86</f>
        <v>101461.5</v>
      </c>
      <c r="Q86" s="37">
        <f>'A) Base RI'!AR86</f>
        <v>1</v>
      </c>
      <c r="R86" s="2">
        <f t="shared" si="8"/>
        <v>1411115.23</v>
      </c>
      <c r="S86" s="36">
        <f>'A) Base RI'!AM86</f>
        <v>71</v>
      </c>
      <c r="T86" s="2">
        <f t="shared" si="9"/>
        <v>1307058.73</v>
      </c>
      <c r="U86" s="2">
        <f t="shared" si="10"/>
        <v>19874.862394366199</v>
      </c>
      <c r="V86" s="10">
        <f>'A) Base RI'!O86</f>
        <v>17479.099999999999</v>
      </c>
      <c r="W86" s="10">
        <f>'A) Base RI'!P86</f>
        <v>33052.35</v>
      </c>
      <c r="X86" s="10">
        <f>'A) Base RI'!R86</f>
        <v>23631.65</v>
      </c>
      <c r="Y86" s="2">
        <f t="shared" si="11"/>
        <v>74163.100000000006</v>
      </c>
      <c r="Z86" s="10">
        <f>'A) Base RI'!N86</f>
        <v>0</v>
      </c>
      <c r="AA86" s="10">
        <f>'A) Base RI'!S86+'A) Base RI'!T86</f>
        <v>0</v>
      </c>
      <c r="AB86" s="10">
        <f>+'A) Base RI'!U86</f>
        <v>2800</v>
      </c>
      <c r="AC86" s="10">
        <f>'A) Base RI'!V86</f>
        <v>0</v>
      </c>
      <c r="AD86" s="10">
        <f>+'A) Base RI'!W86</f>
        <v>0</v>
      </c>
      <c r="AE86" s="10">
        <f>'A) Base RI'!Y86</f>
        <v>10960</v>
      </c>
      <c r="AF86" s="10">
        <f>'A) Base RI'!Z86</f>
        <v>0</v>
      </c>
      <c r="AG86" s="10">
        <f>'A) Base RI'!AA86</f>
        <v>22190.3</v>
      </c>
      <c r="AH86" s="10">
        <f>'A) Base RI'!AB86</f>
        <v>0</v>
      </c>
      <c r="AI86" s="10">
        <f>'A) Base RI'!AC86</f>
        <v>38373.75</v>
      </c>
      <c r="AJ86" s="10">
        <f>'A) Base RI'!AD86</f>
        <v>5480</v>
      </c>
      <c r="AK86" s="10">
        <f>'A) Base RI'!AE86</f>
        <v>0</v>
      </c>
      <c r="AL86" s="10">
        <f>'A) Base RI'!AF86</f>
        <v>0</v>
      </c>
      <c r="AM86" s="10">
        <f>'A) Base RI'!AG86</f>
        <v>0</v>
      </c>
      <c r="AN86" s="10">
        <f>'A) Base RI'!AH86</f>
        <v>0</v>
      </c>
      <c r="AO86" s="10">
        <f>'A) Base RI'!AI86</f>
        <v>0</v>
      </c>
      <c r="AP86" s="10">
        <f>'A) Base RI'!AJ86</f>
        <v>0</v>
      </c>
      <c r="AQ86" s="10">
        <f>'A) Base RI'!AK86</f>
        <v>0</v>
      </c>
      <c r="AR86" s="10">
        <f>'A) Base RI'!AN86</f>
        <v>560</v>
      </c>
    </row>
    <row r="87" spans="1:44" x14ac:dyDescent="0.25">
      <c r="A87" s="8">
        <f>'A) Base RI'!A87</f>
        <v>5530</v>
      </c>
      <c r="B87" s="35" t="str">
        <f>'A) Base RI'!B87</f>
        <v>Pailly</v>
      </c>
      <c r="C87" s="10">
        <f>'A) Base RI'!C87+'A) Base RI'!D87</f>
        <v>1040842.0800000001</v>
      </c>
      <c r="D87" s="10">
        <f>'A) Base RI'!AO87</f>
        <v>-8830.8799999999992</v>
      </c>
      <c r="E87" s="34">
        <f>'A) Base RI'!AP87</f>
        <v>0</v>
      </c>
      <c r="F87" s="34">
        <f>'A) Base RI'!AQ87</f>
        <v>0</v>
      </c>
      <c r="G87" s="2">
        <f t="shared" si="6"/>
        <v>1032011.2000000001</v>
      </c>
      <c r="H87" s="10">
        <f>'A) Base RI'!E87</f>
        <v>0</v>
      </c>
      <c r="I87" s="10">
        <f>'A) Base RI'!F87</f>
        <v>0</v>
      </c>
      <c r="J87" s="10">
        <f>'A) Base RI'!G87+'A) Base RI'!H87</f>
        <v>56227.899999999994</v>
      </c>
      <c r="K87" s="10">
        <f>'A) Base RI'!I87</f>
        <v>0</v>
      </c>
      <c r="L87" s="10">
        <f>'A) Base RI'!J87</f>
        <v>4266.12</v>
      </c>
      <c r="M87" s="10">
        <f>'A) Base RI'!K87</f>
        <v>37.5</v>
      </c>
      <c r="N87" s="10">
        <f>'A) Base RI'!Q87</f>
        <v>19.09</v>
      </c>
      <c r="O87" s="10">
        <f t="shared" si="7"/>
        <v>91020.333333333328</v>
      </c>
      <c r="P87" s="10">
        <f>'A) Base RI'!L87</f>
        <v>109224.4</v>
      </c>
      <c r="Q87" s="37">
        <f>'A) Base RI'!AR87</f>
        <v>1.2</v>
      </c>
      <c r="R87" s="2">
        <f t="shared" si="8"/>
        <v>1183582.1433333335</v>
      </c>
      <c r="S87" s="36">
        <f>'A) Base RI'!AM87</f>
        <v>77.5</v>
      </c>
      <c r="T87" s="2">
        <f t="shared" si="9"/>
        <v>1092524.3100000003</v>
      </c>
      <c r="U87" s="2">
        <f t="shared" si="10"/>
        <v>15272.027655913982</v>
      </c>
      <c r="V87" s="10">
        <f>'A) Base RI'!O87</f>
        <v>3366.6</v>
      </c>
      <c r="W87" s="10">
        <f>'A) Base RI'!P87</f>
        <v>7297.8</v>
      </c>
      <c r="X87" s="10">
        <f>'A) Base RI'!R87</f>
        <v>1187.0999999999999</v>
      </c>
      <c r="Y87" s="2">
        <f t="shared" si="11"/>
        <v>11851.5</v>
      </c>
      <c r="Z87" s="10">
        <f>'A) Base RI'!N87</f>
        <v>0</v>
      </c>
      <c r="AA87" s="10">
        <f>'A) Base RI'!S87+'A) Base RI'!T87</f>
        <v>75</v>
      </c>
      <c r="AB87" s="10">
        <f>+'A) Base RI'!U87</f>
        <v>2670</v>
      </c>
      <c r="AC87" s="10">
        <f>'A) Base RI'!V87</f>
        <v>0</v>
      </c>
      <c r="AD87" s="10">
        <f>+'A) Base RI'!W87</f>
        <v>0</v>
      </c>
      <c r="AE87" s="10">
        <f>'A) Base RI'!Y87</f>
        <v>41168.550000000003</v>
      </c>
      <c r="AF87" s="10">
        <f>'A) Base RI'!Z87</f>
        <v>0</v>
      </c>
      <c r="AG87" s="10">
        <f>'A) Base RI'!AA87</f>
        <v>155466.45000000001</v>
      </c>
      <c r="AH87" s="10">
        <f>'A) Base RI'!AB87</f>
        <v>0</v>
      </c>
      <c r="AI87" s="10">
        <f>'A) Base RI'!AC87</f>
        <v>40353.65</v>
      </c>
      <c r="AJ87" s="10">
        <f>'A) Base RI'!AD87</f>
        <v>22587</v>
      </c>
      <c r="AK87" s="10">
        <f>'A) Base RI'!AE87</f>
        <v>0</v>
      </c>
      <c r="AL87" s="10">
        <f>'A) Base RI'!AF87</f>
        <v>0</v>
      </c>
      <c r="AM87" s="10">
        <f>'A) Base RI'!AG87</f>
        <v>0</v>
      </c>
      <c r="AN87" s="10">
        <f>'A) Base RI'!AH87</f>
        <v>0</v>
      </c>
      <c r="AO87" s="10">
        <f>'A) Base RI'!AI87</f>
        <v>0</v>
      </c>
      <c r="AP87" s="10">
        <f>'A) Base RI'!AJ87</f>
        <v>0</v>
      </c>
      <c r="AQ87" s="10">
        <f>'A) Base RI'!AK87</f>
        <v>0</v>
      </c>
      <c r="AR87" s="10">
        <f>'A) Base RI'!AN87</f>
        <v>534</v>
      </c>
    </row>
    <row r="88" spans="1:44" x14ac:dyDescent="0.25">
      <c r="A88" s="8">
        <f>'A) Base RI'!A88</f>
        <v>5531</v>
      </c>
      <c r="B88" s="35" t="str">
        <f>'A) Base RI'!B88</f>
        <v>Penthéréaz</v>
      </c>
      <c r="C88" s="10">
        <f>'A) Base RI'!C88+'A) Base RI'!D88</f>
        <v>870347.52999999991</v>
      </c>
      <c r="D88" s="10">
        <f>'A) Base RI'!AO88</f>
        <v>-6409.9</v>
      </c>
      <c r="E88" s="34">
        <f>'A) Base RI'!AP88</f>
        <v>0</v>
      </c>
      <c r="F88" s="34">
        <f>'A) Base RI'!AQ88</f>
        <v>-48.79</v>
      </c>
      <c r="G88" s="2">
        <f t="shared" si="6"/>
        <v>863888.83999999985</v>
      </c>
      <c r="H88" s="10">
        <f>'A) Base RI'!E88</f>
        <v>0</v>
      </c>
      <c r="I88" s="10">
        <f>'A) Base RI'!F88</f>
        <v>0</v>
      </c>
      <c r="J88" s="10">
        <f>'A) Base RI'!G88+'A) Base RI'!H88</f>
        <v>499.7500000000004</v>
      </c>
      <c r="K88" s="10">
        <f>'A) Base RI'!I88</f>
        <v>0</v>
      </c>
      <c r="L88" s="10">
        <f>'A) Base RI'!J88</f>
        <v>1755.54</v>
      </c>
      <c r="M88" s="10">
        <f>'A) Base RI'!K88</f>
        <v>974.5</v>
      </c>
      <c r="N88" s="10">
        <f>'A) Base RI'!Q88</f>
        <v>8544.1299999999992</v>
      </c>
      <c r="O88" s="10">
        <f t="shared" si="7"/>
        <v>68269.850000000006</v>
      </c>
      <c r="P88" s="10">
        <f>'A) Base RI'!L88</f>
        <v>68269.850000000006</v>
      </c>
      <c r="Q88" s="37">
        <f>'A) Base RI'!AR88</f>
        <v>1</v>
      </c>
      <c r="R88" s="2">
        <f t="shared" si="8"/>
        <v>943932.60999999987</v>
      </c>
      <c r="S88" s="36">
        <f>'A) Base RI'!AM88</f>
        <v>78</v>
      </c>
      <c r="T88" s="2">
        <f t="shared" si="9"/>
        <v>874688.25999999989</v>
      </c>
      <c r="U88" s="2">
        <f t="shared" si="10"/>
        <v>12101.700128205126</v>
      </c>
      <c r="V88" s="10">
        <f>'A) Base RI'!O88</f>
        <v>0</v>
      </c>
      <c r="W88" s="10">
        <f>'A) Base RI'!P88</f>
        <v>23570.400000000001</v>
      </c>
      <c r="X88" s="10">
        <f>'A) Base RI'!R88</f>
        <v>17020.849999999999</v>
      </c>
      <c r="Y88" s="2">
        <f t="shared" si="11"/>
        <v>40591.25</v>
      </c>
      <c r="Z88" s="10">
        <f>'A) Base RI'!N88</f>
        <v>26264.9</v>
      </c>
      <c r="AA88" s="10">
        <f>'A) Base RI'!S88+'A) Base RI'!T88</f>
        <v>0</v>
      </c>
      <c r="AB88" s="10">
        <f>+'A) Base RI'!U88</f>
        <v>4000</v>
      </c>
      <c r="AC88" s="10">
        <f>'A) Base RI'!V88</f>
        <v>0</v>
      </c>
      <c r="AD88" s="10">
        <f>+'A) Base RI'!W88</f>
        <v>0</v>
      </c>
      <c r="AE88" s="10">
        <f>'A) Base RI'!Y88</f>
        <v>19600</v>
      </c>
      <c r="AF88" s="10">
        <f>'A) Base RI'!Z88</f>
        <v>0</v>
      </c>
      <c r="AG88" s="10">
        <f>'A) Base RI'!AA88</f>
        <v>86321.65</v>
      </c>
      <c r="AH88" s="10">
        <f>'A) Base RI'!AB88</f>
        <v>0</v>
      </c>
      <c r="AI88" s="10">
        <f>'A) Base RI'!AC88</f>
        <v>28122.5</v>
      </c>
      <c r="AJ88" s="10">
        <f>'A) Base RI'!AD88</f>
        <v>0</v>
      </c>
      <c r="AK88" s="10">
        <f>'A) Base RI'!AE88</f>
        <v>0</v>
      </c>
      <c r="AL88" s="10">
        <f>'A) Base RI'!AF88</f>
        <v>0</v>
      </c>
      <c r="AM88" s="10">
        <f>'A) Base RI'!AG88</f>
        <v>0</v>
      </c>
      <c r="AN88" s="10">
        <f>'A) Base RI'!AH88</f>
        <v>0</v>
      </c>
      <c r="AO88" s="10">
        <f>'A) Base RI'!AI88</f>
        <v>0</v>
      </c>
      <c r="AP88" s="10">
        <f>'A) Base RI'!AJ88</f>
        <v>0</v>
      </c>
      <c r="AQ88" s="10">
        <f>'A) Base RI'!AK88</f>
        <v>0</v>
      </c>
      <c r="AR88" s="10">
        <f>'A) Base RI'!AN88</f>
        <v>411</v>
      </c>
    </row>
    <row r="89" spans="1:44" x14ac:dyDescent="0.25">
      <c r="A89" s="8">
        <f>'A) Base RI'!A89</f>
        <v>5533</v>
      </c>
      <c r="B89" s="35" t="str">
        <f>'A) Base RI'!B89</f>
        <v>Poliez-Pittet</v>
      </c>
      <c r="C89" s="10">
        <f>'A) Base RI'!C89+'A) Base RI'!D89</f>
        <v>1507981.52</v>
      </c>
      <c r="D89" s="10">
        <f>'A) Base RI'!AO89</f>
        <v>-3408.85</v>
      </c>
      <c r="E89" s="34">
        <f>'A) Base RI'!AP89</f>
        <v>0</v>
      </c>
      <c r="F89" s="34">
        <f>'A) Base RI'!AQ89</f>
        <v>-22.51</v>
      </c>
      <c r="G89" s="2">
        <f t="shared" si="6"/>
        <v>1504550.16</v>
      </c>
      <c r="H89" s="10">
        <f>'A) Base RI'!E89</f>
        <v>0</v>
      </c>
      <c r="I89" s="10">
        <f>'A) Base RI'!F89</f>
        <v>0</v>
      </c>
      <c r="J89" s="10">
        <f>'A) Base RI'!G89+'A) Base RI'!H89</f>
        <v>204941.95</v>
      </c>
      <c r="K89" s="10">
        <f>'A) Base RI'!I89</f>
        <v>0</v>
      </c>
      <c r="L89" s="10">
        <f>'A) Base RI'!J89</f>
        <v>61259.66</v>
      </c>
      <c r="M89" s="10">
        <f>'A) Base RI'!K89</f>
        <v>4990</v>
      </c>
      <c r="N89" s="10">
        <f>'A) Base RI'!Q89</f>
        <v>14993.62</v>
      </c>
      <c r="O89" s="10">
        <f t="shared" si="7"/>
        <v>129471.75000000001</v>
      </c>
      <c r="P89" s="10">
        <f>'A) Base RI'!L89</f>
        <v>77683.05</v>
      </c>
      <c r="Q89" s="37">
        <f>'A) Base RI'!AR89</f>
        <v>0.6</v>
      </c>
      <c r="R89" s="2">
        <f t="shared" si="8"/>
        <v>1920207.14</v>
      </c>
      <c r="S89" s="36">
        <f>'A) Base RI'!AM89</f>
        <v>71</v>
      </c>
      <c r="T89" s="2">
        <f t="shared" si="9"/>
        <v>1785745.39</v>
      </c>
      <c r="U89" s="2">
        <f t="shared" si="10"/>
        <v>27045.170985915491</v>
      </c>
      <c r="V89" s="10">
        <f>'A) Base RI'!O89</f>
        <v>0</v>
      </c>
      <c r="W89" s="10">
        <f>'A) Base RI'!P89</f>
        <v>27867.4</v>
      </c>
      <c r="X89" s="10">
        <f>'A) Base RI'!R89</f>
        <v>21188.25</v>
      </c>
      <c r="Y89" s="2">
        <f t="shared" si="11"/>
        <v>49055.65</v>
      </c>
      <c r="Z89" s="10">
        <f>'A) Base RI'!N89</f>
        <v>0</v>
      </c>
      <c r="AA89" s="10">
        <f>'A) Base RI'!S89+'A) Base RI'!T89</f>
        <v>1307</v>
      </c>
      <c r="AB89" s="10">
        <f>+'A) Base RI'!U89</f>
        <v>6500</v>
      </c>
      <c r="AC89" s="10">
        <f>'A) Base RI'!V89</f>
        <v>0</v>
      </c>
      <c r="AD89" s="10">
        <f>+'A) Base RI'!W89</f>
        <v>0</v>
      </c>
      <c r="AE89" s="10">
        <f>'A) Base RI'!Y89</f>
        <v>81930.95</v>
      </c>
      <c r="AF89" s="10">
        <f>'A) Base RI'!Z89</f>
        <v>0</v>
      </c>
      <c r="AG89" s="10">
        <f>'A) Base RI'!AA89</f>
        <v>101258.5</v>
      </c>
      <c r="AH89" s="10">
        <f>'A) Base RI'!AB89</f>
        <v>0</v>
      </c>
      <c r="AI89" s="10">
        <f>'A) Base RI'!AC89</f>
        <v>37733.5</v>
      </c>
      <c r="AJ89" s="10">
        <f>'A) Base RI'!AD89</f>
        <v>81930.95</v>
      </c>
      <c r="AK89" s="10">
        <f>'A) Base RI'!AE89</f>
        <v>0</v>
      </c>
      <c r="AL89" s="10">
        <f>'A) Base RI'!AF89</f>
        <v>0</v>
      </c>
      <c r="AM89" s="10">
        <f>'A) Base RI'!AG89</f>
        <v>0</v>
      </c>
      <c r="AN89" s="10">
        <f>'A) Base RI'!AH89</f>
        <v>0</v>
      </c>
      <c r="AO89" s="10">
        <f>'A) Base RI'!AI89</f>
        <v>0</v>
      </c>
      <c r="AP89" s="10">
        <f>'A) Base RI'!AJ89</f>
        <v>0</v>
      </c>
      <c r="AQ89" s="10">
        <f>'A) Base RI'!AK89</f>
        <v>0</v>
      </c>
      <c r="AR89" s="10">
        <f>'A) Base RI'!AN89</f>
        <v>844</v>
      </c>
    </row>
    <row r="90" spans="1:44" x14ac:dyDescent="0.25">
      <c r="A90" s="8">
        <f>'A) Base RI'!A90</f>
        <v>5534</v>
      </c>
      <c r="B90" s="35" t="str">
        <f>'A) Base RI'!B90</f>
        <v>Rueyres</v>
      </c>
      <c r="C90" s="10">
        <f>'A) Base RI'!C90+'A) Base RI'!D90</f>
        <v>489363.9</v>
      </c>
      <c r="D90" s="10">
        <f>'A) Base RI'!AO90</f>
        <v>-5902.26</v>
      </c>
      <c r="E90" s="34">
        <f>'A) Base RI'!AP90</f>
        <v>0</v>
      </c>
      <c r="F90" s="34">
        <f>'A) Base RI'!AQ90</f>
        <v>-6.11</v>
      </c>
      <c r="G90" s="2">
        <f t="shared" si="6"/>
        <v>483455.53</v>
      </c>
      <c r="H90" s="10">
        <f>'A) Base RI'!E90</f>
        <v>0</v>
      </c>
      <c r="I90" s="10">
        <f>'A) Base RI'!F90</f>
        <v>0</v>
      </c>
      <c r="J90" s="10">
        <f>'A) Base RI'!G90+'A) Base RI'!H90</f>
        <v>223904.7</v>
      </c>
      <c r="K90" s="10">
        <f>'A) Base RI'!I90</f>
        <v>0</v>
      </c>
      <c r="L90" s="10">
        <f>'A) Base RI'!J90</f>
        <v>19149.400000000001</v>
      </c>
      <c r="M90" s="10">
        <f>'A) Base RI'!K90</f>
        <v>1598.5</v>
      </c>
      <c r="N90" s="10">
        <f>'A) Base RI'!Q90</f>
        <v>0</v>
      </c>
      <c r="O90" s="10">
        <f t="shared" si="7"/>
        <v>70085.399999999994</v>
      </c>
      <c r="P90" s="10">
        <f>'A) Base RI'!L90</f>
        <v>70085.399999999994</v>
      </c>
      <c r="Q90" s="37">
        <f>'A) Base RI'!AR90</f>
        <v>1</v>
      </c>
      <c r="R90" s="2">
        <f t="shared" si="8"/>
        <v>798193.53</v>
      </c>
      <c r="S90" s="36">
        <f>'A) Base RI'!AM90</f>
        <v>73</v>
      </c>
      <c r="T90" s="2">
        <f t="shared" si="9"/>
        <v>726509.63</v>
      </c>
      <c r="U90" s="2">
        <f t="shared" si="10"/>
        <v>10934.157945205479</v>
      </c>
      <c r="V90" s="10">
        <f>'A) Base RI'!O90</f>
        <v>263378</v>
      </c>
      <c r="W90" s="10">
        <f>'A) Base RI'!P90</f>
        <v>4815.8</v>
      </c>
      <c r="X90" s="10">
        <f>'A) Base RI'!R90</f>
        <v>2321.65</v>
      </c>
      <c r="Y90" s="2">
        <f t="shared" si="11"/>
        <v>270515.45</v>
      </c>
      <c r="Z90" s="10">
        <f>'A) Base RI'!N90</f>
        <v>23141.9</v>
      </c>
      <c r="AA90" s="10">
        <f>'A) Base RI'!S90+'A) Base RI'!T90</f>
        <v>599</v>
      </c>
      <c r="AB90" s="10">
        <f>+'A) Base RI'!U90</f>
        <v>700</v>
      </c>
      <c r="AC90" s="10">
        <f>'A) Base RI'!V90</f>
        <v>0</v>
      </c>
      <c r="AD90" s="10">
        <f>+'A) Base RI'!W90</f>
        <v>0</v>
      </c>
      <c r="AE90" s="10">
        <f>'A) Base RI'!Y90</f>
        <v>8250</v>
      </c>
      <c r="AF90" s="10">
        <f>'A) Base RI'!Z90</f>
        <v>0</v>
      </c>
      <c r="AG90" s="10">
        <f>'A) Base RI'!AA90</f>
        <v>13172</v>
      </c>
      <c r="AH90" s="10">
        <f>'A) Base RI'!AB90</f>
        <v>0</v>
      </c>
      <c r="AI90" s="10">
        <f>'A) Base RI'!AC90</f>
        <v>11880</v>
      </c>
      <c r="AJ90" s="10">
        <f>'A) Base RI'!AD90</f>
        <v>8250</v>
      </c>
      <c r="AK90" s="10">
        <f>'A) Base RI'!AE90</f>
        <v>0</v>
      </c>
      <c r="AL90" s="10">
        <f>'A) Base RI'!AF90</f>
        <v>0</v>
      </c>
      <c r="AM90" s="10">
        <f>'A) Base RI'!AG90</f>
        <v>0</v>
      </c>
      <c r="AN90" s="10">
        <f>'A) Base RI'!AH90</f>
        <v>0</v>
      </c>
      <c r="AO90" s="10">
        <f>'A) Base RI'!AI90</f>
        <v>0</v>
      </c>
      <c r="AP90" s="10">
        <f>'A) Base RI'!AJ90</f>
        <v>12715</v>
      </c>
      <c r="AQ90" s="10">
        <f>'A) Base RI'!AK90</f>
        <v>0</v>
      </c>
      <c r="AR90" s="10">
        <f>'A) Base RI'!AN90</f>
        <v>271</v>
      </c>
    </row>
    <row r="91" spans="1:44" x14ac:dyDescent="0.25">
      <c r="A91" s="8">
        <f>'A) Base RI'!A91</f>
        <v>5535</v>
      </c>
      <c r="B91" s="35" t="str">
        <f>'A) Base RI'!B91</f>
        <v>Saint-Barthélemy</v>
      </c>
      <c r="C91" s="10">
        <f>'A) Base RI'!C91+'A) Base RI'!D91</f>
        <v>1403111.21</v>
      </c>
      <c r="D91" s="10">
        <f>'A) Base RI'!AO91</f>
        <v>-17309.03</v>
      </c>
      <c r="E91" s="34">
        <f>'A) Base RI'!AP91</f>
        <v>0</v>
      </c>
      <c r="F91" s="34">
        <f>'A) Base RI'!AQ91</f>
        <v>-4.05</v>
      </c>
      <c r="G91" s="2">
        <f t="shared" si="6"/>
        <v>1385798.13</v>
      </c>
      <c r="H91" s="10">
        <f>'A) Base RI'!E91</f>
        <v>0</v>
      </c>
      <c r="I91" s="10">
        <f>'A) Base RI'!F91</f>
        <v>0</v>
      </c>
      <c r="J91" s="10">
        <f>'A) Base RI'!G91+'A) Base RI'!H91</f>
        <v>27244.05</v>
      </c>
      <c r="K91" s="10">
        <f>'A) Base RI'!I91</f>
        <v>0</v>
      </c>
      <c r="L91" s="10">
        <f>'A) Base RI'!J91</f>
        <v>6768.32</v>
      </c>
      <c r="M91" s="10">
        <f>'A) Base RI'!K91</f>
        <v>1419.5</v>
      </c>
      <c r="N91" s="10">
        <f>'A) Base RI'!Q91</f>
        <v>1193.74</v>
      </c>
      <c r="O91" s="10">
        <f t="shared" si="7"/>
        <v>129892.3</v>
      </c>
      <c r="P91" s="10">
        <f>'A) Base RI'!L91</f>
        <v>129892.3</v>
      </c>
      <c r="Q91" s="37">
        <f>'A) Base RI'!AR91</f>
        <v>1</v>
      </c>
      <c r="R91" s="2">
        <f t="shared" si="8"/>
        <v>1552316.04</v>
      </c>
      <c r="S91" s="36">
        <f>'A) Base RI'!AM91</f>
        <v>75</v>
      </c>
      <c r="T91" s="2">
        <f t="shared" si="9"/>
        <v>1421004.24</v>
      </c>
      <c r="U91" s="2">
        <f t="shared" si="10"/>
        <v>20697.547200000001</v>
      </c>
      <c r="V91" s="10">
        <f>'A) Base RI'!O91</f>
        <v>557.6</v>
      </c>
      <c r="W91" s="10">
        <f>'A) Base RI'!P91</f>
        <v>4370.25</v>
      </c>
      <c r="X91" s="10">
        <f>'A) Base RI'!R91</f>
        <v>19710.25</v>
      </c>
      <c r="Y91" s="2">
        <f t="shared" si="11"/>
        <v>24638.1</v>
      </c>
      <c r="Z91" s="10">
        <f>'A) Base RI'!N91</f>
        <v>29288.9</v>
      </c>
      <c r="AA91" s="10">
        <f>'A) Base RI'!S91+'A) Base RI'!T91</f>
        <v>905</v>
      </c>
      <c r="AB91" s="10">
        <f>+'A) Base RI'!U91</f>
        <v>7050</v>
      </c>
      <c r="AC91" s="10">
        <f>'A) Base RI'!V91</f>
        <v>0</v>
      </c>
      <c r="AD91" s="10">
        <f>+'A) Base RI'!W91</f>
        <v>0</v>
      </c>
      <c r="AE91" s="10">
        <f>'A) Base RI'!Y91</f>
        <v>3000</v>
      </c>
      <c r="AF91" s="10">
        <f>'A) Base RI'!Z91</f>
        <v>0</v>
      </c>
      <c r="AG91" s="10">
        <f>'A) Base RI'!AA91</f>
        <v>85402</v>
      </c>
      <c r="AH91" s="10">
        <f>'A) Base RI'!AB91</f>
        <v>0</v>
      </c>
      <c r="AI91" s="10">
        <f>'A) Base RI'!AC91</f>
        <v>47853.7</v>
      </c>
      <c r="AJ91" s="10">
        <f>'A) Base RI'!AD91</f>
        <v>5390</v>
      </c>
      <c r="AK91" s="10">
        <f>'A) Base RI'!AE91</f>
        <v>0</v>
      </c>
      <c r="AL91" s="10">
        <f>'A) Base RI'!AF91</f>
        <v>0</v>
      </c>
      <c r="AM91" s="10">
        <f>'A) Base RI'!AG91</f>
        <v>0</v>
      </c>
      <c r="AN91" s="10">
        <f>'A) Base RI'!AH91</f>
        <v>0</v>
      </c>
      <c r="AO91" s="10">
        <f>'A) Base RI'!AI91</f>
        <v>0</v>
      </c>
      <c r="AP91" s="10">
        <f>'A) Base RI'!AJ91</f>
        <v>0</v>
      </c>
      <c r="AQ91" s="10">
        <f>'A) Base RI'!AK91</f>
        <v>0</v>
      </c>
      <c r="AR91" s="10">
        <f>'A) Base RI'!AN91</f>
        <v>777</v>
      </c>
    </row>
    <row r="92" spans="1:44" x14ac:dyDescent="0.25">
      <c r="A92" s="8">
        <f>'A) Base RI'!A92</f>
        <v>5537</v>
      </c>
      <c r="B92" s="35" t="str">
        <f>'A) Base RI'!B92</f>
        <v>Villars-le-Terroir</v>
      </c>
      <c r="C92" s="10">
        <f>'A) Base RI'!C92+'A) Base RI'!D92</f>
        <v>1987565.3</v>
      </c>
      <c r="D92" s="10">
        <f>'A) Base RI'!AO92</f>
        <v>-39445.35</v>
      </c>
      <c r="E92" s="34">
        <f>'A) Base RI'!AP92</f>
        <v>0</v>
      </c>
      <c r="F92" s="34">
        <f>'A) Base RI'!AQ92</f>
        <v>-0.19</v>
      </c>
      <c r="G92" s="2">
        <f t="shared" si="6"/>
        <v>1948119.76</v>
      </c>
      <c r="H92" s="10">
        <f>'A) Base RI'!E92</f>
        <v>0</v>
      </c>
      <c r="I92" s="10">
        <f>'A) Base RI'!F92</f>
        <v>5751.45</v>
      </c>
      <c r="J92" s="10">
        <f>'A) Base RI'!G92+'A) Base RI'!H92</f>
        <v>35741.9</v>
      </c>
      <c r="K92" s="10">
        <f>'A) Base RI'!I92</f>
        <v>0</v>
      </c>
      <c r="L92" s="10">
        <f>'A) Base RI'!J92</f>
        <v>12744.78</v>
      </c>
      <c r="M92" s="10">
        <f>'A) Base RI'!K92</f>
        <v>1064</v>
      </c>
      <c r="N92" s="10">
        <f>'A) Base RI'!Q92</f>
        <v>160.08000000000001</v>
      </c>
      <c r="O92" s="10">
        <f t="shared" si="7"/>
        <v>189421.12499999997</v>
      </c>
      <c r="P92" s="10">
        <f>'A) Base RI'!L92</f>
        <v>151536.9</v>
      </c>
      <c r="Q92" s="37">
        <f>'A) Base RI'!AR92</f>
        <v>0.8</v>
      </c>
      <c r="R92" s="2">
        <f t="shared" si="8"/>
        <v>2193003.0949999997</v>
      </c>
      <c r="S92" s="36">
        <f>'A) Base RI'!AM92</f>
        <v>73</v>
      </c>
      <c r="T92" s="2">
        <f t="shared" si="9"/>
        <v>1996766.52</v>
      </c>
      <c r="U92" s="2">
        <f t="shared" si="10"/>
        <v>30041.138287671231</v>
      </c>
      <c r="V92" s="10">
        <f>'A) Base RI'!O92</f>
        <v>5485.5</v>
      </c>
      <c r="W92" s="10">
        <f>'A) Base RI'!P92</f>
        <v>69553.600000000006</v>
      </c>
      <c r="X92" s="10">
        <f>'A) Base RI'!R92</f>
        <v>41673.35</v>
      </c>
      <c r="Y92" s="2">
        <f t="shared" si="11"/>
        <v>116712.45000000001</v>
      </c>
      <c r="Z92" s="10">
        <f>'A) Base RI'!N92</f>
        <v>191.15</v>
      </c>
      <c r="AA92" s="10">
        <f>'A) Base RI'!S92+'A) Base RI'!T92</f>
        <v>200</v>
      </c>
      <c r="AB92" s="10">
        <f>+'A) Base RI'!U92</f>
        <v>4850</v>
      </c>
      <c r="AC92" s="10">
        <f>'A) Base RI'!V92</f>
        <v>360</v>
      </c>
      <c r="AD92" s="10">
        <f>+'A) Base RI'!W92</f>
        <v>0</v>
      </c>
      <c r="AE92" s="10">
        <f>'A) Base RI'!Y92</f>
        <v>39673.25</v>
      </c>
      <c r="AF92" s="10">
        <f>'A) Base RI'!Z92</f>
        <v>0</v>
      </c>
      <c r="AG92" s="10">
        <f>'A) Base RI'!AA92</f>
        <v>199916.79999999999</v>
      </c>
      <c r="AH92" s="10">
        <f>'A) Base RI'!AB92</f>
        <v>0</v>
      </c>
      <c r="AI92" s="10">
        <f>'A) Base RI'!AC92</f>
        <v>110555.33</v>
      </c>
      <c r="AJ92" s="10">
        <f>'A) Base RI'!AD92</f>
        <v>42482.27</v>
      </c>
      <c r="AK92" s="10">
        <f>'A) Base RI'!AE92</f>
        <v>0</v>
      </c>
      <c r="AL92" s="10">
        <f>'A) Base RI'!AF92</f>
        <v>0</v>
      </c>
      <c r="AM92" s="10">
        <f>'A) Base RI'!AG92</f>
        <v>0</v>
      </c>
      <c r="AN92" s="10">
        <f>'A) Base RI'!AH92</f>
        <v>0</v>
      </c>
      <c r="AO92" s="10">
        <f>'A) Base RI'!AI92</f>
        <v>0</v>
      </c>
      <c r="AP92" s="10">
        <f>'A) Base RI'!AJ92</f>
        <v>0</v>
      </c>
      <c r="AQ92" s="10">
        <f>'A) Base RI'!AK92</f>
        <v>0</v>
      </c>
      <c r="AR92" s="10">
        <f>'A) Base RI'!AN92</f>
        <v>1066</v>
      </c>
    </row>
    <row r="93" spans="1:44" x14ac:dyDescent="0.25">
      <c r="A93" s="8">
        <f>'A) Base RI'!A93</f>
        <v>5539</v>
      </c>
      <c r="B93" s="35" t="str">
        <f>'A) Base RI'!B93</f>
        <v>Vuarrens</v>
      </c>
      <c r="C93" s="10">
        <f>'A) Base RI'!C93+'A) Base RI'!D93</f>
        <v>1557400.3599999999</v>
      </c>
      <c r="D93" s="10">
        <f>'A) Base RI'!AO93</f>
        <v>-97576.58</v>
      </c>
      <c r="E93" s="34">
        <f>'A) Base RI'!AP93</f>
        <v>0</v>
      </c>
      <c r="F93" s="34">
        <f>'A) Base RI'!AQ93</f>
        <v>-40.6</v>
      </c>
      <c r="G93" s="2">
        <f t="shared" si="6"/>
        <v>1459783.1799999997</v>
      </c>
      <c r="H93" s="10">
        <f>'A) Base RI'!E93</f>
        <v>0</v>
      </c>
      <c r="I93" s="10">
        <f>'A) Base RI'!F93</f>
        <v>0</v>
      </c>
      <c r="J93" s="10">
        <f>'A) Base RI'!G93+'A) Base RI'!H93</f>
        <v>4803.2999999999993</v>
      </c>
      <c r="K93" s="10">
        <f>'A) Base RI'!I93</f>
        <v>0</v>
      </c>
      <c r="L93" s="10">
        <f>'A) Base RI'!J93</f>
        <v>18488.78</v>
      </c>
      <c r="M93" s="10">
        <f>'A) Base RI'!K93</f>
        <v>6525</v>
      </c>
      <c r="N93" s="10">
        <f>'A) Base RI'!Q93</f>
        <v>54206.92</v>
      </c>
      <c r="O93" s="10">
        <f t="shared" si="7"/>
        <v>160720.18749999997</v>
      </c>
      <c r="P93" s="10">
        <f>'A) Base RI'!L93</f>
        <v>128576.15</v>
      </c>
      <c r="Q93" s="37">
        <f>'A) Base RI'!AR93</f>
        <v>0.8</v>
      </c>
      <c r="R93" s="2">
        <f t="shared" si="8"/>
        <v>1704527.3674999997</v>
      </c>
      <c r="S93" s="36">
        <f>'A) Base RI'!AM93</f>
        <v>75</v>
      </c>
      <c r="T93" s="2">
        <f t="shared" si="9"/>
        <v>1537282.1799999997</v>
      </c>
      <c r="U93" s="2">
        <f t="shared" si="10"/>
        <v>22727.031566666661</v>
      </c>
      <c r="V93" s="10">
        <f>'A) Base RI'!O93</f>
        <v>18176.7</v>
      </c>
      <c r="W93" s="10">
        <f>'A) Base RI'!P93</f>
        <v>50241.9</v>
      </c>
      <c r="X93" s="10">
        <f>'A) Base RI'!R93</f>
        <v>15550.45</v>
      </c>
      <c r="Y93" s="2">
        <f t="shared" si="11"/>
        <v>83969.05</v>
      </c>
      <c r="Z93" s="10">
        <f>'A) Base RI'!N93</f>
        <v>24256.6</v>
      </c>
      <c r="AA93" s="10">
        <f>'A) Base RI'!S93+'A) Base RI'!T93</f>
        <v>425</v>
      </c>
      <c r="AB93" s="10">
        <f>+'A) Base RI'!U93</f>
        <v>5850</v>
      </c>
      <c r="AC93" s="10">
        <f>'A) Base RI'!V93</f>
        <v>0</v>
      </c>
      <c r="AD93" s="10">
        <f>+'A) Base RI'!W93</f>
        <v>0</v>
      </c>
      <c r="AE93" s="10">
        <f>'A) Base RI'!Y93</f>
        <v>41132.199999999997</v>
      </c>
      <c r="AF93" s="10">
        <f>'A) Base RI'!Z93</f>
        <v>0</v>
      </c>
      <c r="AG93" s="10">
        <f>'A) Base RI'!AA93</f>
        <v>300286.95</v>
      </c>
      <c r="AH93" s="10">
        <f>'A) Base RI'!AB93</f>
        <v>0</v>
      </c>
      <c r="AI93" s="10">
        <f>'A) Base RI'!AC93</f>
        <v>59556.7</v>
      </c>
      <c r="AJ93" s="10">
        <f>'A) Base RI'!AD93</f>
        <v>27105.599999999999</v>
      </c>
      <c r="AK93" s="10">
        <f>'A) Base RI'!AE93</f>
        <v>0</v>
      </c>
      <c r="AL93" s="10">
        <f>'A) Base RI'!AF93</f>
        <v>0</v>
      </c>
      <c r="AM93" s="10">
        <f>'A) Base RI'!AG93</f>
        <v>0</v>
      </c>
      <c r="AN93" s="10">
        <f>'A) Base RI'!AH93</f>
        <v>21370.6</v>
      </c>
      <c r="AO93" s="10">
        <f>'A) Base RI'!AI93</f>
        <v>0</v>
      </c>
      <c r="AP93" s="10">
        <f>'A) Base RI'!AJ93</f>
        <v>0</v>
      </c>
      <c r="AQ93" s="10">
        <f>'A) Base RI'!AK93</f>
        <v>0</v>
      </c>
      <c r="AR93" s="10">
        <f>'A) Base RI'!AN93</f>
        <v>993</v>
      </c>
    </row>
    <row r="94" spans="1:44" x14ac:dyDescent="0.25">
      <c r="A94" s="8">
        <f>'A) Base RI'!A94</f>
        <v>5540</v>
      </c>
      <c r="B94" s="35" t="str">
        <f>'A) Base RI'!B94</f>
        <v>Montilliez</v>
      </c>
      <c r="C94" s="10">
        <f>'A) Base RI'!C94+'A) Base RI'!D94</f>
        <v>3576292.15</v>
      </c>
      <c r="D94" s="10">
        <f>'A) Base RI'!AO94</f>
        <v>-31341.23</v>
      </c>
      <c r="E94" s="34">
        <f>'A) Base RI'!AP94</f>
        <v>-15929.65</v>
      </c>
      <c r="F94" s="34">
        <f>'A) Base RI'!AQ94</f>
        <v>-25.78</v>
      </c>
      <c r="G94" s="2">
        <f t="shared" si="6"/>
        <v>3528995.49</v>
      </c>
      <c r="H94" s="10">
        <f>'A) Base RI'!E94</f>
        <v>0</v>
      </c>
      <c r="I94" s="10">
        <f>'A) Base RI'!F94</f>
        <v>0</v>
      </c>
      <c r="J94" s="10">
        <f>'A) Base RI'!G94+'A) Base RI'!H94</f>
        <v>126083.5</v>
      </c>
      <c r="K94" s="10">
        <f>'A) Base RI'!I94</f>
        <v>0</v>
      </c>
      <c r="L94" s="10">
        <f>'A) Base RI'!J94</f>
        <v>89155.4</v>
      </c>
      <c r="M94" s="10">
        <f>'A) Base RI'!K94</f>
        <v>5536</v>
      </c>
      <c r="N94" s="10">
        <f>'A) Base RI'!Q94</f>
        <v>16291.39</v>
      </c>
      <c r="O94" s="10">
        <f t="shared" si="7"/>
        <v>294738.125</v>
      </c>
      <c r="P94" s="10">
        <f>'A) Base RI'!L94</f>
        <v>235790.5</v>
      </c>
      <c r="Q94" s="37">
        <f>'A) Base RI'!AR94</f>
        <v>0.8</v>
      </c>
      <c r="R94" s="2">
        <f t="shared" si="8"/>
        <v>4060799.9050000003</v>
      </c>
      <c r="S94" s="36">
        <f>'A) Base RI'!AM94</f>
        <v>74</v>
      </c>
      <c r="T94" s="2">
        <f t="shared" si="9"/>
        <v>3760525.7800000003</v>
      </c>
      <c r="U94" s="2">
        <f t="shared" si="10"/>
        <v>54875.674391891895</v>
      </c>
      <c r="V94" s="10">
        <f>'A) Base RI'!O94</f>
        <v>52288.4</v>
      </c>
      <c r="W94" s="10">
        <f>'A) Base RI'!P94</f>
        <v>170198.65</v>
      </c>
      <c r="X94" s="10">
        <f>'A) Base RI'!R94</f>
        <v>52983.15</v>
      </c>
      <c r="Y94" s="2">
        <f t="shared" si="11"/>
        <v>275470.2</v>
      </c>
      <c r="Z94" s="10">
        <f>'A) Base RI'!N94</f>
        <v>6178</v>
      </c>
      <c r="AA94" s="10">
        <f>'A) Base RI'!S94+'A) Base RI'!T94</f>
        <v>1149</v>
      </c>
      <c r="AB94" s="10">
        <f>+'A) Base RI'!U94</f>
        <v>11600</v>
      </c>
      <c r="AC94" s="10">
        <f>'A) Base RI'!V94</f>
        <v>0</v>
      </c>
      <c r="AD94" s="10">
        <f>+'A) Base RI'!W94</f>
        <v>0</v>
      </c>
      <c r="AE94" s="10">
        <f>'A) Base RI'!Y94</f>
        <v>105666.25</v>
      </c>
      <c r="AF94" s="10">
        <f>'A) Base RI'!Z94</f>
        <v>0</v>
      </c>
      <c r="AG94" s="10">
        <f>'A) Base RI'!AA94</f>
        <v>154988.20000000001</v>
      </c>
      <c r="AH94" s="10">
        <f>'A) Base RI'!AB94</f>
        <v>0</v>
      </c>
      <c r="AI94" s="10">
        <f>'A) Base RI'!AC94</f>
        <v>115100.1</v>
      </c>
      <c r="AJ94" s="10">
        <f>'A) Base RI'!AD94</f>
        <v>66998.45</v>
      </c>
      <c r="AK94" s="10">
        <f>'A) Base RI'!AE94</f>
        <v>0</v>
      </c>
      <c r="AL94" s="10">
        <f>'A) Base RI'!AF94</f>
        <v>0</v>
      </c>
      <c r="AM94" s="10">
        <f>'A) Base RI'!AG94</f>
        <v>0</v>
      </c>
      <c r="AN94" s="10">
        <f>'A) Base RI'!AH94</f>
        <v>0</v>
      </c>
      <c r="AO94" s="10">
        <f>'A) Base RI'!AI94</f>
        <v>0</v>
      </c>
      <c r="AP94" s="10">
        <f>'A) Base RI'!AJ94</f>
        <v>0</v>
      </c>
      <c r="AQ94" s="10">
        <f>'A) Base RI'!AK94</f>
        <v>0</v>
      </c>
      <c r="AR94" s="10">
        <f>'A) Base RI'!AN94</f>
        <v>1698</v>
      </c>
    </row>
    <row r="95" spans="1:44" x14ac:dyDescent="0.25">
      <c r="A95" s="8">
        <f>'A) Base RI'!A95</f>
        <v>5541</v>
      </c>
      <c r="B95" s="35" t="str">
        <f>'A) Base RI'!B95</f>
        <v>Goumoëns</v>
      </c>
      <c r="C95" s="10">
        <f>'A) Base RI'!C95+'A) Base RI'!D95</f>
        <v>2263651.36</v>
      </c>
      <c r="D95" s="10">
        <f>'A) Base RI'!AO95</f>
        <v>-45024.45</v>
      </c>
      <c r="E95" s="34">
        <f>'A) Base RI'!AP95</f>
        <v>-19180.349999999999</v>
      </c>
      <c r="F95" s="34">
        <f>'A) Base RI'!AQ95</f>
        <v>-1.2</v>
      </c>
      <c r="G95" s="2">
        <f t="shared" si="6"/>
        <v>2199445.3599999994</v>
      </c>
      <c r="H95" s="10">
        <f>'A) Base RI'!E95</f>
        <v>0</v>
      </c>
      <c r="I95" s="10">
        <f>'A) Base RI'!F95</f>
        <v>0</v>
      </c>
      <c r="J95" s="10">
        <f>'A) Base RI'!G95+'A) Base RI'!H95</f>
        <v>85070.05</v>
      </c>
      <c r="K95" s="10">
        <f>'A) Base RI'!I95</f>
        <v>0</v>
      </c>
      <c r="L95" s="10">
        <f>'A) Base RI'!J95</f>
        <v>18881.310000000001</v>
      </c>
      <c r="M95" s="10">
        <f>'A) Base RI'!K95</f>
        <v>1932</v>
      </c>
      <c r="N95" s="10">
        <f>'A) Base RI'!Q95</f>
        <v>20115.36</v>
      </c>
      <c r="O95" s="10">
        <f t="shared" si="7"/>
        <v>176907.35</v>
      </c>
      <c r="P95" s="10">
        <f>'A) Base RI'!L95</f>
        <v>176907.35</v>
      </c>
      <c r="Q95" s="37">
        <f>'A) Base RI'!AR95</f>
        <v>1</v>
      </c>
      <c r="R95" s="2">
        <f t="shared" si="8"/>
        <v>2502351.4299999992</v>
      </c>
      <c r="S95" s="36">
        <f>'A) Base RI'!AM95</f>
        <v>77</v>
      </c>
      <c r="T95" s="2">
        <f t="shared" si="9"/>
        <v>2323512.0799999991</v>
      </c>
      <c r="U95" s="2">
        <f t="shared" si="10"/>
        <v>32498.070519480509</v>
      </c>
      <c r="V95" s="10">
        <f>'A) Base RI'!O95</f>
        <v>234825.2</v>
      </c>
      <c r="W95" s="10">
        <f>'A) Base RI'!P95</f>
        <v>64484.05</v>
      </c>
      <c r="X95" s="10">
        <f>'A) Base RI'!R95</f>
        <v>53284</v>
      </c>
      <c r="Y95" s="2">
        <f t="shared" si="11"/>
        <v>352593.25</v>
      </c>
      <c r="Z95" s="10">
        <f>'A) Base RI'!N95</f>
        <v>4809.55</v>
      </c>
      <c r="AA95" s="10">
        <f>'A) Base RI'!S95+'A) Base RI'!T95</f>
        <v>0</v>
      </c>
      <c r="AB95" s="10">
        <f>+'A) Base RI'!U95</f>
        <v>6850</v>
      </c>
      <c r="AC95" s="10">
        <f>'A) Base RI'!V95</f>
        <v>4987.95</v>
      </c>
      <c r="AD95" s="10">
        <f>+'A) Base RI'!W95</f>
        <v>0</v>
      </c>
      <c r="AE95" s="10">
        <f>'A) Base RI'!Y95</f>
        <v>55024</v>
      </c>
      <c r="AF95" s="10">
        <f>'A) Base RI'!Z95</f>
        <v>0</v>
      </c>
      <c r="AG95" s="10">
        <f>'A) Base RI'!AA95</f>
        <v>56837.95</v>
      </c>
      <c r="AH95" s="10">
        <f>'A) Base RI'!AB95</f>
        <v>0</v>
      </c>
      <c r="AI95" s="10">
        <f>'A) Base RI'!AC95</f>
        <v>71592.5</v>
      </c>
      <c r="AJ95" s="10">
        <f>'A) Base RI'!AD95</f>
        <v>42670.8</v>
      </c>
      <c r="AK95" s="10">
        <f>'A) Base RI'!AE95</f>
        <v>0</v>
      </c>
      <c r="AL95" s="10">
        <f>'A) Base RI'!AF95</f>
        <v>0</v>
      </c>
      <c r="AM95" s="10">
        <f>'A) Base RI'!AG95</f>
        <v>0</v>
      </c>
      <c r="AN95" s="10">
        <f>'A) Base RI'!AH95</f>
        <v>0</v>
      </c>
      <c r="AO95" s="10">
        <f>'A) Base RI'!AI95</f>
        <v>0</v>
      </c>
      <c r="AP95" s="10">
        <f>'A) Base RI'!AJ95</f>
        <v>0</v>
      </c>
      <c r="AQ95" s="10">
        <f>'A) Base RI'!AK95</f>
        <v>0</v>
      </c>
      <c r="AR95" s="10">
        <f>'A) Base RI'!AN95</f>
        <v>1051</v>
      </c>
    </row>
    <row r="96" spans="1:44" x14ac:dyDescent="0.25">
      <c r="A96" s="8">
        <f>'A) Base RI'!A96</f>
        <v>5551</v>
      </c>
      <c r="B96" s="35" t="str">
        <f>'A) Base RI'!B96</f>
        <v>Bonvillars</v>
      </c>
      <c r="C96" s="10">
        <f>'A) Base RI'!C96+'A) Base RI'!D96</f>
        <v>911289.91999999993</v>
      </c>
      <c r="D96" s="10">
        <f>'A) Base RI'!AO96</f>
        <v>-662.47</v>
      </c>
      <c r="E96" s="34">
        <f>'A) Base RI'!AP96</f>
        <v>0</v>
      </c>
      <c r="F96" s="34">
        <f>'A) Base RI'!AQ96</f>
        <v>-38.57</v>
      </c>
      <c r="G96" s="2">
        <f t="shared" si="6"/>
        <v>910588.88</v>
      </c>
      <c r="H96" s="10">
        <f>'A) Base RI'!E96</f>
        <v>0</v>
      </c>
      <c r="I96" s="10">
        <f>'A) Base RI'!F96</f>
        <v>0</v>
      </c>
      <c r="J96" s="10">
        <f>'A) Base RI'!G96+'A) Base RI'!H96</f>
        <v>22232.6</v>
      </c>
      <c r="K96" s="10">
        <f>'A) Base RI'!I96</f>
        <v>0</v>
      </c>
      <c r="L96" s="10">
        <f>'A) Base RI'!J96</f>
        <v>7232.53</v>
      </c>
      <c r="M96" s="10">
        <f>'A) Base RI'!K96</f>
        <v>7794.9</v>
      </c>
      <c r="N96" s="10">
        <f>'A) Base RI'!Q96</f>
        <v>0</v>
      </c>
      <c r="O96" s="10">
        <f t="shared" si="7"/>
        <v>113209.21428571429</v>
      </c>
      <c r="P96" s="10">
        <f>'A) Base RI'!L96</f>
        <v>79246.45</v>
      </c>
      <c r="Q96" s="37">
        <f>'A) Base RI'!AR96</f>
        <v>0.7</v>
      </c>
      <c r="R96" s="2">
        <f t="shared" si="8"/>
        <v>1061058.1242857142</v>
      </c>
      <c r="S96" s="36">
        <f>'A) Base RI'!AM96</f>
        <v>55</v>
      </c>
      <c r="T96" s="2">
        <f t="shared" si="9"/>
        <v>940054.01</v>
      </c>
      <c r="U96" s="2">
        <f t="shared" si="10"/>
        <v>19291.965896103895</v>
      </c>
      <c r="V96" s="10">
        <f>'A) Base RI'!O96</f>
        <v>0</v>
      </c>
      <c r="W96" s="10">
        <f>'A) Base RI'!P96</f>
        <v>12948.35</v>
      </c>
      <c r="X96" s="10">
        <f>'A) Base RI'!R96</f>
        <v>21366.15</v>
      </c>
      <c r="Y96" s="2">
        <f t="shared" si="11"/>
        <v>34314.5</v>
      </c>
      <c r="Z96" s="10">
        <f>'A) Base RI'!N96</f>
        <v>10139.85</v>
      </c>
      <c r="AA96" s="10">
        <f>'A) Base RI'!S96+'A) Base RI'!T96</f>
        <v>0</v>
      </c>
      <c r="AB96" s="10">
        <f>+'A) Base RI'!U96</f>
        <v>1960</v>
      </c>
      <c r="AC96" s="10">
        <f>'A) Base RI'!V96</f>
        <v>0</v>
      </c>
      <c r="AD96" s="10">
        <f>+'A) Base RI'!W96</f>
        <v>0</v>
      </c>
      <c r="AE96" s="10">
        <f>'A) Base RI'!Y96</f>
        <v>3814.2</v>
      </c>
      <c r="AF96" s="10">
        <f>'A) Base RI'!Z96</f>
        <v>83085</v>
      </c>
      <c r="AG96" s="10">
        <f>'A) Base RI'!AA96</f>
        <v>0</v>
      </c>
      <c r="AH96" s="10">
        <f>'A) Base RI'!AB96</f>
        <v>0</v>
      </c>
      <c r="AI96" s="10">
        <f>'A) Base RI'!AC96</f>
        <v>28868.1</v>
      </c>
      <c r="AJ96" s="10">
        <f>'A) Base RI'!AD96</f>
        <v>12919</v>
      </c>
      <c r="AK96" s="10">
        <f>'A) Base RI'!AE96</f>
        <v>0</v>
      </c>
      <c r="AL96" s="10">
        <f>'A) Base RI'!AF96</f>
        <v>0</v>
      </c>
      <c r="AM96" s="10">
        <f>'A) Base RI'!AG96</f>
        <v>1960</v>
      </c>
      <c r="AN96" s="10">
        <f>'A) Base RI'!AH96</f>
        <v>0</v>
      </c>
      <c r="AO96" s="10">
        <f>'A) Base RI'!AI96</f>
        <v>0</v>
      </c>
      <c r="AP96" s="10">
        <f>'A) Base RI'!AJ96</f>
        <v>0</v>
      </c>
      <c r="AQ96" s="10">
        <f>'A) Base RI'!AK96</f>
        <v>0</v>
      </c>
      <c r="AR96" s="10">
        <f>'A) Base RI'!AN96</f>
        <v>495</v>
      </c>
    </row>
    <row r="97" spans="1:44" x14ac:dyDescent="0.25">
      <c r="A97" s="8">
        <f>'A) Base RI'!A97</f>
        <v>5552</v>
      </c>
      <c r="B97" s="35" t="str">
        <f>'A) Base RI'!B97</f>
        <v>Bullet</v>
      </c>
      <c r="C97" s="10">
        <f>'A) Base RI'!C97+'A) Base RI'!D97</f>
        <v>947795.2</v>
      </c>
      <c r="D97" s="10">
        <f>'A) Base RI'!AO97</f>
        <v>-8231.9699999999993</v>
      </c>
      <c r="E97" s="34">
        <f>'A) Base RI'!AP97</f>
        <v>0</v>
      </c>
      <c r="F97" s="34">
        <f>'A) Base RI'!AQ97</f>
        <v>-7.8</v>
      </c>
      <c r="G97" s="2">
        <f t="shared" si="6"/>
        <v>939555.42999999993</v>
      </c>
      <c r="H97" s="10">
        <f>'A) Base RI'!E97</f>
        <v>0</v>
      </c>
      <c r="I97" s="10">
        <f>'A) Base RI'!F97</f>
        <v>0</v>
      </c>
      <c r="J97" s="10">
        <f>'A) Base RI'!G97+'A) Base RI'!H97</f>
        <v>10690.55</v>
      </c>
      <c r="K97" s="10">
        <f>'A) Base RI'!I97</f>
        <v>18143.650000000001</v>
      </c>
      <c r="L97" s="10">
        <f>'A) Base RI'!J97</f>
        <v>10515.44</v>
      </c>
      <c r="M97" s="10">
        <f>'A) Base RI'!K97</f>
        <v>1484.5</v>
      </c>
      <c r="N97" s="10">
        <f>'A) Base RI'!Q97</f>
        <v>13961.66</v>
      </c>
      <c r="O97" s="10">
        <f t="shared" si="7"/>
        <v>107136.4</v>
      </c>
      <c r="P97" s="10">
        <f>'A) Base RI'!L97</f>
        <v>107136.4</v>
      </c>
      <c r="Q97" s="37">
        <f>'A) Base RI'!AR97</f>
        <v>1</v>
      </c>
      <c r="R97" s="2">
        <f t="shared" si="8"/>
        <v>1101487.6299999999</v>
      </c>
      <c r="S97" s="36">
        <f>'A) Base RI'!AM97</f>
        <v>70</v>
      </c>
      <c r="T97" s="2">
        <f t="shared" si="9"/>
        <v>992866.73</v>
      </c>
      <c r="U97" s="2">
        <f t="shared" si="10"/>
        <v>15735.537571428569</v>
      </c>
      <c r="V97" s="10">
        <f>'A) Base RI'!O97</f>
        <v>80939.100000000006</v>
      </c>
      <c r="W97" s="10">
        <f>'A) Base RI'!P97</f>
        <v>48578.65</v>
      </c>
      <c r="X97" s="10">
        <f>'A) Base RI'!R97</f>
        <v>30948.15</v>
      </c>
      <c r="Y97" s="2">
        <f t="shared" si="11"/>
        <v>160465.9</v>
      </c>
      <c r="Z97" s="10">
        <f>'A) Base RI'!N97</f>
        <v>41288.050000000003</v>
      </c>
      <c r="AA97" s="10">
        <f>'A) Base RI'!S97+'A) Base RI'!T97</f>
        <v>1007.55</v>
      </c>
      <c r="AB97" s="10">
        <f>+'A) Base RI'!U97</f>
        <v>6000</v>
      </c>
      <c r="AC97" s="10">
        <f>'A) Base RI'!V97</f>
        <v>0</v>
      </c>
      <c r="AD97" s="10">
        <f>+'A) Base RI'!W97</f>
        <v>0</v>
      </c>
      <c r="AE97" s="10">
        <f>'A) Base RI'!Y97</f>
        <v>22000</v>
      </c>
      <c r="AF97" s="10">
        <f>'A) Base RI'!Z97</f>
        <v>0</v>
      </c>
      <c r="AG97" s="10">
        <f>'A) Base RI'!AA97</f>
        <v>108718.5</v>
      </c>
      <c r="AH97" s="10">
        <f>'A) Base RI'!AB97</f>
        <v>0</v>
      </c>
      <c r="AI97" s="10">
        <f>'A) Base RI'!AC97</f>
        <v>74415.399999999994</v>
      </c>
      <c r="AJ97" s="10">
        <f>'A) Base RI'!AD97</f>
        <v>21463.4</v>
      </c>
      <c r="AK97" s="10">
        <f>'A) Base RI'!AE97</f>
        <v>0</v>
      </c>
      <c r="AL97" s="10">
        <f>'A) Base RI'!AF97</f>
        <v>0</v>
      </c>
      <c r="AM97" s="10">
        <f>'A) Base RI'!AG97</f>
        <v>63536.6</v>
      </c>
      <c r="AN97" s="10">
        <f>'A) Base RI'!AH97</f>
        <v>23836.2</v>
      </c>
      <c r="AO97" s="10">
        <f>'A) Base RI'!AI97</f>
        <v>0</v>
      </c>
      <c r="AP97" s="10">
        <f>'A) Base RI'!AJ97</f>
        <v>0</v>
      </c>
      <c r="AQ97" s="10">
        <f>'A) Base RI'!AK97</f>
        <v>0</v>
      </c>
      <c r="AR97" s="10">
        <f>'A) Base RI'!AN97</f>
        <v>629</v>
      </c>
    </row>
    <row r="98" spans="1:44" x14ac:dyDescent="0.25">
      <c r="A98" s="8">
        <f>'A) Base RI'!A98</f>
        <v>5553</v>
      </c>
      <c r="B98" s="35" t="str">
        <f>'A) Base RI'!B98</f>
        <v>Champagne</v>
      </c>
      <c r="C98" s="10">
        <f>'A) Base RI'!C98+'A) Base RI'!D98</f>
        <v>1777784.96</v>
      </c>
      <c r="D98" s="10">
        <f>'A) Base RI'!AO98</f>
        <v>-15913.23</v>
      </c>
      <c r="E98" s="34">
        <f>'A) Base RI'!AP98</f>
        <v>0</v>
      </c>
      <c r="F98" s="34">
        <f>'A) Base RI'!AQ98</f>
        <v>-537.01</v>
      </c>
      <c r="G98" s="2">
        <f t="shared" si="6"/>
        <v>1761334.72</v>
      </c>
      <c r="H98" s="10">
        <f>'A) Base RI'!E98</f>
        <v>0</v>
      </c>
      <c r="I98" s="10">
        <f>'A) Base RI'!F98</f>
        <v>0</v>
      </c>
      <c r="J98" s="10">
        <f>'A) Base RI'!G98+'A) Base RI'!H98</f>
        <v>95677</v>
      </c>
      <c r="K98" s="10">
        <f>'A) Base RI'!I98</f>
        <v>0</v>
      </c>
      <c r="L98" s="10">
        <f>'A) Base RI'!J98</f>
        <v>41128.480000000003</v>
      </c>
      <c r="M98" s="10">
        <f>'A) Base RI'!K98</f>
        <v>15720.5</v>
      </c>
      <c r="N98" s="10">
        <f>'A) Base RI'!Q98</f>
        <v>2427.4699999999998</v>
      </c>
      <c r="O98" s="10">
        <f t="shared" si="7"/>
        <v>186008.2</v>
      </c>
      <c r="P98" s="10">
        <f>'A) Base RI'!L98</f>
        <v>186008.2</v>
      </c>
      <c r="Q98" s="37">
        <f>'A) Base RI'!AR98</f>
        <v>1</v>
      </c>
      <c r="R98" s="2">
        <f t="shared" si="8"/>
        <v>2102296.37</v>
      </c>
      <c r="S98" s="36">
        <f>'A) Base RI'!AM98</f>
        <v>63</v>
      </c>
      <c r="T98" s="2">
        <f t="shared" si="9"/>
        <v>1900567.67</v>
      </c>
      <c r="U98" s="2">
        <f t="shared" si="10"/>
        <v>33369.783650793652</v>
      </c>
      <c r="V98" s="10">
        <f>'A) Base RI'!O98</f>
        <v>1431.2</v>
      </c>
      <c r="W98" s="10">
        <f>'A) Base RI'!P98</f>
        <v>153576.20000000001</v>
      </c>
      <c r="X98" s="10">
        <f>'A) Base RI'!R98</f>
        <v>129249.5</v>
      </c>
      <c r="Y98" s="2">
        <f t="shared" si="11"/>
        <v>284256.90000000002</v>
      </c>
      <c r="Z98" s="10">
        <f>'A) Base RI'!N98</f>
        <v>73437.649999999994</v>
      </c>
      <c r="AA98" s="10">
        <f>'A) Base RI'!S98+'A) Base RI'!T98</f>
        <v>0</v>
      </c>
      <c r="AB98" s="10">
        <f>+'A) Base RI'!U98</f>
        <v>5300</v>
      </c>
      <c r="AC98" s="10">
        <f>'A) Base RI'!V98</f>
        <v>935.5</v>
      </c>
      <c r="AD98" s="10">
        <f>+'A) Base RI'!W98</f>
        <v>0</v>
      </c>
      <c r="AE98" s="10">
        <f>'A) Base RI'!Y98</f>
        <v>277089.3</v>
      </c>
      <c r="AF98" s="10">
        <f>'A) Base RI'!Z98</f>
        <v>0</v>
      </c>
      <c r="AG98" s="10">
        <f>'A) Base RI'!AA98</f>
        <v>99346.5</v>
      </c>
      <c r="AH98" s="10">
        <f>'A) Base RI'!AB98</f>
        <v>0</v>
      </c>
      <c r="AI98" s="10">
        <f>'A) Base RI'!AC98</f>
        <v>62790.3</v>
      </c>
      <c r="AJ98" s="10">
        <f>'A) Base RI'!AD98</f>
        <v>312708.2</v>
      </c>
      <c r="AK98" s="10">
        <f>'A) Base RI'!AE98</f>
        <v>0</v>
      </c>
      <c r="AL98" s="10">
        <f>'A) Base RI'!AF98</f>
        <v>0</v>
      </c>
      <c r="AM98" s="10">
        <f>'A) Base RI'!AG98</f>
        <v>0</v>
      </c>
      <c r="AN98" s="10">
        <f>'A) Base RI'!AH98</f>
        <v>0</v>
      </c>
      <c r="AO98" s="10">
        <f>'A) Base RI'!AI98</f>
        <v>0</v>
      </c>
      <c r="AP98" s="10">
        <f>'A) Base RI'!AJ98</f>
        <v>0</v>
      </c>
      <c r="AQ98" s="10">
        <f>'A) Base RI'!AK98</f>
        <v>0</v>
      </c>
      <c r="AR98" s="10">
        <f>'A) Base RI'!AN98</f>
        <v>1027</v>
      </c>
    </row>
    <row r="99" spans="1:44" x14ac:dyDescent="0.25">
      <c r="A99" s="8">
        <f>'A) Base RI'!A99</f>
        <v>5554</v>
      </c>
      <c r="B99" s="35" t="str">
        <f>'A) Base RI'!B99</f>
        <v>Concise</v>
      </c>
      <c r="C99" s="10">
        <f>'A) Base RI'!C99+'A) Base RI'!D99</f>
        <v>1958155.29</v>
      </c>
      <c r="D99" s="10">
        <f>'A) Base RI'!AO99</f>
        <v>-65236.21</v>
      </c>
      <c r="E99" s="34">
        <f>'A) Base RI'!AP99</f>
        <v>0</v>
      </c>
      <c r="F99" s="34">
        <f>'A) Base RI'!AQ99</f>
        <v>-79.03</v>
      </c>
      <c r="G99" s="2">
        <f t="shared" si="6"/>
        <v>1892840.05</v>
      </c>
      <c r="H99" s="10">
        <f>'A) Base RI'!E99</f>
        <v>0</v>
      </c>
      <c r="I99" s="10">
        <f>'A) Base RI'!F99</f>
        <v>0</v>
      </c>
      <c r="J99" s="10">
        <f>'A) Base RI'!G99+'A) Base RI'!H99</f>
        <v>41698.549999999996</v>
      </c>
      <c r="K99" s="10">
        <f>'A) Base RI'!I99</f>
        <v>0</v>
      </c>
      <c r="L99" s="10">
        <f>'A) Base RI'!J99</f>
        <v>47952.29</v>
      </c>
      <c r="M99" s="10">
        <f>'A) Base RI'!K99</f>
        <v>6243.5</v>
      </c>
      <c r="N99" s="10">
        <f>'A) Base RI'!Q99</f>
        <v>20663.669999999998</v>
      </c>
      <c r="O99" s="10">
        <f t="shared" si="7"/>
        <v>164605.1</v>
      </c>
      <c r="P99" s="10">
        <f>'A) Base RI'!L99</f>
        <v>164605.1</v>
      </c>
      <c r="Q99" s="37">
        <f>'A) Base RI'!AR99</f>
        <v>1</v>
      </c>
      <c r="R99" s="2">
        <f t="shared" si="8"/>
        <v>2174003.16</v>
      </c>
      <c r="S99" s="36">
        <f>'A) Base RI'!AM99</f>
        <v>75</v>
      </c>
      <c r="T99" s="2">
        <f t="shared" si="9"/>
        <v>2003154.56</v>
      </c>
      <c r="U99" s="2">
        <f t="shared" si="10"/>
        <v>28986.7088</v>
      </c>
      <c r="V99" s="10">
        <f>'A) Base RI'!O99</f>
        <v>42657.599999999999</v>
      </c>
      <c r="W99" s="10">
        <f>'A) Base RI'!P99</f>
        <v>77932.7</v>
      </c>
      <c r="X99" s="10">
        <f>'A) Base RI'!R99</f>
        <v>32018.45</v>
      </c>
      <c r="Y99" s="2">
        <f t="shared" si="11"/>
        <v>152608.75</v>
      </c>
      <c r="Z99" s="10">
        <f>'A) Base RI'!N99</f>
        <v>2250.0500000000002</v>
      </c>
      <c r="AA99" s="10">
        <f>'A) Base RI'!S99+'A) Base RI'!T99</f>
        <v>1803.05</v>
      </c>
      <c r="AB99" s="10">
        <f>+'A) Base RI'!U99</f>
        <v>6300</v>
      </c>
      <c r="AC99" s="10">
        <f>'A) Base RI'!V99</f>
        <v>773.5</v>
      </c>
      <c r="AD99" s="10">
        <f>+'A) Base RI'!W99</f>
        <v>396</v>
      </c>
      <c r="AE99" s="10">
        <f>'A) Base RI'!Y99</f>
        <v>12358</v>
      </c>
      <c r="AF99" s="10">
        <f>'A) Base RI'!Z99</f>
        <v>53103</v>
      </c>
      <c r="AG99" s="10">
        <f>'A) Base RI'!AA99</f>
        <v>134303.5</v>
      </c>
      <c r="AH99" s="10">
        <f>'A) Base RI'!AB99</f>
        <v>0</v>
      </c>
      <c r="AI99" s="10">
        <f>'A) Base RI'!AC99</f>
        <v>63988.9</v>
      </c>
      <c r="AJ99" s="10">
        <f>'A) Base RI'!AD99</f>
        <v>30987.7</v>
      </c>
      <c r="AK99" s="10">
        <f>'A) Base RI'!AE99</f>
        <v>96380</v>
      </c>
      <c r="AL99" s="10">
        <f>'A) Base RI'!AF99</f>
        <v>0</v>
      </c>
      <c r="AM99" s="10">
        <f>'A) Base RI'!AG99</f>
        <v>63514.28</v>
      </c>
      <c r="AN99" s="10">
        <f>'A) Base RI'!AH99</f>
        <v>29609.200000000001</v>
      </c>
      <c r="AO99" s="10">
        <f>'A) Base RI'!AI99</f>
        <v>0</v>
      </c>
      <c r="AP99" s="10">
        <f>'A) Base RI'!AJ99</f>
        <v>0</v>
      </c>
      <c r="AQ99" s="10">
        <f>'A) Base RI'!AK99</f>
        <v>0</v>
      </c>
      <c r="AR99" s="10">
        <f>'A) Base RI'!AN99</f>
        <v>960</v>
      </c>
    </row>
    <row r="100" spans="1:44" x14ac:dyDescent="0.25">
      <c r="A100" s="8">
        <f>'A) Base RI'!A100</f>
        <v>5555</v>
      </c>
      <c r="B100" s="35" t="str">
        <f>'A) Base RI'!B100</f>
        <v>Corcelles-près-Concise</v>
      </c>
      <c r="C100" s="10">
        <f>'A) Base RI'!C100+'A) Base RI'!D100</f>
        <v>676073</v>
      </c>
      <c r="D100" s="10">
        <f>'A) Base RI'!AO100</f>
        <v>-8887.15</v>
      </c>
      <c r="E100" s="34">
        <f>'A) Base RI'!AP100</f>
        <v>0</v>
      </c>
      <c r="F100" s="34">
        <f>'A) Base RI'!AQ100</f>
        <v>-0.06</v>
      </c>
      <c r="G100" s="2">
        <f t="shared" si="6"/>
        <v>667185.78999999992</v>
      </c>
      <c r="H100" s="10">
        <f>'A) Base RI'!E100</f>
        <v>0</v>
      </c>
      <c r="I100" s="10">
        <f>'A) Base RI'!F100</f>
        <v>0</v>
      </c>
      <c r="J100" s="10">
        <f>'A) Base RI'!G100+'A) Base RI'!H100</f>
        <v>14461.05</v>
      </c>
      <c r="K100" s="10">
        <f>'A) Base RI'!I100</f>
        <v>0</v>
      </c>
      <c r="L100" s="10">
        <f>'A) Base RI'!J100</f>
        <v>24854.52</v>
      </c>
      <c r="M100" s="10">
        <f>'A) Base RI'!K100</f>
        <v>1966.8</v>
      </c>
      <c r="N100" s="10">
        <f>'A) Base RI'!Q100</f>
        <v>2065.23</v>
      </c>
      <c r="O100" s="10">
        <f t="shared" si="7"/>
        <v>73333.05</v>
      </c>
      <c r="P100" s="10">
        <f>'A) Base RI'!L100</f>
        <v>73333.05</v>
      </c>
      <c r="Q100" s="37">
        <f>'A) Base RI'!AR100</f>
        <v>1</v>
      </c>
      <c r="R100" s="2">
        <f t="shared" si="8"/>
        <v>783866.44000000006</v>
      </c>
      <c r="S100" s="36">
        <f>'A) Base RI'!AM100</f>
        <v>71</v>
      </c>
      <c r="T100" s="2">
        <f t="shared" si="9"/>
        <v>708566.59</v>
      </c>
      <c r="U100" s="2">
        <f t="shared" si="10"/>
        <v>11040.372394366199</v>
      </c>
      <c r="V100" s="10">
        <f>'A) Base RI'!O100</f>
        <v>5303.2</v>
      </c>
      <c r="W100" s="10">
        <f>'A) Base RI'!P100</f>
        <v>43880.1</v>
      </c>
      <c r="X100" s="10">
        <f>'A) Base RI'!R100</f>
        <v>28789.85</v>
      </c>
      <c r="Y100" s="2">
        <f t="shared" si="11"/>
        <v>77973.149999999994</v>
      </c>
      <c r="Z100" s="10">
        <f>'A) Base RI'!N100</f>
        <v>7907.7</v>
      </c>
      <c r="AA100" s="10">
        <f>'A) Base RI'!S100+'A) Base RI'!T100</f>
        <v>0</v>
      </c>
      <c r="AB100" s="10">
        <f>+'A) Base RI'!U100</f>
        <v>1230</v>
      </c>
      <c r="AC100" s="10">
        <f>'A) Base RI'!V100</f>
        <v>0</v>
      </c>
      <c r="AD100" s="10">
        <f>+'A) Base RI'!W100</f>
        <v>0</v>
      </c>
      <c r="AE100" s="10">
        <f>'A) Base RI'!Y100</f>
        <v>13773.6</v>
      </c>
      <c r="AF100" s="10">
        <f>'A) Base RI'!Z100</f>
        <v>0</v>
      </c>
      <c r="AG100" s="10">
        <f>'A) Base RI'!AA100</f>
        <v>87029.25</v>
      </c>
      <c r="AH100" s="10">
        <f>'A) Base RI'!AB100</f>
        <v>0</v>
      </c>
      <c r="AI100" s="10">
        <f>'A) Base RI'!AC100</f>
        <v>19447.7</v>
      </c>
      <c r="AJ100" s="10">
        <f>'A) Base RI'!AD100</f>
        <v>22956</v>
      </c>
      <c r="AK100" s="10">
        <f>'A) Base RI'!AE100</f>
        <v>0</v>
      </c>
      <c r="AL100" s="10">
        <f>'A) Base RI'!AF100</f>
        <v>9816.2999999999993</v>
      </c>
      <c r="AM100" s="10">
        <f>'A) Base RI'!AG100</f>
        <v>9836.2000000000007</v>
      </c>
      <c r="AN100" s="10">
        <f>'A) Base RI'!AH100</f>
        <v>0</v>
      </c>
      <c r="AO100" s="10">
        <f>'A) Base RI'!AI100</f>
        <v>0</v>
      </c>
      <c r="AP100" s="10">
        <f>'A) Base RI'!AJ100</f>
        <v>0</v>
      </c>
      <c r="AQ100" s="10">
        <f>'A) Base RI'!AK100</f>
        <v>0</v>
      </c>
      <c r="AR100" s="10">
        <f>'A) Base RI'!AN100</f>
        <v>379</v>
      </c>
    </row>
    <row r="101" spans="1:44" x14ac:dyDescent="0.25">
      <c r="A101" s="8">
        <f>'A) Base RI'!A101</f>
        <v>5556</v>
      </c>
      <c r="B101" s="35" t="str">
        <f>'A) Base RI'!B101</f>
        <v>Fiez</v>
      </c>
      <c r="C101" s="10">
        <f>'A) Base RI'!C101+'A) Base RI'!D101</f>
        <v>795149</v>
      </c>
      <c r="D101" s="10">
        <f>'A) Base RI'!AO101</f>
        <v>-2088</v>
      </c>
      <c r="E101" s="34">
        <f>'A) Base RI'!AP101</f>
        <v>0</v>
      </c>
      <c r="F101" s="34">
        <f>'A) Base RI'!AQ101</f>
        <v>0</v>
      </c>
      <c r="G101" s="2">
        <f t="shared" si="6"/>
        <v>793061</v>
      </c>
      <c r="H101" s="10">
        <f>'A) Base RI'!E101</f>
        <v>0</v>
      </c>
      <c r="I101" s="10">
        <f>'A) Base RI'!F101</f>
        <v>2160</v>
      </c>
      <c r="J101" s="10">
        <f>'A) Base RI'!G101+'A) Base RI'!H101</f>
        <v>-2434.5</v>
      </c>
      <c r="K101" s="10">
        <f>'A) Base RI'!I101</f>
        <v>0</v>
      </c>
      <c r="L101" s="10">
        <f>'A) Base RI'!J101</f>
        <v>5109.54</v>
      </c>
      <c r="M101" s="10">
        <f>'A) Base RI'!K101</f>
        <v>522</v>
      </c>
      <c r="N101" s="10">
        <f>'A) Base RI'!Q101</f>
        <v>0</v>
      </c>
      <c r="O101" s="10">
        <f t="shared" si="7"/>
        <v>62202</v>
      </c>
      <c r="P101" s="10">
        <f>'A) Base RI'!L101</f>
        <v>74642.399999999994</v>
      </c>
      <c r="Q101" s="37">
        <f>'A) Base RI'!AR101</f>
        <v>1.2</v>
      </c>
      <c r="R101" s="2">
        <f t="shared" si="8"/>
        <v>860620.04</v>
      </c>
      <c r="S101" s="36">
        <f>'A) Base RI'!AM101</f>
        <v>69</v>
      </c>
      <c r="T101" s="2">
        <f t="shared" si="9"/>
        <v>795736.04</v>
      </c>
      <c r="U101" s="2">
        <f t="shared" si="10"/>
        <v>12472.754202898552</v>
      </c>
      <c r="V101" s="10">
        <f>'A) Base RI'!O101</f>
        <v>0</v>
      </c>
      <c r="W101" s="10">
        <f>'A) Base RI'!P101</f>
        <v>22563.05</v>
      </c>
      <c r="X101" s="10">
        <f>'A) Base RI'!R101</f>
        <v>27288.75</v>
      </c>
      <c r="Y101" s="2">
        <f t="shared" si="11"/>
        <v>49851.8</v>
      </c>
      <c r="Z101" s="10">
        <f>'A) Base RI'!N101</f>
        <v>0</v>
      </c>
      <c r="AA101" s="10">
        <f>'A) Base RI'!S101+'A) Base RI'!T101</f>
        <v>50</v>
      </c>
      <c r="AB101" s="10">
        <f>+'A) Base RI'!U101</f>
        <v>3360</v>
      </c>
      <c r="AC101" s="10">
        <f>'A) Base RI'!V101</f>
        <v>0</v>
      </c>
      <c r="AD101" s="10">
        <f>+'A) Base RI'!W101</f>
        <v>0</v>
      </c>
      <c r="AE101" s="10">
        <f>'A) Base RI'!Y101</f>
        <v>0</v>
      </c>
      <c r="AF101" s="10">
        <f>'A) Base RI'!Z101</f>
        <v>19861.25</v>
      </c>
      <c r="AG101" s="10">
        <f>'A) Base RI'!AA101</f>
        <v>64696.9</v>
      </c>
      <c r="AH101" s="10">
        <f>'A) Base RI'!AB101</f>
        <v>0</v>
      </c>
      <c r="AI101" s="10">
        <f>'A) Base RI'!AC101</f>
        <v>12221</v>
      </c>
      <c r="AJ101" s="10">
        <f>'A) Base RI'!AD101</f>
        <v>21170</v>
      </c>
      <c r="AK101" s="10">
        <f>'A) Base RI'!AE101</f>
        <v>0</v>
      </c>
      <c r="AL101" s="10">
        <f>'A) Base RI'!AF101</f>
        <v>0</v>
      </c>
      <c r="AM101" s="10">
        <f>'A) Base RI'!AG101</f>
        <v>1188</v>
      </c>
      <c r="AN101" s="10">
        <f>'A) Base RI'!AH101</f>
        <v>0</v>
      </c>
      <c r="AO101" s="10">
        <f>'A) Base RI'!AI101</f>
        <v>0</v>
      </c>
      <c r="AP101" s="10">
        <f>'A) Base RI'!AJ101</f>
        <v>0</v>
      </c>
      <c r="AQ101" s="10">
        <f>'A) Base RI'!AK101</f>
        <v>0</v>
      </c>
      <c r="AR101" s="10">
        <f>'A) Base RI'!AN101</f>
        <v>427</v>
      </c>
    </row>
    <row r="102" spans="1:44" x14ac:dyDescent="0.25">
      <c r="A102" s="8">
        <f>'A) Base RI'!A102</f>
        <v>5557</v>
      </c>
      <c r="B102" s="35" t="str">
        <f>'A) Base RI'!B102</f>
        <v>Fontaines-sur-Grandson</v>
      </c>
      <c r="C102" s="10">
        <f>'A) Base RI'!C102+'A) Base RI'!D102</f>
        <v>237612.44</v>
      </c>
      <c r="D102" s="10">
        <f>'A) Base RI'!AO102</f>
        <v>-5659.04</v>
      </c>
      <c r="E102" s="34">
        <f>'A) Base RI'!AP102</f>
        <v>0</v>
      </c>
      <c r="F102" s="34">
        <f>'A) Base RI'!AQ102</f>
        <v>0</v>
      </c>
      <c r="G102" s="2">
        <f t="shared" si="6"/>
        <v>231953.4</v>
      </c>
      <c r="H102" s="10">
        <f>'A) Base RI'!E102</f>
        <v>0</v>
      </c>
      <c r="I102" s="10">
        <f>'A) Base RI'!F102</f>
        <v>920</v>
      </c>
      <c r="J102" s="10">
        <f>'A) Base RI'!G102+'A) Base RI'!H102</f>
        <v>15286.85</v>
      </c>
      <c r="K102" s="10">
        <f>'A) Base RI'!I102</f>
        <v>0</v>
      </c>
      <c r="L102" s="10">
        <f>'A) Base RI'!J102</f>
        <v>468.87</v>
      </c>
      <c r="M102" s="10">
        <f>'A) Base RI'!K102</f>
        <v>827.5</v>
      </c>
      <c r="N102" s="10">
        <f>'A) Base RI'!Q102</f>
        <v>0</v>
      </c>
      <c r="O102" s="10">
        <f t="shared" si="7"/>
        <v>28633.200000000001</v>
      </c>
      <c r="P102" s="10">
        <f>'A) Base RI'!L102</f>
        <v>28633.200000000001</v>
      </c>
      <c r="Q102" s="37">
        <f>'A) Base RI'!AR102</f>
        <v>1</v>
      </c>
      <c r="R102" s="2">
        <f t="shared" si="8"/>
        <v>278089.82</v>
      </c>
      <c r="S102" s="36">
        <f>'A) Base RI'!AM102</f>
        <v>69</v>
      </c>
      <c r="T102" s="2">
        <f t="shared" si="9"/>
        <v>247709.12</v>
      </c>
      <c r="U102" s="2">
        <f t="shared" si="10"/>
        <v>4030.2872463768117</v>
      </c>
      <c r="V102" s="10">
        <f>'A) Base RI'!O102</f>
        <v>0</v>
      </c>
      <c r="W102" s="10">
        <f>'A) Base RI'!P102</f>
        <v>19013.45</v>
      </c>
      <c r="X102" s="10">
        <f>'A) Base RI'!R102</f>
        <v>15455.4</v>
      </c>
      <c r="Y102" s="2">
        <f t="shared" si="11"/>
        <v>34468.85</v>
      </c>
      <c r="Z102" s="10">
        <f>'A) Base RI'!N102</f>
        <v>1148.05</v>
      </c>
      <c r="AA102" s="10">
        <f>'A) Base RI'!S102+'A) Base RI'!T102</f>
        <v>0</v>
      </c>
      <c r="AB102" s="10">
        <f>+'A) Base RI'!U102</f>
        <v>705</v>
      </c>
      <c r="AC102" s="10">
        <f>'A) Base RI'!V102</f>
        <v>0</v>
      </c>
      <c r="AD102" s="10">
        <f>+'A) Base RI'!W102</f>
        <v>0</v>
      </c>
      <c r="AE102" s="10">
        <f>'A) Base RI'!Y102</f>
        <v>18000</v>
      </c>
      <c r="AF102" s="10">
        <f>'A) Base RI'!Z102</f>
        <v>0</v>
      </c>
      <c r="AG102" s="10">
        <f>'A) Base RI'!AA102</f>
        <v>22800</v>
      </c>
      <c r="AH102" s="10">
        <f>'A) Base RI'!AB102</f>
        <v>0</v>
      </c>
      <c r="AI102" s="10">
        <f>'A) Base RI'!AC102</f>
        <v>13355.7</v>
      </c>
      <c r="AJ102" s="10">
        <f>'A) Base RI'!AD102</f>
        <v>9000</v>
      </c>
      <c r="AK102" s="10">
        <f>'A) Base RI'!AE102</f>
        <v>0</v>
      </c>
      <c r="AL102" s="10">
        <f>'A) Base RI'!AF102</f>
        <v>0</v>
      </c>
      <c r="AM102" s="10">
        <f>'A) Base RI'!AG102</f>
        <v>0</v>
      </c>
      <c r="AN102" s="10">
        <f>'A) Base RI'!AH102</f>
        <v>0</v>
      </c>
      <c r="AO102" s="10">
        <f>'A) Base RI'!AI102</f>
        <v>0</v>
      </c>
      <c r="AP102" s="10">
        <f>'A) Base RI'!AJ102</f>
        <v>0</v>
      </c>
      <c r="AQ102" s="10">
        <f>'A) Base RI'!AK102</f>
        <v>0</v>
      </c>
      <c r="AR102" s="10">
        <f>'A) Base RI'!AN102</f>
        <v>200</v>
      </c>
    </row>
    <row r="103" spans="1:44" x14ac:dyDescent="0.25">
      <c r="A103" s="8">
        <f>'A) Base RI'!A103</f>
        <v>5559</v>
      </c>
      <c r="B103" s="35" t="str">
        <f>'A) Base RI'!B103</f>
        <v>Giez</v>
      </c>
      <c r="C103" s="10">
        <f>'A) Base RI'!C103+'A) Base RI'!D103</f>
        <v>995102.1</v>
      </c>
      <c r="D103" s="10">
        <f>'A) Base RI'!AO103</f>
        <v>-10617.21</v>
      </c>
      <c r="E103" s="34">
        <f>'A) Base RI'!AP103</f>
        <v>0</v>
      </c>
      <c r="F103" s="34">
        <f>'A) Base RI'!AQ103</f>
        <v>-222.1</v>
      </c>
      <c r="G103" s="2">
        <f t="shared" si="6"/>
        <v>984262.79</v>
      </c>
      <c r="H103" s="10">
        <f>'A) Base RI'!E103</f>
        <v>0</v>
      </c>
      <c r="I103" s="10">
        <f>'A) Base RI'!F103</f>
        <v>0</v>
      </c>
      <c r="J103" s="10">
        <f>'A) Base RI'!G103+'A) Base RI'!H103</f>
        <v>114946.75</v>
      </c>
      <c r="K103" s="10">
        <f>'A) Base RI'!I103</f>
        <v>0</v>
      </c>
      <c r="L103" s="10">
        <f>'A) Base RI'!J103</f>
        <v>12072.8</v>
      </c>
      <c r="M103" s="10">
        <f>'A) Base RI'!K103</f>
        <v>3375.5</v>
      </c>
      <c r="N103" s="10">
        <f>'A) Base RI'!Q103</f>
        <v>0</v>
      </c>
      <c r="O103" s="10">
        <f t="shared" si="7"/>
        <v>83185.3</v>
      </c>
      <c r="P103" s="10">
        <f>'A) Base RI'!L103</f>
        <v>83185.3</v>
      </c>
      <c r="Q103" s="37">
        <f>'A) Base RI'!AR103</f>
        <v>1</v>
      </c>
      <c r="R103" s="2">
        <f t="shared" si="8"/>
        <v>1197843.1400000001</v>
      </c>
      <c r="S103" s="36">
        <f>'A) Base RI'!AM103</f>
        <v>66</v>
      </c>
      <c r="T103" s="2">
        <f t="shared" si="9"/>
        <v>1111282.3400000001</v>
      </c>
      <c r="U103" s="2">
        <f t="shared" si="10"/>
        <v>18149.138484848489</v>
      </c>
      <c r="V103" s="10">
        <f>'A) Base RI'!O103</f>
        <v>216185.8</v>
      </c>
      <c r="W103" s="10">
        <f>'A) Base RI'!P103</f>
        <v>77154</v>
      </c>
      <c r="X103" s="10">
        <f>'A) Base RI'!R103</f>
        <v>30207.55</v>
      </c>
      <c r="Y103" s="2">
        <f t="shared" si="11"/>
        <v>323547.34999999998</v>
      </c>
      <c r="Z103" s="10">
        <f>'A) Base RI'!N103</f>
        <v>19419.5</v>
      </c>
      <c r="AA103" s="10">
        <f>'A) Base RI'!S103+'A) Base RI'!T103</f>
        <v>297.25</v>
      </c>
      <c r="AB103" s="10">
        <f>+'A) Base RI'!U103</f>
        <v>920</v>
      </c>
      <c r="AC103" s="10">
        <f>'A) Base RI'!V103</f>
        <v>239</v>
      </c>
      <c r="AD103" s="10">
        <f>+'A) Base RI'!W103</f>
        <v>0</v>
      </c>
      <c r="AE103" s="10">
        <f>'A) Base RI'!Y103</f>
        <v>2846.6</v>
      </c>
      <c r="AF103" s="10">
        <f>'A) Base RI'!Z103</f>
        <v>0</v>
      </c>
      <c r="AG103" s="10">
        <f>'A) Base RI'!AA103</f>
        <v>79376.2</v>
      </c>
      <c r="AH103" s="10">
        <f>'A) Base RI'!AB103</f>
        <v>0</v>
      </c>
      <c r="AI103" s="10">
        <f>'A) Base RI'!AC103</f>
        <v>24920.75</v>
      </c>
      <c r="AJ103" s="10">
        <f>'A) Base RI'!AD103</f>
        <v>2789.65</v>
      </c>
      <c r="AK103" s="10">
        <f>'A) Base RI'!AE103</f>
        <v>0</v>
      </c>
      <c r="AL103" s="10">
        <f>'A) Base RI'!AF103</f>
        <v>0</v>
      </c>
      <c r="AM103" s="10">
        <f>'A) Base RI'!AG103</f>
        <v>4341.2</v>
      </c>
      <c r="AN103" s="10">
        <f>'A) Base RI'!AH103</f>
        <v>0</v>
      </c>
      <c r="AO103" s="10">
        <f>'A) Base RI'!AI103</f>
        <v>0</v>
      </c>
      <c r="AP103" s="10">
        <f>'A) Base RI'!AJ103</f>
        <v>0</v>
      </c>
      <c r="AQ103" s="10">
        <f>'A) Base RI'!AK103</f>
        <v>0</v>
      </c>
      <c r="AR103" s="10">
        <f>'A) Base RI'!AN103</f>
        <v>408</v>
      </c>
    </row>
    <row r="104" spans="1:44" x14ac:dyDescent="0.25">
      <c r="A104" s="8">
        <f>'A) Base RI'!A104</f>
        <v>5560</v>
      </c>
      <c r="B104" s="35" t="str">
        <f>'A) Base RI'!B104</f>
        <v>Grandevent</v>
      </c>
      <c r="C104" s="10">
        <f>'A) Base RI'!C104+'A) Base RI'!D104</f>
        <v>404159.63</v>
      </c>
      <c r="D104" s="10">
        <f>'A) Base RI'!AO104</f>
        <v>-7750.88</v>
      </c>
      <c r="E104" s="34">
        <f>'A) Base RI'!AP104</f>
        <v>0</v>
      </c>
      <c r="F104" s="34">
        <f>'A) Base RI'!AQ104</f>
        <v>0</v>
      </c>
      <c r="G104" s="2">
        <f t="shared" si="6"/>
        <v>396408.75</v>
      </c>
      <c r="H104" s="10">
        <f>'A) Base RI'!E104</f>
        <v>0</v>
      </c>
      <c r="I104" s="10">
        <f>'A) Base RI'!F104</f>
        <v>0</v>
      </c>
      <c r="J104" s="10">
        <f>'A) Base RI'!G104+'A) Base RI'!H104</f>
        <v>498.65000000000003</v>
      </c>
      <c r="K104" s="10">
        <f>'A) Base RI'!I104</f>
        <v>0</v>
      </c>
      <c r="L104" s="10">
        <f>'A) Base RI'!J104</f>
        <v>1383.91</v>
      </c>
      <c r="M104" s="10">
        <f>'A) Base RI'!K104</f>
        <v>624.5</v>
      </c>
      <c r="N104" s="10">
        <f>'A) Base RI'!Q104</f>
        <v>0</v>
      </c>
      <c r="O104" s="10">
        <f t="shared" si="7"/>
        <v>39454.85</v>
      </c>
      <c r="P104" s="10">
        <f>'A) Base RI'!L104</f>
        <v>39454.85</v>
      </c>
      <c r="Q104" s="37">
        <f>'A) Base RI'!AR104</f>
        <v>1</v>
      </c>
      <c r="R104" s="2">
        <f t="shared" si="8"/>
        <v>438370.66</v>
      </c>
      <c r="S104" s="36">
        <f>'A) Base RI'!AM104</f>
        <v>68</v>
      </c>
      <c r="T104" s="2">
        <f t="shared" si="9"/>
        <v>398291.31</v>
      </c>
      <c r="U104" s="2">
        <f t="shared" si="10"/>
        <v>6446.6273529411765</v>
      </c>
      <c r="V104" s="10">
        <f>'A) Base RI'!O104</f>
        <v>0</v>
      </c>
      <c r="W104" s="10">
        <f>'A) Base RI'!P104</f>
        <v>3197.95</v>
      </c>
      <c r="X104" s="10">
        <f>'A) Base RI'!R104</f>
        <v>8674.9500000000007</v>
      </c>
      <c r="Y104" s="2">
        <f t="shared" si="11"/>
        <v>11872.900000000001</v>
      </c>
      <c r="Z104" s="10">
        <f>'A) Base RI'!N104</f>
        <v>0</v>
      </c>
      <c r="AA104" s="10">
        <f>'A) Base RI'!S104+'A) Base RI'!T104</f>
        <v>0</v>
      </c>
      <c r="AB104" s="10">
        <f>+'A) Base RI'!U104</f>
        <v>1450</v>
      </c>
      <c r="AC104" s="10">
        <f>'A) Base RI'!V104</f>
        <v>0</v>
      </c>
      <c r="AD104" s="10">
        <f>+'A) Base RI'!W104</f>
        <v>0</v>
      </c>
      <c r="AE104" s="10">
        <f>'A) Base RI'!Y104</f>
        <v>0</v>
      </c>
      <c r="AF104" s="10">
        <f>'A) Base RI'!Z104</f>
        <v>0</v>
      </c>
      <c r="AG104" s="10">
        <f>'A) Base RI'!AA104</f>
        <v>45256</v>
      </c>
      <c r="AH104" s="10">
        <f>'A) Base RI'!AB104</f>
        <v>0</v>
      </c>
      <c r="AI104" s="10">
        <f>'A) Base RI'!AC104</f>
        <v>13401</v>
      </c>
      <c r="AJ104" s="10">
        <f>'A) Base RI'!AD104</f>
        <v>23800</v>
      </c>
      <c r="AK104" s="10">
        <f>'A) Base RI'!AE104</f>
        <v>0</v>
      </c>
      <c r="AL104" s="10">
        <f>'A) Base RI'!AF104</f>
        <v>0</v>
      </c>
      <c r="AM104" s="10">
        <f>'A) Base RI'!AG104</f>
        <v>1799.5</v>
      </c>
      <c r="AN104" s="10">
        <f>'A) Base RI'!AH104</f>
        <v>0</v>
      </c>
      <c r="AO104" s="10">
        <f>'A) Base RI'!AI104</f>
        <v>0</v>
      </c>
      <c r="AP104" s="10">
        <f>'A) Base RI'!AJ104</f>
        <v>0</v>
      </c>
      <c r="AQ104" s="10">
        <f>'A) Base RI'!AK104</f>
        <v>0</v>
      </c>
      <c r="AR104" s="10">
        <f>'A) Base RI'!AN104</f>
        <v>232</v>
      </c>
    </row>
    <row r="105" spans="1:44" x14ac:dyDescent="0.25">
      <c r="A105" s="8">
        <f>'A) Base RI'!A105</f>
        <v>5561</v>
      </c>
      <c r="B105" s="35" t="str">
        <f>'A) Base RI'!B105</f>
        <v>Grandson</v>
      </c>
      <c r="C105" s="10">
        <f>'A) Base RI'!C105+'A) Base RI'!D105</f>
        <v>6835049.7299999995</v>
      </c>
      <c r="D105" s="10">
        <f>'A) Base RI'!AO105</f>
        <v>-63481.97</v>
      </c>
      <c r="E105" s="34">
        <f>'A) Base RI'!AP105</f>
        <v>-35407.050000000003</v>
      </c>
      <c r="F105" s="34">
        <f>'A) Base RI'!AQ105</f>
        <v>-235.1</v>
      </c>
      <c r="G105" s="2">
        <f t="shared" si="6"/>
        <v>6735925.6100000003</v>
      </c>
      <c r="H105" s="10">
        <f>'A) Base RI'!E105</f>
        <v>0</v>
      </c>
      <c r="I105" s="10">
        <f>'A) Base RI'!F105</f>
        <v>0</v>
      </c>
      <c r="J105" s="10">
        <f>'A) Base RI'!G105+'A) Base RI'!H105</f>
        <v>470018.85000000003</v>
      </c>
      <c r="K105" s="10">
        <f>'A) Base RI'!I105</f>
        <v>1741.1</v>
      </c>
      <c r="L105" s="10">
        <f>'A) Base RI'!J105</f>
        <v>152407.45000000001</v>
      </c>
      <c r="M105" s="10">
        <f>'A) Base RI'!K105</f>
        <v>25527</v>
      </c>
      <c r="N105" s="10">
        <f>'A) Base RI'!Q105</f>
        <v>11090.68</v>
      </c>
      <c r="O105" s="10">
        <f t="shared" si="7"/>
        <v>550047</v>
      </c>
      <c r="P105" s="10">
        <f>'A) Base RI'!L105</f>
        <v>550047</v>
      </c>
      <c r="Q105" s="37">
        <f>'A) Base RI'!AR105</f>
        <v>1</v>
      </c>
      <c r="R105" s="2">
        <f t="shared" si="8"/>
        <v>7946757.6899999995</v>
      </c>
      <c r="S105" s="36">
        <f>'A) Base RI'!AM105</f>
        <v>69</v>
      </c>
      <c r="T105" s="2">
        <f t="shared" si="9"/>
        <v>7371183.6899999995</v>
      </c>
      <c r="U105" s="2">
        <f t="shared" si="10"/>
        <v>115170.40130434782</v>
      </c>
      <c r="V105" s="10">
        <f>'A) Base RI'!O105</f>
        <v>188001.7</v>
      </c>
      <c r="W105" s="10">
        <f>'A) Base RI'!P105</f>
        <v>229584.35</v>
      </c>
      <c r="X105" s="10">
        <f>'A) Base RI'!R105</f>
        <v>245076</v>
      </c>
      <c r="Y105" s="2">
        <f t="shared" si="11"/>
        <v>662662.05000000005</v>
      </c>
      <c r="Z105" s="10">
        <f>'A) Base RI'!N105</f>
        <v>366017.15</v>
      </c>
      <c r="AA105" s="10">
        <f>'A) Base RI'!S105+'A) Base RI'!T105</f>
        <v>8059.5</v>
      </c>
      <c r="AB105" s="10">
        <f>+'A) Base RI'!U105</f>
        <v>10396.4</v>
      </c>
      <c r="AC105" s="10">
        <f>'A) Base RI'!V105</f>
        <v>118.5</v>
      </c>
      <c r="AD105" s="10">
        <f>+'A) Base RI'!W105</f>
        <v>1040</v>
      </c>
      <c r="AE105" s="10">
        <f>'A) Base RI'!Y105</f>
        <v>10348.6</v>
      </c>
      <c r="AF105" s="10">
        <f>'A) Base RI'!Z105</f>
        <v>0</v>
      </c>
      <c r="AG105" s="10">
        <f>'A) Base RI'!AA105</f>
        <v>387515.5</v>
      </c>
      <c r="AH105" s="10">
        <f>'A) Base RI'!AB105</f>
        <v>0</v>
      </c>
      <c r="AI105" s="10">
        <f>'A) Base RI'!AC105</f>
        <v>297592.84999999998</v>
      </c>
      <c r="AJ105" s="10">
        <f>'A) Base RI'!AD105</f>
        <v>352867.95</v>
      </c>
      <c r="AK105" s="10">
        <f>'A) Base RI'!AE105</f>
        <v>0</v>
      </c>
      <c r="AL105" s="10">
        <f>'A) Base RI'!AF105</f>
        <v>0</v>
      </c>
      <c r="AM105" s="10">
        <f>'A) Base RI'!AG105</f>
        <v>57595.4</v>
      </c>
      <c r="AN105" s="10">
        <f>'A) Base RI'!AH105</f>
        <v>98522.8</v>
      </c>
      <c r="AO105" s="10">
        <f>'A) Base RI'!AI105</f>
        <v>0</v>
      </c>
      <c r="AP105" s="10">
        <f>'A) Base RI'!AJ105</f>
        <v>0</v>
      </c>
      <c r="AQ105" s="10">
        <f>'A) Base RI'!AK105</f>
        <v>0</v>
      </c>
      <c r="AR105" s="10">
        <f>'A) Base RI'!AN105</f>
        <v>3313</v>
      </c>
    </row>
    <row r="106" spans="1:44" x14ac:dyDescent="0.25">
      <c r="A106" s="8">
        <f>'A) Base RI'!A106</f>
        <v>5562</v>
      </c>
      <c r="B106" s="35" t="str">
        <f>'A) Base RI'!B106</f>
        <v>Mauborget</v>
      </c>
      <c r="C106" s="10">
        <f>'A) Base RI'!C106+'A) Base RI'!D106</f>
        <v>219886.19</v>
      </c>
      <c r="D106" s="10">
        <f>'A) Base RI'!AO106</f>
        <v>-1806.9</v>
      </c>
      <c r="E106" s="34">
        <f>'A) Base RI'!AP106</f>
        <v>0</v>
      </c>
      <c r="F106" s="34">
        <f>'A) Base RI'!AQ106</f>
        <v>-3.38</v>
      </c>
      <c r="G106" s="2">
        <f t="shared" si="6"/>
        <v>218075.91</v>
      </c>
      <c r="H106" s="10">
        <f>'A) Base RI'!E106</f>
        <v>0</v>
      </c>
      <c r="I106" s="10">
        <f>'A) Base RI'!F106</f>
        <v>720</v>
      </c>
      <c r="J106" s="10">
        <f>'A) Base RI'!G106+'A) Base RI'!H106</f>
        <v>2433.3000000000002</v>
      </c>
      <c r="K106" s="10">
        <f>'A) Base RI'!I106</f>
        <v>0</v>
      </c>
      <c r="L106" s="10">
        <f>'A) Base RI'!J106</f>
        <v>5433.61</v>
      </c>
      <c r="M106" s="10">
        <f>'A) Base RI'!K106</f>
        <v>1155.5</v>
      </c>
      <c r="N106" s="10">
        <f>'A) Base RI'!Q106</f>
        <v>0</v>
      </c>
      <c r="O106" s="10">
        <f t="shared" si="7"/>
        <v>28560.5</v>
      </c>
      <c r="P106" s="10">
        <f>'A) Base RI'!L106</f>
        <v>34272.6</v>
      </c>
      <c r="Q106" s="37">
        <f>'A) Base RI'!AR106</f>
        <v>1.2</v>
      </c>
      <c r="R106" s="2">
        <f t="shared" si="8"/>
        <v>256378.81999999998</v>
      </c>
      <c r="S106" s="36">
        <f>'A) Base RI'!AM106</f>
        <v>70</v>
      </c>
      <c r="T106" s="2">
        <f t="shared" si="9"/>
        <v>225942.81999999998</v>
      </c>
      <c r="U106" s="2">
        <f t="shared" si="10"/>
        <v>3662.5545714285713</v>
      </c>
      <c r="V106" s="10">
        <f>'A) Base RI'!O106</f>
        <v>1214</v>
      </c>
      <c r="W106" s="10">
        <f>'A) Base RI'!P106</f>
        <v>7315</v>
      </c>
      <c r="X106" s="10">
        <f>'A) Base RI'!R106</f>
        <v>7519.9</v>
      </c>
      <c r="Y106" s="2">
        <f t="shared" si="11"/>
        <v>16048.9</v>
      </c>
      <c r="Z106" s="10">
        <f>'A) Base RI'!N106</f>
        <v>0</v>
      </c>
      <c r="AA106" s="10">
        <f>'A) Base RI'!S106+'A) Base RI'!T106</f>
        <v>75</v>
      </c>
      <c r="AB106" s="10">
        <f>+'A) Base RI'!U106</f>
        <v>625</v>
      </c>
      <c r="AC106" s="10">
        <f>'A) Base RI'!V106</f>
        <v>0</v>
      </c>
      <c r="AD106" s="10">
        <f>+'A) Base RI'!W106</f>
        <v>0</v>
      </c>
      <c r="AE106" s="10">
        <f>'A) Base RI'!Y106</f>
        <v>7200</v>
      </c>
      <c r="AF106" s="10">
        <f>'A) Base RI'!Z106</f>
        <v>0</v>
      </c>
      <c r="AG106" s="10">
        <f>'A) Base RI'!AA106</f>
        <v>42795</v>
      </c>
      <c r="AH106" s="10">
        <f>'A) Base RI'!AB106</f>
        <v>0</v>
      </c>
      <c r="AI106" s="10">
        <f>'A) Base RI'!AC106</f>
        <v>17835</v>
      </c>
      <c r="AJ106" s="10">
        <f>'A) Base RI'!AD106</f>
        <v>2700</v>
      </c>
      <c r="AK106" s="10">
        <f>'A) Base RI'!AE106</f>
        <v>0</v>
      </c>
      <c r="AL106" s="10">
        <f>'A) Base RI'!AF106</f>
        <v>0</v>
      </c>
      <c r="AM106" s="10">
        <f>'A) Base RI'!AG106</f>
        <v>6057.85</v>
      </c>
      <c r="AN106" s="10">
        <f>'A) Base RI'!AH106</f>
        <v>0</v>
      </c>
      <c r="AO106" s="10">
        <f>'A) Base RI'!AI106</f>
        <v>0</v>
      </c>
      <c r="AP106" s="10">
        <f>'A) Base RI'!AJ106</f>
        <v>0</v>
      </c>
      <c r="AQ106" s="10">
        <f>'A) Base RI'!AK106</f>
        <v>0</v>
      </c>
      <c r="AR106" s="10">
        <f>'A) Base RI'!AN106</f>
        <v>123</v>
      </c>
    </row>
    <row r="107" spans="1:44" x14ac:dyDescent="0.25">
      <c r="A107" s="8">
        <f>'A) Base RI'!A107</f>
        <v>5563</v>
      </c>
      <c r="B107" s="35" t="str">
        <f>'A) Base RI'!B107</f>
        <v>Mutrux</v>
      </c>
      <c r="C107" s="10">
        <f>'A) Base RI'!C107+'A) Base RI'!D107</f>
        <v>312970.83999999997</v>
      </c>
      <c r="D107" s="10">
        <f>'A) Base RI'!AO107</f>
        <v>-63.53</v>
      </c>
      <c r="E107" s="34">
        <f>'A) Base RI'!AP107</f>
        <v>0</v>
      </c>
      <c r="F107" s="34">
        <f>'A) Base RI'!AQ107</f>
        <v>0</v>
      </c>
      <c r="G107" s="2">
        <f t="shared" si="6"/>
        <v>312907.30999999994</v>
      </c>
      <c r="H107" s="10">
        <f>'A) Base RI'!E107</f>
        <v>0</v>
      </c>
      <c r="I107" s="10">
        <f>'A) Base RI'!F107</f>
        <v>540</v>
      </c>
      <c r="J107" s="10">
        <f>'A) Base RI'!G107+'A) Base RI'!H107</f>
        <v>920.94999999999993</v>
      </c>
      <c r="K107" s="10">
        <f>'A) Base RI'!I107</f>
        <v>0</v>
      </c>
      <c r="L107" s="10">
        <f>'A) Base RI'!J107</f>
        <v>1563.23</v>
      </c>
      <c r="M107" s="10">
        <f>'A) Base RI'!K107</f>
        <v>0</v>
      </c>
      <c r="N107" s="10">
        <f>'A) Base RI'!Q107</f>
        <v>0</v>
      </c>
      <c r="O107" s="10">
        <f t="shared" si="7"/>
        <v>19669.25</v>
      </c>
      <c r="P107" s="10">
        <f>'A) Base RI'!L107</f>
        <v>19669.25</v>
      </c>
      <c r="Q107" s="37">
        <f>'A) Base RI'!AR107</f>
        <v>1</v>
      </c>
      <c r="R107" s="2">
        <f t="shared" si="8"/>
        <v>335600.73999999993</v>
      </c>
      <c r="S107" s="36">
        <f>'A) Base RI'!AM107</f>
        <v>78.5</v>
      </c>
      <c r="T107" s="2">
        <f t="shared" si="9"/>
        <v>315391.48999999993</v>
      </c>
      <c r="U107" s="2">
        <f t="shared" si="10"/>
        <v>4275.1686624203812</v>
      </c>
      <c r="V107" s="10">
        <f>'A) Base RI'!O107</f>
        <v>0</v>
      </c>
      <c r="W107" s="10">
        <f>'A) Base RI'!P107</f>
        <v>15528.95</v>
      </c>
      <c r="X107" s="10">
        <f>'A) Base RI'!R107</f>
        <v>11302.8</v>
      </c>
      <c r="Y107" s="2">
        <f t="shared" si="11"/>
        <v>26831.75</v>
      </c>
      <c r="Z107" s="10">
        <f>'A) Base RI'!N107</f>
        <v>0</v>
      </c>
      <c r="AA107" s="10">
        <f>'A) Base RI'!S107+'A) Base RI'!T107</f>
        <v>200</v>
      </c>
      <c r="AB107" s="10">
        <f>+'A) Base RI'!U107</f>
        <v>699</v>
      </c>
      <c r="AC107" s="10">
        <f>'A) Base RI'!V107</f>
        <v>0</v>
      </c>
      <c r="AD107" s="10">
        <f>+'A) Base RI'!W107</f>
        <v>0</v>
      </c>
      <c r="AE107" s="10">
        <f>'A) Base RI'!Y107</f>
        <v>0</v>
      </c>
      <c r="AF107" s="10">
        <f>'A) Base RI'!Z107</f>
        <v>0</v>
      </c>
      <c r="AG107" s="10">
        <f>'A) Base RI'!AA107</f>
        <v>30747</v>
      </c>
      <c r="AH107" s="10">
        <f>'A) Base RI'!AB107</f>
        <v>10710</v>
      </c>
      <c r="AI107" s="10">
        <f>'A) Base RI'!AC107</f>
        <v>0</v>
      </c>
      <c r="AJ107" s="10">
        <f>'A) Base RI'!AD107</f>
        <v>0</v>
      </c>
      <c r="AK107" s="10">
        <f>'A) Base RI'!AE107</f>
        <v>0</v>
      </c>
      <c r="AL107" s="10">
        <f>'A) Base RI'!AF107</f>
        <v>0</v>
      </c>
      <c r="AM107" s="10">
        <f>'A) Base RI'!AG107</f>
        <v>0</v>
      </c>
      <c r="AN107" s="10">
        <f>'A) Base RI'!AH107</f>
        <v>0</v>
      </c>
      <c r="AO107" s="10">
        <f>'A) Base RI'!AI107</f>
        <v>0</v>
      </c>
      <c r="AP107" s="10">
        <f>'A) Base RI'!AJ107</f>
        <v>0</v>
      </c>
      <c r="AQ107" s="10">
        <f>'A) Base RI'!AK107</f>
        <v>0</v>
      </c>
      <c r="AR107" s="10">
        <f>'A) Base RI'!AN107</f>
        <v>162</v>
      </c>
    </row>
    <row r="108" spans="1:44" x14ac:dyDescent="0.25">
      <c r="A108" s="8">
        <f>'A) Base RI'!A108</f>
        <v>5564</v>
      </c>
      <c r="B108" s="35" t="str">
        <f>'A) Base RI'!B108</f>
        <v>Novalles</v>
      </c>
      <c r="C108" s="10">
        <f>'A) Base RI'!C108+'A) Base RI'!D108</f>
        <v>141890.17000000001</v>
      </c>
      <c r="D108" s="10">
        <f>'A) Base RI'!AO108</f>
        <v>-44.56</v>
      </c>
      <c r="E108" s="34">
        <f>'A) Base RI'!AP108</f>
        <v>0</v>
      </c>
      <c r="F108" s="34">
        <f>'A) Base RI'!AQ108</f>
        <v>0</v>
      </c>
      <c r="G108" s="2">
        <f t="shared" si="6"/>
        <v>141845.61000000002</v>
      </c>
      <c r="H108" s="10">
        <f>'A) Base RI'!E108</f>
        <v>0</v>
      </c>
      <c r="I108" s="10">
        <f>'A) Base RI'!F108</f>
        <v>0</v>
      </c>
      <c r="J108" s="10">
        <f>'A) Base RI'!G108+'A) Base RI'!H108</f>
        <v>217.9</v>
      </c>
      <c r="K108" s="10">
        <f>'A) Base RI'!I108</f>
        <v>0</v>
      </c>
      <c r="L108" s="10">
        <f>'A) Base RI'!J108</f>
        <v>2458.4</v>
      </c>
      <c r="M108" s="10">
        <f>'A) Base RI'!K108</f>
        <v>0</v>
      </c>
      <c r="N108" s="10">
        <f>'A) Base RI'!Q108</f>
        <v>0</v>
      </c>
      <c r="O108" s="10">
        <f t="shared" si="7"/>
        <v>12266.6875</v>
      </c>
      <c r="P108" s="10">
        <f>'A) Base RI'!L108</f>
        <v>9813.35</v>
      </c>
      <c r="Q108" s="37">
        <f>'A) Base RI'!AR108</f>
        <v>0.8</v>
      </c>
      <c r="R108" s="2">
        <f t="shared" si="8"/>
        <v>156788.5975</v>
      </c>
      <c r="S108" s="36">
        <f>'A) Base RI'!AM108</f>
        <v>76</v>
      </c>
      <c r="T108" s="2">
        <f t="shared" si="9"/>
        <v>144521.91</v>
      </c>
      <c r="U108" s="2">
        <f t="shared" si="10"/>
        <v>2063.0078618421053</v>
      </c>
      <c r="V108" s="10">
        <f>'A) Base RI'!O108</f>
        <v>0</v>
      </c>
      <c r="W108" s="10">
        <f>'A) Base RI'!P108</f>
        <v>18370</v>
      </c>
      <c r="X108" s="10">
        <f>'A) Base RI'!R108</f>
        <v>11570.25</v>
      </c>
      <c r="Y108" s="2">
        <f t="shared" si="11"/>
        <v>29940.25</v>
      </c>
      <c r="Z108" s="10">
        <f>'A) Base RI'!N108</f>
        <v>0</v>
      </c>
      <c r="AA108" s="10">
        <f>'A) Base RI'!S108+'A) Base RI'!T108</f>
        <v>350</v>
      </c>
      <c r="AB108" s="10">
        <f>+'A) Base RI'!U108</f>
        <v>290</v>
      </c>
      <c r="AC108" s="10">
        <f>'A) Base RI'!V108</f>
        <v>0</v>
      </c>
      <c r="AD108" s="10">
        <f>+'A) Base RI'!W108</f>
        <v>0</v>
      </c>
      <c r="AE108" s="10">
        <f>'A) Base RI'!Y108</f>
        <v>0</v>
      </c>
      <c r="AF108" s="10">
        <f>'A) Base RI'!Z108</f>
        <v>0</v>
      </c>
      <c r="AG108" s="10">
        <f>'A) Base RI'!AA108</f>
        <v>24685</v>
      </c>
      <c r="AH108" s="10">
        <f>'A) Base RI'!AB108</f>
        <v>0</v>
      </c>
      <c r="AI108" s="10">
        <f>'A) Base RI'!AC108</f>
        <v>7999.05</v>
      </c>
      <c r="AJ108" s="10">
        <f>'A) Base RI'!AD108</f>
        <v>0</v>
      </c>
      <c r="AK108" s="10">
        <f>'A) Base RI'!AE108</f>
        <v>0</v>
      </c>
      <c r="AL108" s="10">
        <f>'A) Base RI'!AF108</f>
        <v>0</v>
      </c>
      <c r="AM108" s="10">
        <f>'A) Base RI'!AG108</f>
        <v>0</v>
      </c>
      <c r="AN108" s="10">
        <f>'A) Base RI'!AH108</f>
        <v>0</v>
      </c>
      <c r="AO108" s="10">
        <f>'A) Base RI'!AI108</f>
        <v>0</v>
      </c>
      <c r="AP108" s="10">
        <f>'A) Base RI'!AJ108</f>
        <v>0</v>
      </c>
      <c r="AQ108" s="10">
        <f>'A) Base RI'!AK108</f>
        <v>0</v>
      </c>
      <c r="AR108" s="10">
        <f>'A) Base RI'!AN108</f>
        <v>101</v>
      </c>
    </row>
    <row r="109" spans="1:44" x14ac:dyDescent="0.25">
      <c r="A109" s="8">
        <f>'A) Base RI'!A109</f>
        <v>5565</v>
      </c>
      <c r="B109" s="35" t="str">
        <f>'A) Base RI'!B109</f>
        <v>Onnens</v>
      </c>
      <c r="C109" s="10">
        <f>'A) Base RI'!C109+'A) Base RI'!D109</f>
        <v>839644.42</v>
      </c>
      <c r="D109" s="10">
        <f>'A) Base RI'!AO109</f>
        <v>-25110.28</v>
      </c>
      <c r="E109" s="34">
        <f>'A) Base RI'!AP109</f>
        <v>0</v>
      </c>
      <c r="F109" s="34">
        <f>'A) Base RI'!AQ109</f>
        <v>-0.05</v>
      </c>
      <c r="G109" s="2">
        <f t="shared" si="6"/>
        <v>814534.09</v>
      </c>
      <c r="H109" s="10">
        <f>'A) Base RI'!E109</f>
        <v>0</v>
      </c>
      <c r="I109" s="10">
        <f>'A) Base RI'!F109</f>
        <v>0</v>
      </c>
      <c r="J109" s="10">
        <f>'A) Base RI'!G109+'A) Base RI'!H109</f>
        <v>191291.2</v>
      </c>
      <c r="K109" s="10">
        <f>'A) Base RI'!I109</f>
        <v>0</v>
      </c>
      <c r="L109" s="10">
        <f>'A) Base RI'!J109</f>
        <v>5494.59</v>
      </c>
      <c r="M109" s="10">
        <f>'A) Base RI'!K109</f>
        <v>21377.5</v>
      </c>
      <c r="N109" s="10">
        <f>'A) Base RI'!Q109</f>
        <v>15624.37</v>
      </c>
      <c r="O109" s="10">
        <f t="shared" si="7"/>
        <v>115360.66666666667</v>
      </c>
      <c r="P109" s="10">
        <f>'A) Base RI'!L109</f>
        <v>86520.5</v>
      </c>
      <c r="Q109" s="37">
        <f>'A) Base RI'!AR109</f>
        <v>0.75</v>
      </c>
      <c r="R109" s="2">
        <f t="shared" si="8"/>
        <v>1163682.4166666667</v>
      </c>
      <c r="S109" s="36">
        <f>'A) Base RI'!AM109</f>
        <v>65</v>
      </c>
      <c r="T109" s="2">
        <f t="shared" si="9"/>
        <v>1026944.25</v>
      </c>
      <c r="U109" s="2">
        <f t="shared" si="10"/>
        <v>17902.806410256413</v>
      </c>
      <c r="V109" s="10">
        <f>'A) Base RI'!O109</f>
        <v>0</v>
      </c>
      <c r="W109" s="10">
        <f>'A) Base RI'!P109</f>
        <v>19691.849999999999</v>
      </c>
      <c r="X109" s="10">
        <f>'A) Base RI'!R109</f>
        <v>291.64999999999998</v>
      </c>
      <c r="Y109" s="2">
        <f t="shared" si="11"/>
        <v>19983.5</v>
      </c>
      <c r="Z109" s="10">
        <f>'A) Base RI'!N109</f>
        <v>25568.9</v>
      </c>
      <c r="AA109" s="10">
        <f>'A) Base RI'!S109+'A) Base RI'!T109</f>
        <v>3384</v>
      </c>
      <c r="AB109" s="10">
        <f>+'A) Base RI'!U109</f>
        <v>2700</v>
      </c>
      <c r="AC109" s="10">
        <f>'A) Base RI'!V109</f>
        <v>0</v>
      </c>
      <c r="AD109" s="10">
        <f>+'A) Base RI'!W109</f>
        <v>0</v>
      </c>
      <c r="AE109" s="10">
        <f>'A) Base RI'!Y109</f>
        <v>9640</v>
      </c>
      <c r="AF109" s="10">
        <f>'A) Base RI'!Z109</f>
        <v>0</v>
      </c>
      <c r="AG109" s="10">
        <f>'A) Base RI'!AA109</f>
        <v>97564.2</v>
      </c>
      <c r="AH109" s="10">
        <f>'A) Base RI'!AB109</f>
        <v>0</v>
      </c>
      <c r="AI109" s="10">
        <f>'A) Base RI'!AC109</f>
        <v>27849.55</v>
      </c>
      <c r="AJ109" s="10">
        <f>'A) Base RI'!AD109</f>
        <v>8780</v>
      </c>
      <c r="AK109" s="10">
        <f>'A) Base RI'!AE109</f>
        <v>0</v>
      </c>
      <c r="AL109" s="10">
        <f>'A) Base RI'!AF109</f>
        <v>0</v>
      </c>
      <c r="AM109" s="10">
        <f>'A) Base RI'!AG109</f>
        <v>4124.6000000000004</v>
      </c>
      <c r="AN109" s="10">
        <f>'A) Base RI'!AH109</f>
        <v>42335.7</v>
      </c>
      <c r="AO109" s="10">
        <f>'A) Base RI'!AI109</f>
        <v>0</v>
      </c>
      <c r="AP109" s="10">
        <f>'A) Base RI'!AJ109</f>
        <v>0</v>
      </c>
      <c r="AQ109" s="10">
        <f>'A) Base RI'!AK109</f>
        <v>0</v>
      </c>
      <c r="AR109" s="10">
        <f>'A) Base RI'!AN109</f>
        <v>500</v>
      </c>
    </row>
    <row r="110" spans="1:44" x14ac:dyDescent="0.25">
      <c r="A110" s="8">
        <f>'A) Base RI'!A110</f>
        <v>5566</v>
      </c>
      <c r="B110" s="35" t="str">
        <f>'A) Base RI'!B110</f>
        <v>Provence</v>
      </c>
      <c r="C110" s="10">
        <f>'A) Base RI'!C110+'A) Base RI'!D110</f>
        <v>603283.22</v>
      </c>
      <c r="D110" s="10">
        <f>'A) Base RI'!AO110</f>
        <v>-4496.8100000000004</v>
      </c>
      <c r="E110" s="34">
        <f>'A) Base RI'!AP110</f>
        <v>0</v>
      </c>
      <c r="F110" s="34">
        <f>'A) Base RI'!AQ110</f>
        <v>0</v>
      </c>
      <c r="G110" s="2">
        <f t="shared" si="6"/>
        <v>598786.40999999992</v>
      </c>
      <c r="H110" s="10">
        <f>'A) Base RI'!E110</f>
        <v>0</v>
      </c>
      <c r="I110" s="10">
        <f>'A) Base RI'!F110</f>
        <v>2580</v>
      </c>
      <c r="J110" s="10">
        <f>'A) Base RI'!G110+'A) Base RI'!H110</f>
        <v>36464.300000000003</v>
      </c>
      <c r="K110" s="10">
        <f>'A) Base RI'!I110</f>
        <v>0</v>
      </c>
      <c r="L110" s="10">
        <f>'A) Base RI'!J110</f>
        <v>8776.07</v>
      </c>
      <c r="M110" s="10">
        <f>'A) Base RI'!K110</f>
        <v>1907.5</v>
      </c>
      <c r="N110" s="10">
        <f>'A) Base RI'!Q110</f>
        <v>0</v>
      </c>
      <c r="O110" s="10">
        <f t="shared" si="7"/>
        <v>48498.633333333331</v>
      </c>
      <c r="P110" s="10">
        <f>'A) Base RI'!L110</f>
        <v>72747.95</v>
      </c>
      <c r="Q110" s="37">
        <f>'A) Base RI'!AR110</f>
        <v>1.5</v>
      </c>
      <c r="R110" s="2">
        <f t="shared" si="8"/>
        <v>697012.91333333321</v>
      </c>
      <c r="S110" s="36">
        <f>'A) Base RI'!AM110</f>
        <v>81</v>
      </c>
      <c r="T110" s="2">
        <f t="shared" si="9"/>
        <v>644026.77999999991</v>
      </c>
      <c r="U110" s="2">
        <f t="shared" si="10"/>
        <v>8605.0976954732487</v>
      </c>
      <c r="V110" s="10">
        <f>'A) Base RI'!O110</f>
        <v>1180</v>
      </c>
      <c r="W110" s="10">
        <f>'A) Base RI'!P110</f>
        <v>29776.15</v>
      </c>
      <c r="X110" s="10">
        <f>'A) Base RI'!R110</f>
        <v>19026.400000000001</v>
      </c>
      <c r="Y110" s="2">
        <f t="shared" si="11"/>
        <v>49982.55</v>
      </c>
      <c r="Z110" s="10">
        <f>'A) Base RI'!N110</f>
        <v>75885.149999999994</v>
      </c>
      <c r="AA110" s="10">
        <f>'A) Base RI'!S110+'A) Base RI'!T110</f>
        <v>1172.25</v>
      </c>
      <c r="AB110" s="10">
        <f>+'A) Base RI'!U110</f>
        <v>1720</v>
      </c>
      <c r="AC110" s="10">
        <f>'A) Base RI'!V110</f>
        <v>0</v>
      </c>
      <c r="AD110" s="10">
        <f>+'A) Base RI'!W110</f>
        <v>0</v>
      </c>
      <c r="AE110" s="10">
        <f>'A) Base RI'!Y110</f>
        <v>0</v>
      </c>
      <c r="AF110" s="10">
        <f>'A) Base RI'!Z110</f>
        <v>0</v>
      </c>
      <c r="AG110" s="10">
        <f>'A) Base RI'!AA110</f>
        <v>48708.2</v>
      </c>
      <c r="AH110" s="10">
        <f>'A) Base RI'!AB110</f>
        <v>0</v>
      </c>
      <c r="AI110" s="10">
        <f>'A) Base RI'!AC110</f>
        <v>31653.599999999999</v>
      </c>
      <c r="AJ110" s="10">
        <f>'A) Base RI'!AD110</f>
        <v>0</v>
      </c>
      <c r="AK110" s="10">
        <f>'A) Base RI'!AE110</f>
        <v>0</v>
      </c>
      <c r="AL110" s="10">
        <f>'A) Base RI'!AF110</f>
        <v>0</v>
      </c>
      <c r="AM110" s="10">
        <f>'A) Base RI'!AG110</f>
        <v>0</v>
      </c>
      <c r="AN110" s="10">
        <f>'A) Base RI'!AH110</f>
        <v>0</v>
      </c>
      <c r="AO110" s="10">
        <f>'A) Base RI'!AI110</f>
        <v>0</v>
      </c>
      <c r="AP110" s="10">
        <f>'A) Base RI'!AJ110</f>
        <v>0</v>
      </c>
      <c r="AQ110" s="10">
        <f>'A) Base RI'!AK110</f>
        <v>0</v>
      </c>
      <c r="AR110" s="10">
        <f>'A) Base RI'!AN110</f>
        <v>390</v>
      </c>
    </row>
    <row r="111" spans="1:44" x14ac:dyDescent="0.25">
      <c r="A111" s="8">
        <f>'A) Base RI'!A111</f>
        <v>5568</v>
      </c>
      <c r="B111" s="35" t="str">
        <f>'A) Base RI'!B111</f>
        <v>Sainte-Croix</v>
      </c>
      <c r="C111" s="10">
        <f>'A) Base RI'!C111+'A) Base RI'!D111</f>
        <v>5898000.8499999996</v>
      </c>
      <c r="D111" s="10">
        <f>'A) Base RI'!AO111</f>
        <v>-206111.56</v>
      </c>
      <c r="E111" s="34">
        <f>'A) Base RI'!AP111</f>
        <v>0</v>
      </c>
      <c r="F111" s="34">
        <f>'A) Base RI'!AQ111</f>
        <v>-2237.85</v>
      </c>
      <c r="G111" s="2">
        <f t="shared" si="6"/>
        <v>5689651.4400000004</v>
      </c>
      <c r="H111" s="10">
        <f>'A) Base RI'!E111</f>
        <v>0</v>
      </c>
      <c r="I111" s="10">
        <f>'A) Base RI'!F111</f>
        <v>0</v>
      </c>
      <c r="J111" s="10">
        <f>'A) Base RI'!G111+'A) Base RI'!H111</f>
        <v>239459.4</v>
      </c>
      <c r="K111" s="10">
        <f>'A) Base RI'!I111</f>
        <v>20500.55</v>
      </c>
      <c r="L111" s="10">
        <f>'A) Base RI'!J111</f>
        <v>174469.09</v>
      </c>
      <c r="M111" s="10">
        <f>'A) Base RI'!K111</f>
        <v>34090.5</v>
      </c>
      <c r="N111" s="10">
        <f>'A) Base RI'!Q111</f>
        <v>35210.550000000003</v>
      </c>
      <c r="O111" s="10">
        <f t="shared" si="7"/>
        <v>542672.25</v>
      </c>
      <c r="P111" s="10">
        <f>'A) Base RI'!L111</f>
        <v>542672.25</v>
      </c>
      <c r="Q111" s="37">
        <f>'A) Base RI'!AR111</f>
        <v>1</v>
      </c>
      <c r="R111" s="2">
        <f t="shared" si="8"/>
        <v>6736053.7800000003</v>
      </c>
      <c r="S111" s="36">
        <f>'A) Base RI'!AM111</f>
        <v>70</v>
      </c>
      <c r="T111" s="2">
        <f t="shared" si="9"/>
        <v>6159291.0300000003</v>
      </c>
      <c r="U111" s="2">
        <f t="shared" si="10"/>
        <v>96229.339714285714</v>
      </c>
      <c r="V111" s="10">
        <f>'A) Base RI'!O111</f>
        <v>194599.3</v>
      </c>
      <c r="W111" s="10">
        <f>'A) Base RI'!P111</f>
        <v>204762.55</v>
      </c>
      <c r="X111" s="10">
        <f>'A) Base RI'!R111</f>
        <v>168712.85</v>
      </c>
      <c r="Y111" s="2">
        <f t="shared" si="11"/>
        <v>568074.69999999995</v>
      </c>
      <c r="Z111" s="10">
        <f>'A) Base RI'!N111</f>
        <v>1980595.05</v>
      </c>
      <c r="AA111" s="10">
        <f>'A) Base RI'!S111+'A) Base RI'!T111</f>
        <v>25291.200000000001</v>
      </c>
      <c r="AB111" s="10">
        <f>+'A) Base RI'!U111</f>
        <v>20550</v>
      </c>
      <c r="AC111" s="10">
        <f>'A) Base RI'!V111</f>
        <v>0</v>
      </c>
      <c r="AD111" s="10">
        <f>+'A) Base RI'!W111</f>
        <v>580.5</v>
      </c>
      <c r="AE111" s="10">
        <f>'A) Base RI'!Y111</f>
        <v>85553.8</v>
      </c>
      <c r="AF111" s="10">
        <f>'A) Base RI'!Z111</f>
        <v>0</v>
      </c>
      <c r="AG111" s="10">
        <f>'A) Base RI'!AA111</f>
        <v>1407240.2</v>
      </c>
      <c r="AH111" s="10">
        <f>'A) Base RI'!AB111</f>
        <v>0</v>
      </c>
      <c r="AI111" s="10">
        <f>'A) Base RI'!AC111</f>
        <v>1007209.61</v>
      </c>
      <c r="AJ111" s="10">
        <f>'A) Base RI'!AD111</f>
        <v>96845</v>
      </c>
      <c r="AK111" s="10">
        <f>'A) Base RI'!AE111</f>
        <v>0</v>
      </c>
      <c r="AL111" s="10">
        <f>'A) Base RI'!AF111</f>
        <v>0</v>
      </c>
      <c r="AM111" s="10">
        <f>'A) Base RI'!AG111</f>
        <v>49002.45</v>
      </c>
      <c r="AN111" s="10">
        <f>'A) Base RI'!AH111</f>
        <v>0</v>
      </c>
      <c r="AO111" s="10">
        <f>'A) Base RI'!AI111</f>
        <v>0</v>
      </c>
      <c r="AP111" s="10">
        <f>'A) Base RI'!AJ111</f>
        <v>80341.850000000006</v>
      </c>
      <c r="AQ111" s="10">
        <f>'A) Base RI'!AK111</f>
        <v>0</v>
      </c>
      <c r="AR111" s="10">
        <f>'A) Base RI'!AN111</f>
        <v>4851</v>
      </c>
    </row>
    <row r="112" spans="1:44" x14ac:dyDescent="0.25">
      <c r="A112" s="8">
        <f>'A) Base RI'!A112</f>
        <v>5571</v>
      </c>
      <c r="B112" s="35" t="str">
        <f>'A) Base RI'!B112</f>
        <v>Tévenon</v>
      </c>
      <c r="C112" s="10">
        <f>'A) Base RI'!C112+'A) Base RI'!D112</f>
        <v>1363698.4</v>
      </c>
      <c r="D112" s="10">
        <f>'A) Base RI'!AO112</f>
        <v>-13839.64</v>
      </c>
      <c r="E112" s="34">
        <f>'A) Base RI'!AP112</f>
        <v>0</v>
      </c>
      <c r="F112" s="34">
        <f>'A) Base RI'!AQ112</f>
        <v>0</v>
      </c>
      <c r="G112" s="2">
        <f t="shared" si="6"/>
        <v>1349858.76</v>
      </c>
      <c r="H112" s="10">
        <f>'A) Base RI'!E112</f>
        <v>0</v>
      </c>
      <c r="I112" s="10">
        <f>'A) Base RI'!F112</f>
        <v>0</v>
      </c>
      <c r="J112" s="10">
        <f>'A) Base RI'!G112+'A) Base RI'!H112</f>
        <v>4959.45</v>
      </c>
      <c r="K112" s="10">
        <f>'A) Base RI'!I112</f>
        <v>0</v>
      </c>
      <c r="L112" s="10">
        <f>'A) Base RI'!J112</f>
        <v>30121.83</v>
      </c>
      <c r="M112" s="10">
        <f>'A) Base RI'!K112</f>
        <v>3834</v>
      </c>
      <c r="N112" s="10">
        <f>'A) Base RI'!Q112</f>
        <v>7593.38</v>
      </c>
      <c r="O112" s="10">
        <f t="shared" si="7"/>
        <v>133965.58333333334</v>
      </c>
      <c r="P112" s="10">
        <f>'A) Base RI'!L112</f>
        <v>160758.70000000001</v>
      </c>
      <c r="Q112" s="37">
        <f>'A) Base RI'!AR112</f>
        <v>1.2</v>
      </c>
      <c r="R112" s="2">
        <f t="shared" si="8"/>
        <v>1530333.0033333332</v>
      </c>
      <c r="S112" s="36">
        <f>'A) Base RI'!AM112</f>
        <v>73</v>
      </c>
      <c r="T112" s="2">
        <f t="shared" si="9"/>
        <v>1392533.42</v>
      </c>
      <c r="U112" s="2">
        <f t="shared" si="10"/>
        <v>20963.465799086756</v>
      </c>
      <c r="V112" s="10">
        <f>'A) Base RI'!O112</f>
        <v>92910.3</v>
      </c>
      <c r="W112" s="10">
        <f>'A) Base RI'!P112</f>
        <v>87698.8</v>
      </c>
      <c r="X112" s="10">
        <f>'A) Base RI'!R112</f>
        <v>179292.55</v>
      </c>
      <c r="Y112" s="2">
        <f t="shared" si="11"/>
        <v>359901.65</v>
      </c>
      <c r="Z112" s="10">
        <f>'A) Base RI'!N112</f>
        <v>60704.55</v>
      </c>
      <c r="AA112" s="10">
        <f>'A) Base RI'!S112+'A) Base RI'!T112</f>
        <v>257.25</v>
      </c>
      <c r="AB112" s="10">
        <f>+'A) Base RI'!U112</f>
        <v>10400</v>
      </c>
      <c r="AC112" s="10">
        <f>'A) Base RI'!V112</f>
        <v>0</v>
      </c>
      <c r="AD112" s="10">
        <f>+'A) Base RI'!W112</f>
        <v>0</v>
      </c>
      <c r="AE112" s="10">
        <f>'A) Base RI'!Y112</f>
        <v>11373.6</v>
      </c>
      <c r="AF112" s="10">
        <f>'A) Base RI'!Z112</f>
        <v>0</v>
      </c>
      <c r="AG112" s="10">
        <f>'A) Base RI'!AA112</f>
        <v>105373.85</v>
      </c>
      <c r="AH112" s="10">
        <f>'A) Base RI'!AB112</f>
        <v>24853.65</v>
      </c>
      <c r="AI112" s="10">
        <f>'A) Base RI'!AC112</f>
        <v>19691.099999999999</v>
      </c>
      <c r="AJ112" s="10">
        <f>'A) Base RI'!AD112</f>
        <v>19868.900000000001</v>
      </c>
      <c r="AK112" s="10">
        <f>'A) Base RI'!AE112</f>
        <v>0</v>
      </c>
      <c r="AL112" s="10">
        <f>'A) Base RI'!AF112</f>
        <v>0</v>
      </c>
      <c r="AM112" s="10">
        <f>'A) Base RI'!AG112</f>
        <v>15558.95</v>
      </c>
      <c r="AN112" s="10">
        <f>'A) Base RI'!AH112</f>
        <v>24699.4</v>
      </c>
      <c r="AO112" s="10">
        <f>'A) Base RI'!AI112</f>
        <v>0</v>
      </c>
      <c r="AP112" s="10">
        <f>'A) Base RI'!AJ112</f>
        <v>0</v>
      </c>
      <c r="AQ112" s="10">
        <f>'A) Base RI'!AK112</f>
        <v>0</v>
      </c>
      <c r="AR112" s="10">
        <f>'A) Base RI'!AN112</f>
        <v>791</v>
      </c>
    </row>
    <row r="113" spans="1:44" x14ac:dyDescent="0.25">
      <c r="A113" s="8">
        <f>'A) Base RI'!A113</f>
        <v>5581</v>
      </c>
      <c r="B113" s="35" t="str">
        <f>'A) Base RI'!B113</f>
        <v>Belmont-sur-Lausanne</v>
      </c>
      <c r="C113" s="10">
        <f>'A) Base RI'!C113+'A) Base RI'!D113</f>
        <v>11727887.630000001</v>
      </c>
      <c r="D113" s="10">
        <f>'A) Base RI'!AO113</f>
        <v>-158806.78</v>
      </c>
      <c r="E113" s="34">
        <f>'A) Base RI'!AP113</f>
        <v>0</v>
      </c>
      <c r="F113" s="34">
        <f>'A) Base RI'!AQ113</f>
        <v>-4511.16</v>
      </c>
      <c r="G113" s="2">
        <f t="shared" si="6"/>
        <v>11564569.690000001</v>
      </c>
      <c r="H113" s="10">
        <f>'A) Base RI'!E113</f>
        <v>0</v>
      </c>
      <c r="I113" s="10">
        <f>'A) Base RI'!F113</f>
        <v>0</v>
      </c>
      <c r="J113" s="10">
        <f>'A) Base RI'!G113+'A) Base RI'!H113</f>
        <v>236857.5</v>
      </c>
      <c r="K113" s="10">
        <f>'A) Base RI'!I113</f>
        <v>108732.05</v>
      </c>
      <c r="L113" s="10">
        <f>'A) Base RI'!J113</f>
        <v>122391.82</v>
      </c>
      <c r="M113" s="10">
        <f>'A) Base RI'!K113</f>
        <v>25990.5</v>
      </c>
      <c r="N113" s="10">
        <f>'A) Base RI'!Q113</f>
        <v>54867.66</v>
      </c>
      <c r="O113" s="10">
        <f t="shared" si="7"/>
        <v>886073.66666666663</v>
      </c>
      <c r="P113" s="10">
        <f>'A) Base RI'!L113</f>
        <v>1329110.5</v>
      </c>
      <c r="Q113" s="37">
        <f>'A) Base RI'!AR113</f>
        <v>1.5</v>
      </c>
      <c r="R113" s="2">
        <f t="shared" si="8"/>
        <v>12999482.886666669</v>
      </c>
      <c r="S113" s="36">
        <f>'A) Base RI'!AM113</f>
        <v>69.5</v>
      </c>
      <c r="T113" s="2">
        <f t="shared" si="9"/>
        <v>12087418.720000003</v>
      </c>
      <c r="U113" s="2">
        <f t="shared" si="10"/>
        <v>187042.91923261393</v>
      </c>
      <c r="V113" s="10">
        <f>'A) Base RI'!O113</f>
        <v>48882.5</v>
      </c>
      <c r="W113" s="10">
        <f>'A) Base RI'!P113</f>
        <v>358353.5</v>
      </c>
      <c r="X113" s="10">
        <f>'A) Base RI'!R113</f>
        <v>239311.6</v>
      </c>
      <c r="Y113" s="2">
        <f t="shared" si="11"/>
        <v>646547.6</v>
      </c>
      <c r="Z113" s="10">
        <f>'A) Base RI'!N113</f>
        <v>0</v>
      </c>
      <c r="AA113" s="10">
        <f>'A) Base RI'!S113+'A) Base RI'!T113</f>
        <v>0</v>
      </c>
      <c r="AB113" s="10">
        <f>+'A) Base RI'!U113</f>
        <v>16970</v>
      </c>
      <c r="AC113" s="10">
        <f>'A) Base RI'!V113</f>
        <v>0</v>
      </c>
      <c r="AD113" s="10">
        <f>+'A) Base RI'!W113</f>
        <v>0</v>
      </c>
      <c r="AE113" s="10">
        <f>'A) Base RI'!Y113</f>
        <v>142377.06</v>
      </c>
      <c r="AF113" s="10">
        <f>'A) Base RI'!Z113</f>
        <v>0</v>
      </c>
      <c r="AG113" s="10">
        <f>'A) Base RI'!AA113</f>
        <v>677237.56</v>
      </c>
      <c r="AH113" s="10">
        <f>'A) Base RI'!AB113</f>
        <v>0</v>
      </c>
      <c r="AI113" s="10">
        <f>'A) Base RI'!AC113</f>
        <v>539844.94999999995</v>
      </c>
      <c r="AJ113" s="10">
        <f>'A) Base RI'!AD113</f>
        <v>238735.22</v>
      </c>
      <c r="AK113" s="10">
        <f>'A) Base RI'!AE113</f>
        <v>0</v>
      </c>
      <c r="AL113" s="10">
        <f>'A) Base RI'!AF113</f>
        <v>0</v>
      </c>
      <c r="AM113" s="10">
        <f>'A) Base RI'!AG113</f>
        <v>9821.6</v>
      </c>
      <c r="AN113" s="10">
        <f>'A) Base RI'!AH113</f>
        <v>0</v>
      </c>
      <c r="AO113" s="10">
        <f>'A) Base RI'!AI113</f>
        <v>72206.55</v>
      </c>
      <c r="AP113" s="10">
        <f>'A) Base RI'!AJ113</f>
        <v>0</v>
      </c>
      <c r="AQ113" s="10">
        <f>'A) Base RI'!AK113</f>
        <v>0</v>
      </c>
      <c r="AR113" s="10">
        <f>'A) Base RI'!AN113</f>
        <v>3564</v>
      </c>
    </row>
    <row r="114" spans="1:44" x14ac:dyDescent="0.25">
      <c r="A114" s="8">
        <f>'A) Base RI'!A114</f>
        <v>5582</v>
      </c>
      <c r="B114" s="35" t="str">
        <f>'A) Base RI'!B114</f>
        <v>Cheseaux-sur-Lausanne</v>
      </c>
      <c r="C114" s="10">
        <f>'A) Base RI'!C114+'A) Base RI'!D114</f>
        <v>9838303.75</v>
      </c>
      <c r="D114" s="10">
        <f>'A) Base RI'!AO114</f>
        <v>-182778.36</v>
      </c>
      <c r="E114" s="34">
        <f>'A) Base RI'!AP114</f>
        <v>0</v>
      </c>
      <c r="F114" s="34">
        <f>'A) Base RI'!AQ114</f>
        <v>-357.5</v>
      </c>
      <c r="G114" s="2">
        <f t="shared" si="6"/>
        <v>9655167.8900000006</v>
      </c>
      <c r="H114" s="10">
        <f>'A) Base RI'!E114</f>
        <v>0</v>
      </c>
      <c r="I114" s="10">
        <f>'A) Base RI'!F114</f>
        <v>0</v>
      </c>
      <c r="J114" s="10">
        <f>'A) Base RI'!G114+'A) Base RI'!H114</f>
        <v>4284330.8999999994</v>
      </c>
      <c r="K114" s="10">
        <f>'A) Base RI'!I114</f>
        <v>31389.35</v>
      </c>
      <c r="L114" s="10">
        <f>'A) Base RI'!J114</f>
        <v>313167.74</v>
      </c>
      <c r="M114" s="10">
        <f>'A) Base RI'!K114</f>
        <v>60429.5</v>
      </c>
      <c r="N114" s="10">
        <f>'A) Base RI'!Q114</f>
        <v>-1252.8499999999999</v>
      </c>
      <c r="O114" s="10">
        <f t="shared" si="7"/>
        <v>826247.7</v>
      </c>
      <c r="P114" s="10">
        <f>'A) Base RI'!L114</f>
        <v>826247.7</v>
      </c>
      <c r="Q114" s="37">
        <f>'A) Base RI'!AR114</f>
        <v>1</v>
      </c>
      <c r="R114" s="2">
        <f t="shared" si="8"/>
        <v>15169480.229999999</v>
      </c>
      <c r="S114" s="36">
        <f>'A) Base RI'!AM114</f>
        <v>74.5</v>
      </c>
      <c r="T114" s="2">
        <f t="shared" si="9"/>
        <v>14282803.029999999</v>
      </c>
      <c r="U114" s="2">
        <f t="shared" si="10"/>
        <v>203617.184295302</v>
      </c>
      <c r="V114" s="10">
        <f>'A) Base RI'!O114</f>
        <v>135075.1</v>
      </c>
      <c r="W114" s="10">
        <f>'A) Base RI'!P114</f>
        <v>229217.15</v>
      </c>
      <c r="X114" s="10">
        <f>'A) Base RI'!R114</f>
        <v>180234.7</v>
      </c>
      <c r="Y114" s="2">
        <f t="shared" si="11"/>
        <v>544526.94999999995</v>
      </c>
      <c r="Z114" s="10">
        <f>'A) Base RI'!N114</f>
        <v>594174.44999999995</v>
      </c>
      <c r="AA114" s="10">
        <f>'A) Base RI'!S114+'A) Base RI'!T114</f>
        <v>8535.15</v>
      </c>
      <c r="AB114" s="10">
        <f>+'A) Base RI'!U114</f>
        <v>15750</v>
      </c>
      <c r="AC114" s="10">
        <f>'A) Base RI'!V114</f>
        <v>0</v>
      </c>
      <c r="AD114" s="10">
        <f>+'A) Base RI'!W114</f>
        <v>0</v>
      </c>
      <c r="AE114" s="10">
        <f>'A) Base RI'!Y114</f>
        <v>-36026.449999999997</v>
      </c>
      <c r="AF114" s="10">
        <f>'A) Base RI'!Z114</f>
        <v>44897.35</v>
      </c>
      <c r="AG114" s="10">
        <f>'A) Base RI'!AA114</f>
        <v>742769.74</v>
      </c>
      <c r="AH114" s="10">
        <f>'A) Base RI'!AB114</f>
        <v>0</v>
      </c>
      <c r="AI114" s="10">
        <f>'A) Base RI'!AC114</f>
        <v>468963.45</v>
      </c>
      <c r="AJ114" s="10">
        <f>'A) Base RI'!AD114</f>
        <v>0</v>
      </c>
      <c r="AK114" s="10">
        <f>'A) Base RI'!AE114</f>
        <v>0</v>
      </c>
      <c r="AL114" s="10">
        <f>'A) Base RI'!AF114</f>
        <v>0</v>
      </c>
      <c r="AM114" s="10">
        <f>'A) Base RI'!AG114</f>
        <v>0</v>
      </c>
      <c r="AN114" s="10">
        <f>'A) Base RI'!AH114</f>
        <v>231911.25</v>
      </c>
      <c r="AO114" s="10">
        <f>'A) Base RI'!AI114</f>
        <v>0</v>
      </c>
      <c r="AP114" s="10">
        <f>'A) Base RI'!AJ114</f>
        <v>0</v>
      </c>
      <c r="AQ114" s="10">
        <f>'A) Base RI'!AK114</f>
        <v>0</v>
      </c>
      <c r="AR114" s="10">
        <f>'A) Base RI'!AN114</f>
        <v>4347</v>
      </c>
    </row>
    <row r="115" spans="1:44" x14ac:dyDescent="0.25">
      <c r="A115" s="8">
        <f>'A) Base RI'!A115</f>
        <v>5583</v>
      </c>
      <c r="B115" s="35" t="str">
        <f>'A) Base RI'!B115</f>
        <v>Crissier</v>
      </c>
      <c r="C115" s="10">
        <f>'A) Base RI'!C115+'A) Base RI'!D115</f>
        <v>12453982.029999999</v>
      </c>
      <c r="D115" s="10">
        <f>'A) Base RI'!AO115</f>
        <v>-321213.89</v>
      </c>
      <c r="E115" s="34">
        <f>'A) Base RI'!AP115</f>
        <v>0</v>
      </c>
      <c r="F115" s="34">
        <f>'A) Base RI'!AQ115</f>
        <v>-1105.7</v>
      </c>
      <c r="G115" s="2">
        <f t="shared" si="6"/>
        <v>12131662.439999999</v>
      </c>
      <c r="H115" s="10">
        <f>'A) Base RI'!E115</f>
        <v>0</v>
      </c>
      <c r="I115" s="10">
        <f>'A) Base RI'!F115</f>
        <v>0</v>
      </c>
      <c r="J115" s="10">
        <f>'A) Base RI'!G115+'A) Base RI'!H115</f>
        <v>4730782.0500000007</v>
      </c>
      <c r="K115" s="10">
        <f>'A) Base RI'!I115</f>
        <v>0</v>
      </c>
      <c r="L115" s="10">
        <f>'A) Base RI'!J115</f>
        <v>810423.92</v>
      </c>
      <c r="M115" s="10">
        <f>'A) Base RI'!K115</f>
        <v>330036.5</v>
      </c>
      <c r="N115" s="10">
        <f>'A) Base RI'!Q115</f>
        <v>119685.05</v>
      </c>
      <c r="O115" s="10">
        <f t="shared" si="7"/>
        <v>2140589.4</v>
      </c>
      <c r="P115" s="10">
        <f>'A) Base RI'!L115</f>
        <v>2140589.4</v>
      </c>
      <c r="Q115" s="37">
        <f>'A) Base RI'!AR115</f>
        <v>1</v>
      </c>
      <c r="R115" s="2">
        <f t="shared" si="8"/>
        <v>20263179.360000003</v>
      </c>
      <c r="S115" s="36">
        <f>'A) Base RI'!AM115</f>
        <v>65</v>
      </c>
      <c r="T115" s="2">
        <f t="shared" si="9"/>
        <v>17792553.460000005</v>
      </c>
      <c r="U115" s="2">
        <f t="shared" si="10"/>
        <v>311741.22092307697</v>
      </c>
      <c r="V115" s="10">
        <f>'A) Base RI'!O115</f>
        <v>119082</v>
      </c>
      <c r="W115" s="10">
        <f>'A) Base RI'!P115</f>
        <v>325479</v>
      </c>
      <c r="X115" s="10">
        <f>'A) Base RI'!R115</f>
        <v>322741.15000000002</v>
      </c>
      <c r="Y115" s="2">
        <f t="shared" si="11"/>
        <v>767302.15</v>
      </c>
      <c r="Z115" s="10">
        <f>'A) Base RI'!N115</f>
        <v>1524139.45</v>
      </c>
      <c r="AA115" s="10">
        <f>'A) Base RI'!S115+'A) Base RI'!T115</f>
        <v>0</v>
      </c>
      <c r="AB115" s="10">
        <f>+'A) Base RI'!U115</f>
        <v>51375</v>
      </c>
      <c r="AC115" s="10">
        <f>'A) Base RI'!V115</f>
        <v>2250</v>
      </c>
      <c r="AD115" s="10">
        <f>+'A) Base RI'!W115</f>
        <v>160113.4</v>
      </c>
      <c r="AE115" s="10">
        <f>'A) Base RI'!Y115</f>
        <v>706956.7</v>
      </c>
      <c r="AF115" s="10">
        <f>'A) Base RI'!Z115</f>
        <v>26351</v>
      </c>
      <c r="AG115" s="10">
        <f>'A) Base RI'!AA115</f>
        <v>0</v>
      </c>
      <c r="AH115" s="10">
        <f>'A) Base RI'!AB115</f>
        <v>0</v>
      </c>
      <c r="AI115" s="10">
        <f>'A) Base RI'!AC115</f>
        <v>922727.95</v>
      </c>
      <c r="AJ115" s="10">
        <f>'A) Base RI'!AD115</f>
        <v>1030536</v>
      </c>
      <c r="AK115" s="10">
        <f>'A) Base RI'!AE115</f>
        <v>1042713</v>
      </c>
      <c r="AL115" s="10">
        <f>'A) Base RI'!AF115</f>
        <v>1363.05</v>
      </c>
      <c r="AM115" s="10">
        <f>'A) Base RI'!AG115</f>
        <v>203584.4</v>
      </c>
      <c r="AN115" s="10">
        <f>'A) Base RI'!AH115</f>
        <v>581548.85</v>
      </c>
      <c r="AO115" s="10">
        <f>'A) Base RI'!AI115</f>
        <v>0</v>
      </c>
      <c r="AP115" s="10">
        <f>'A) Base RI'!AJ115</f>
        <v>59194.05</v>
      </c>
      <c r="AQ115" s="10">
        <f>'A) Base RI'!AK115</f>
        <v>0</v>
      </c>
      <c r="AR115" s="10">
        <f>'A) Base RI'!AN115</f>
        <v>7636</v>
      </c>
    </row>
    <row r="116" spans="1:44" x14ac:dyDescent="0.25">
      <c r="A116" s="8">
        <f>'A) Base RI'!A116</f>
        <v>5584</v>
      </c>
      <c r="B116" s="35" t="str">
        <f>'A) Base RI'!B116</f>
        <v>Epalinges</v>
      </c>
      <c r="C116" s="10">
        <f>'A) Base RI'!C116+'A) Base RI'!D116</f>
        <v>24570129.02</v>
      </c>
      <c r="D116" s="10">
        <f>'A) Base RI'!AO116</f>
        <v>-173912.38</v>
      </c>
      <c r="E116" s="34">
        <f>'A) Base RI'!AP116</f>
        <v>0</v>
      </c>
      <c r="F116" s="34">
        <f>'A) Base RI'!AQ116</f>
        <v>-11263.02</v>
      </c>
      <c r="G116" s="2">
        <f t="shared" si="6"/>
        <v>24384953.620000001</v>
      </c>
      <c r="H116" s="10">
        <f>'A) Base RI'!E116</f>
        <v>0</v>
      </c>
      <c r="I116" s="10">
        <f>'A) Base RI'!F116</f>
        <v>0</v>
      </c>
      <c r="J116" s="10">
        <f>'A) Base RI'!G116+'A) Base RI'!H116</f>
        <v>2201333.85</v>
      </c>
      <c r="K116" s="10">
        <f>'A) Base RI'!I116</f>
        <v>452949.9</v>
      </c>
      <c r="L116" s="10">
        <f>'A) Base RI'!J116</f>
        <v>738290.91</v>
      </c>
      <c r="M116" s="10">
        <f>'A) Base RI'!K116</f>
        <v>187148.5</v>
      </c>
      <c r="N116" s="10">
        <f>'A) Base RI'!Q116</f>
        <v>102824.18</v>
      </c>
      <c r="O116" s="10">
        <f t="shared" si="7"/>
        <v>2008204.7</v>
      </c>
      <c r="P116" s="10">
        <f>'A) Base RI'!L116</f>
        <v>2008204.7</v>
      </c>
      <c r="Q116" s="37">
        <f>'A) Base RI'!AR116</f>
        <v>1</v>
      </c>
      <c r="R116" s="2">
        <f t="shared" si="8"/>
        <v>30075705.66</v>
      </c>
      <c r="S116" s="36">
        <f>'A) Base RI'!AM116</f>
        <v>66</v>
      </c>
      <c r="T116" s="2">
        <f t="shared" si="9"/>
        <v>27880352.460000001</v>
      </c>
      <c r="U116" s="2">
        <f t="shared" si="10"/>
        <v>455692.51</v>
      </c>
      <c r="V116" s="10">
        <f>'A) Base RI'!O116</f>
        <v>2477979.5499999998</v>
      </c>
      <c r="W116" s="10">
        <f>'A) Base RI'!P116</f>
        <v>1068041.8999999999</v>
      </c>
      <c r="X116" s="10">
        <f>'A) Base RI'!R116</f>
        <v>865144.2</v>
      </c>
      <c r="Y116" s="2">
        <f t="shared" si="11"/>
        <v>4411165.6499999994</v>
      </c>
      <c r="Z116" s="10">
        <f>'A) Base RI'!N116</f>
        <v>192165.8</v>
      </c>
      <c r="AA116" s="10">
        <f>'A) Base RI'!S116+'A) Base RI'!T116</f>
        <v>35402.550000000003</v>
      </c>
      <c r="AB116" s="10">
        <f>+'A) Base RI'!U116</f>
        <v>34680</v>
      </c>
      <c r="AC116" s="10">
        <f>'A) Base RI'!V116</f>
        <v>396.2</v>
      </c>
      <c r="AD116" s="10">
        <f>+'A) Base RI'!W116</f>
        <v>0</v>
      </c>
      <c r="AE116" s="10">
        <f>'A) Base RI'!Y116</f>
        <v>631175.71</v>
      </c>
      <c r="AF116" s="10">
        <f>'A) Base RI'!Z116</f>
        <v>0</v>
      </c>
      <c r="AG116" s="10">
        <f>'A) Base RI'!AA116</f>
        <v>517403.84</v>
      </c>
      <c r="AH116" s="10">
        <f>'A) Base RI'!AB116</f>
        <v>0</v>
      </c>
      <c r="AI116" s="10">
        <f>'A) Base RI'!AC116</f>
        <v>700202.49</v>
      </c>
      <c r="AJ116" s="10">
        <f>'A) Base RI'!AD116</f>
        <v>0</v>
      </c>
      <c r="AK116" s="10">
        <f>'A) Base RI'!AE116</f>
        <v>0</v>
      </c>
      <c r="AL116" s="10">
        <f>'A) Base RI'!AF116</f>
        <v>0</v>
      </c>
      <c r="AM116" s="10">
        <f>'A) Base RI'!AG116</f>
        <v>0</v>
      </c>
      <c r="AN116" s="10">
        <f>'A) Base RI'!AH116</f>
        <v>259464.14</v>
      </c>
      <c r="AO116" s="10">
        <f>'A) Base RI'!AI116</f>
        <v>0</v>
      </c>
      <c r="AP116" s="10">
        <f>'A) Base RI'!AJ116</f>
        <v>0</v>
      </c>
      <c r="AQ116" s="10">
        <f>'A) Base RI'!AK116</f>
        <v>0</v>
      </c>
      <c r="AR116" s="10">
        <f>'A) Base RI'!AN116</f>
        <v>9297</v>
      </c>
    </row>
    <row r="117" spans="1:44" x14ac:dyDescent="0.25">
      <c r="A117" s="8">
        <f>'A) Base RI'!A117</f>
        <v>5585</v>
      </c>
      <c r="B117" s="35" t="str">
        <f>'A) Base RI'!B117</f>
        <v>Jouxtens-Mézery</v>
      </c>
      <c r="C117" s="10">
        <f>'A) Base RI'!C117+'A) Base RI'!D117</f>
        <v>9879536.5899999999</v>
      </c>
      <c r="D117" s="10">
        <f>'A) Base RI'!AO117</f>
        <v>-13169.96</v>
      </c>
      <c r="E117" s="34">
        <f>'A) Base RI'!AP117</f>
        <v>0</v>
      </c>
      <c r="F117" s="34">
        <f>'A) Base RI'!AQ117</f>
        <v>-7542.65</v>
      </c>
      <c r="G117" s="2">
        <f t="shared" si="6"/>
        <v>9858823.9799999986</v>
      </c>
      <c r="H117" s="10">
        <f>'A) Base RI'!E117</f>
        <v>0</v>
      </c>
      <c r="I117" s="10">
        <f>'A) Base RI'!F117</f>
        <v>0</v>
      </c>
      <c r="J117" s="10">
        <f>'A) Base RI'!G117+'A) Base RI'!H117</f>
        <v>-36782.1</v>
      </c>
      <c r="K117" s="10">
        <f>'A) Base RI'!I117</f>
        <v>295190.77</v>
      </c>
      <c r="L117" s="10">
        <f>'A) Base RI'!J117</f>
        <v>68448.28</v>
      </c>
      <c r="M117" s="10">
        <f>'A) Base RI'!K117</f>
        <v>7547.5</v>
      </c>
      <c r="N117" s="10">
        <f>'A) Base RI'!Q117</f>
        <v>7968.23</v>
      </c>
      <c r="O117" s="10">
        <f t="shared" si="7"/>
        <v>480750</v>
      </c>
      <c r="P117" s="10">
        <f>'A) Base RI'!L117</f>
        <v>480750</v>
      </c>
      <c r="Q117" s="37">
        <f>'A) Base RI'!AR117</f>
        <v>1</v>
      </c>
      <c r="R117" s="2">
        <f t="shared" si="8"/>
        <v>10681946.659999998</v>
      </c>
      <c r="S117" s="36">
        <f>'A) Base RI'!AM117</f>
        <v>53</v>
      </c>
      <c r="T117" s="2">
        <f t="shared" si="9"/>
        <v>10193649.159999998</v>
      </c>
      <c r="U117" s="2">
        <f t="shared" si="10"/>
        <v>201546.16339622639</v>
      </c>
      <c r="V117" s="10">
        <f>'A) Base RI'!O117</f>
        <v>352886.1</v>
      </c>
      <c r="W117" s="10">
        <f>'A) Base RI'!P117</f>
        <v>369119.4</v>
      </c>
      <c r="X117" s="10">
        <f>'A) Base RI'!R117</f>
        <v>503149.05</v>
      </c>
      <c r="Y117" s="2">
        <f t="shared" si="11"/>
        <v>1225154.55</v>
      </c>
      <c r="Z117" s="10">
        <f>'A) Base RI'!N117</f>
        <v>2901.35</v>
      </c>
      <c r="AA117" s="10">
        <f>'A) Base RI'!S117+'A) Base RI'!T117</f>
        <v>0</v>
      </c>
      <c r="AB117" s="10">
        <f>+'A) Base RI'!U117</f>
        <v>6870</v>
      </c>
      <c r="AC117" s="10">
        <f>'A) Base RI'!V117</f>
        <v>0</v>
      </c>
      <c r="AD117" s="10">
        <f>+'A) Base RI'!W117</f>
        <v>0</v>
      </c>
      <c r="AE117" s="10">
        <f>'A) Base RI'!Y117</f>
        <v>122362.6</v>
      </c>
      <c r="AF117" s="10">
        <f>'A) Base RI'!Z117</f>
        <v>0</v>
      </c>
      <c r="AG117" s="10">
        <f>'A) Base RI'!AA117</f>
        <v>362431.6</v>
      </c>
      <c r="AH117" s="10">
        <f>'A) Base RI'!AB117</f>
        <v>0</v>
      </c>
      <c r="AI117" s="10">
        <f>'A) Base RI'!AC117</f>
        <v>176897.8</v>
      </c>
      <c r="AJ117" s="10">
        <f>'A) Base RI'!AD117</f>
        <v>0</v>
      </c>
      <c r="AK117" s="10">
        <f>'A) Base RI'!AE117</f>
        <v>0</v>
      </c>
      <c r="AL117" s="10">
        <f>'A) Base RI'!AF117</f>
        <v>0</v>
      </c>
      <c r="AM117" s="10">
        <f>'A) Base RI'!AG117</f>
        <v>0</v>
      </c>
      <c r="AN117" s="10">
        <f>'A) Base RI'!AH117</f>
        <v>0</v>
      </c>
      <c r="AO117" s="10">
        <f>'A) Base RI'!AI117</f>
        <v>0</v>
      </c>
      <c r="AP117" s="10">
        <f>'A) Base RI'!AJ117</f>
        <v>0</v>
      </c>
      <c r="AQ117" s="10">
        <f>'A) Base RI'!AK117</f>
        <v>0</v>
      </c>
      <c r="AR117" s="10">
        <f>'A) Base RI'!AN117</f>
        <v>1448</v>
      </c>
    </row>
    <row r="118" spans="1:44" x14ac:dyDescent="0.25">
      <c r="A118" s="8">
        <f>'A) Base RI'!A118</f>
        <v>5586</v>
      </c>
      <c r="B118" s="35" t="str">
        <f>'A) Base RI'!B118</f>
        <v>Lausanne</v>
      </c>
      <c r="C118" s="10">
        <f>'A) Base RI'!C118+'A) Base RI'!D118</f>
        <v>321859758.56000006</v>
      </c>
      <c r="D118" s="10">
        <f>'A) Base RI'!AO118</f>
        <v>-7526201.9299999997</v>
      </c>
      <c r="E118" s="34">
        <f>'A) Base RI'!AP118</f>
        <v>0</v>
      </c>
      <c r="F118" s="34">
        <f>'A) Base RI'!AQ118</f>
        <v>-219351.42</v>
      </c>
      <c r="G118" s="2">
        <f t="shared" si="6"/>
        <v>314114205.21000004</v>
      </c>
      <c r="H118" s="10">
        <f>'A) Base RI'!E118</f>
        <v>0</v>
      </c>
      <c r="I118" s="10">
        <f>'A) Base RI'!F118</f>
        <v>0</v>
      </c>
      <c r="J118" s="10">
        <f>'A) Base RI'!G118+'A) Base RI'!H118</f>
        <v>102894479.25</v>
      </c>
      <c r="K118" s="10">
        <f>'A) Base RI'!I118</f>
        <v>4712879.03</v>
      </c>
      <c r="L118" s="10">
        <f>'A) Base RI'!J118</f>
        <v>27949815.609999999</v>
      </c>
      <c r="M118" s="10">
        <f>'A) Base RI'!K118</f>
        <v>4994475.5</v>
      </c>
      <c r="N118" s="10">
        <f>'A) Base RI'!Q118</f>
        <v>2110351.9700000002</v>
      </c>
      <c r="O118" s="10">
        <f t="shared" si="7"/>
        <v>23182713.233333334</v>
      </c>
      <c r="P118" s="10">
        <f>'A) Base RI'!L118</f>
        <v>34774069.850000001</v>
      </c>
      <c r="Q118" s="37">
        <f>'A) Base RI'!AR118</f>
        <v>1.5</v>
      </c>
      <c r="R118" s="2">
        <f t="shared" si="8"/>
        <v>479958919.8033334</v>
      </c>
      <c r="S118" s="36">
        <f>'A) Base RI'!AM118</f>
        <v>79</v>
      </c>
      <c r="T118" s="2">
        <f t="shared" si="9"/>
        <v>451781731.07000005</v>
      </c>
      <c r="U118" s="2">
        <f t="shared" si="10"/>
        <v>6075429.3645991571</v>
      </c>
      <c r="V118" s="10">
        <f>'A) Base RI'!O118</f>
        <v>11758751.1</v>
      </c>
      <c r="W118" s="10">
        <f>'A) Base RI'!P118</f>
        <v>7847212.2999999998</v>
      </c>
      <c r="X118" s="10">
        <f>'A) Base RI'!R118</f>
        <v>5276908.05</v>
      </c>
      <c r="Y118" s="2">
        <f t="shared" si="11"/>
        <v>24882871.449999999</v>
      </c>
      <c r="Z118" s="10">
        <f>'A) Base RI'!N118</f>
        <v>10836314.949999999</v>
      </c>
      <c r="AA118" s="10">
        <f>'A) Base RI'!S118+'A) Base RI'!T118</f>
        <v>0</v>
      </c>
      <c r="AB118" s="10">
        <f>+'A) Base RI'!U118</f>
        <v>309490</v>
      </c>
      <c r="AC118" s="10">
        <f>'A) Base RI'!V118</f>
        <v>5840690.5499999998</v>
      </c>
      <c r="AD118" s="10">
        <f>+'A) Base RI'!W118</f>
        <v>0</v>
      </c>
      <c r="AE118" s="10">
        <f>'A) Base RI'!Y118</f>
        <v>3182696.35</v>
      </c>
      <c r="AF118" s="10">
        <f>'A) Base RI'!Z118</f>
        <v>0</v>
      </c>
      <c r="AG118" s="10">
        <f>'A) Base RI'!AA118</f>
        <v>14499876.380000001</v>
      </c>
      <c r="AH118" s="10">
        <f>'A) Base RI'!AB118</f>
        <v>0</v>
      </c>
      <c r="AI118" s="10">
        <f>'A) Base RI'!AC118</f>
        <v>21202478.129999999</v>
      </c>
      <c r="AJ118" s="10">
        <f>'A) Base RI'!AD118</f>
        <v>6005295.0999999996</v>
      </c>
      <c r="AK118" s="10">
        <f>'A) Base RI'!AE118</f>
        <v>0</v>
      </c>
      <c r="AL118" s="10">
        <f>'A) Base RI'!AF118</f>
        <v>0</v>
      </c>
      <c r="AM118" s="10">
        <f>'A) Base RI'!AG118</f>
        <v>3683582.35</v>
      </c>
      <c r="AN118" s="10">
        <f>'A) Base RI'!AH118</f>
        <v>7697863.7800000003</v>
      </c>
      <c r="AO118" s="10">
        <f>'A) Base RI'!AI118</f>
        <v>7378313.04</v>
      </c>
      <c r="AP118" s="10">
        <f>'A) Base RI'!AJ118</f>
        <v>1677011.62</v>
      </c>
      <c r="AQ118" s="10">
        <f>'A) Base RI'!AK118</f>
        <v>1677030.22</v>
      </c>
      <c r="AR118" s="10">
        <f>'A) Base RI'!AN118</f>
        <v>137053</v>
      </c>
    </row>
    <row r="119" spans="1:44" x14ac:dyDescent="0.25">
      <c r="A119" s="8">
        <f>'A) Base RI'!A119</f>
        <v>5587</v>
      </c>
      <c r="B119" s="35" t="str">
        <f>'A) Base RI'!B119</f>
        <v>Le Mont-sur-Lausanne</v>
      </c>
      <c r="C119" s="10">
        <f>'A) Base RI'!C119+'A) Base RI'!D119</f>
        <v>24353977.630000003</v>
      </c>
      <c r="D119" s="10">
        <f>'A) Base RI'!AO119</f>
        <v>-283461.99</v>
      </c>
      <c r="E119" s="34">
        <f>'A) Base RI'!AP119</f>
        <v>0</v>
      </c>
      <c r="F119" s="34">
        <f>'A) Base RI'!AQ119</f>
        <v>-11481.91</v>
      </c>
      <c r="G119" s="2">
        <f t="shared" si="6"/>
        <v>24059033.730000004</v>
      </c>
      <c r="H119" s="10">
        <f>'A) Base RI'!E119</f>
        <v>0</v>
      </c>
      <c r="I119" s="10">
        <f>'A) Base RI'!F119</f>
        <v>0</v>
      </c>
      <c r="J119" s="10">
        <f>'A) Base RI'!G119+'A) Base RI'!H119</f>
        <v>3427066.15</v>
      </c>
      <c r="K119" s="10">
        <f>'A) Base RI'!I119</f>
        <v>489915.45</v>
      </c>
      <c r="L119" s="10">
        <f>'A) Base RI'!J119</f>
        <v>777442.22</v>
      </c>
      <c r="M119" s="10">
        <f>'A) Base RI'!K119</f>
        <v>182070.5</v>
      </c>
      <c r="N119" s="10">
        <f>'A) Base RI'!Q119</f>
        <v>72598.78</v>
      </c>
      <c r="O119" s="10">
        <f t="shared" si="7"/>
        <v>1992658.375</v>
      </c>
      <c r="P119" s="10">
        <f>'A) Base RI'!L119</f>
        <v>2391190.0499999998</v>
      </c>
      <c r="Q119" s="37">
        <f>'A) Base RI'!AR119</f>
        <v>1.2</v>
      </c>
      <c r="R119" s="2">
        <f t="shared" si="8"/>
        <v>31000785.205000002</v>
      </c>
      <c r="S119" s="36">
        <f>'A) Base RI'!AM119</f>
        <v>75</v>
      </c>
      <c r="T119" s="2">
        <f t="shared" si="9"/>
        <v>28826056.330000002</v>
      </c>
      <c r="U119" s="2">
        <f t="shared" si="10"/>
        <v>413343.80273333337</v>
      </c>
      <c r="V119" s="10">
        <f>'A) Base RI'!O119</f>
        <v>471083</v>
      </c>
      <c r="W119" s="10">
        <f>'A) Base RI'!P119</f>
        <v>1089369.95</v>
      </c>
      <c r="X119" s="10">
        <f>'A) Base RI'!R119</f>
        <v>362440.8</v>
      </c>
      <c r="Y119" s="2">
        <f t="shared" si="11"/>
        <v>1922893.75</v>
      </c>
      <c r="Z119" s="10">
        <f>'A) Base RI'!N119</f>
        <v>462043.85</v>
      </c>
      <c r="AA119" s="10">
        <f>'A) Base RI'!S119+'A) Base RI'!T119</f>
        <v>25809.5</v>
      </c>
      <c r="AB119" s="10">
        <f>+'A) Base RI'!U119</f>
        <v>34250</v>
      </c>
      <c r="AC119" s="10">
        <f>'A) Base RI'!V119</f>
        <v>0</v>
      </c>
      <c r="AD119" s="10">
        <f>+'A) Base RI'!W119</f>
        <v>0</v>
      </c>
      <c r="AE119" s="10">
        <f>'A) Base RI'!Y119</f>
        <v>813082</v>
      </c>
      <c r="AF119" s="10">
        <f>'A) Base RI'!Z119</f>
        <v>0</v>
      </c>
      <c r="AG119" s="10">
        <f>'A) Base RI'!AA119</f>
        <v>1494286.25</v>
      </c>
      <c r="AH119" s="10">
        <f>'A) Base RI'!AB119</f>
        <v>0</v>
      </c>
      <c r="AI119" s="10">
        <f>'A) Base RI'!AC119</f>
        <v>646140.36</v>
      </c>
      <c r="AJ119" s="10">
        <f>'A) Base RI'!AD119</f>
        <v>0</v>
      </c>
      <c r="AK119" s="10">
        <f>'A) Base RI'!AE119</f>
        <v>0</v>
      </c>
      <c r="AL119" s="10">
        <f>'A) Base RI'!AF119</f>
        <v>0</v>
      </c>
      <c r="AM119" s="10">
        <f>'A) Base RI'!AG119</f>
        <v>0</v>
      </c>
      <c r="AN119" s="10">
        <f>'A) Base RI'!AH119</f>
        <v>288692.78000000003</v>
      </c>
      <c r="AO119" s="10">
        <f>'A) Base RI'!AI119</f>
        <v>0</v>
      </c>
      <c r="AP119" s="10">
        <f>'A) Base RI'!AJ119</f>
        <v>0</v>
      </c>
      <c r="AQ119" s="10">
        <f>'A) Base RI'!AK119</f>
        <v>0</v>
      </c>
      <c r="AR119" s="10">
        <f>'A) Base RI'!AN119</f>
        <v>7881</v>
      </c>
    </row>
    <row r="120" spans="1:44" x14ac:dyDescent="0.25">
      <c r="A120" s="8">
        <f>'A) Base RI'!A120</f>
        <v>5588</v>
      </c>
      <c r="B120" s="35" t="str">
        <f>'A) Base RI'!B120</f>
        <v>Paudex</v>
      </c>
      <c r="C120" s="10">
        <f>'A) Base RI'!C120+'A) Base RI'!D120</f>
        <v>7174981.2800000003</v>
      </c>
      <c r="D120" s="10">
        <f>'A) Base RI'!AO120</f>
        <v>-49562.78</v>
      </c>
      <c r="E120" s="34">
        <f>'A) Base RI'!AP120</f>
        <v>0</v>
      </c>
      <c r="F120" s="34">
        <f>'A) Base RI'!AQ120</f>
        <v>-22608.21</v>
      </c>
      <c r="G120" s="2">
        <f t="shared" si="6"/>
        <v>7102810.29</v>
      </c>
      <c r="H120" s="10">
        <f>'A) Base RI'!E120</f>
        <v>0</v>
      </c>
      <c r="I120" s="10">
        <f>'A) Base RI'!F120</f>
        <v>0</v>
      </c>
      <c r="J120" s="10">
        <f>'A) Base RI'!G120+'A) Base RI'!H120</f>
        <v>1261032</v>
      </c>
      <c r="K120" s="10">
        <f>'A) Base RI'!I120</f>
        <v>558615.4</v>
      </c>
      <c r="L120" s="10">
        <f>'A) Base RI'!J120</f>
        <v>317263.40000000002</v>
      </c>
      <c r="M120" s="10">
        <f>'A) Base RI'!K120</f>
        <v>37323.5</v>
      </c>
      <c r="N120" s="10">
        <f>'A) Base RI'!Q120</f>
        <v>9168.6200000000008</v>
      </c>
      <c r="O120" s="10">
        <f t="shared" si="7"/>
        <v>553822.28571428568</v>
      </c>
      <c r="P120" s="10">
        <f>'A) Base RI'!L120</f>
        <v>387675.6</v>
      </c>
      <c r="Q120" s="37">
        <f>'A) Base RI'!AR120</f>
        <v>0.7</v>
      </c>
      <c r="R120" s="2">
        <f t="shared" si="8"/>
        <v>9840035.4957142845</v>
      </c>
      <c r="S120" s="36">
        <f>'A) Base RI'!AM120</f>
        <v>61.5</v>
      </c>
      <c r="T120" s="2">
        <f t="shared" si="9"/>
        <v>9248889.709999999</v>
      </c>
      <c r="U120" s="2">
        <f t="shared" si="10"/>
        <v>160000.57716608592</v>
      </c>
      <c r="V120" s="10">
        <f>'A) Base RI'!O120</f>
        <v>379750</v>
      </c>
      <c r="W120" s="10">
        <f>'A) Base RI'!P120</f>
        <v>77181.5</v>
      </c>
      <c r="X120" s="10">
        <f>'A) Base RI'!R120</f>
        <v>91613.45</v>
      </c>
      <c r="Y120" s="2">
        <f t="shared" si="11"/>
        <v>548544.94999999995</v>
      </c>
      <c r="Z120" s="10">
        <f>'A) Base RI'!N120</f>
        <v>20109.5</v>
      </c>
      <c r="AA120" s="10">
        <f>'A) Base RI'!S120+'A) Base RI'!T120</f>
        <v>14607.1</v>
      </c>
      <c r="AB120" s="10">
        <f>+'A) Base RI'!U120</f>
        <v>5475</v>
      </c>
      <c r="AC120" s="10">
        <f>'A) Base RI'!V120</f>
        <v>0</v>
      </c>
      <c r="AD120" s="10">
        <f>+'A) Base RI'!W120</f>
        <v>0</v>
      </c>
      <c r="AE120" s="10">
        <f>'A) Base RI'!Y120</f>
        <v>64186.400000000001</v>
      </c>
      <c r="AF120" s="10">
        <f>'A) Base RI'!Z120</f>
        <v>14736.72</v>
      </c>
      <c r="AG120" s="10">
        <f>'A) Base RI'!AA120</f>
        <v>113337.56</v>
      </c>
      <c r="AH120" s="10">
        <f>'A) Base RI'!AB120</f>
        <v>0</v>
      </c>
      <c r="AI120" s="10">
        <f>'A) Base RI'!AC120</f>
        <v>132765.79999999999</v>
      </c>
      <c r="AJ120" s="10">
        <f>'A) Base RI'!AD120</f>
        <v>62674.26</v>
      </c>
      <c r="AK120" s="10">
        <f>'A) Base RI'!AE120</f>
        <v>14389.5</v>
      </c>
      <c r="AL120" s="10">
        <f>'A) Base RI'!AF120</f>
        <v>0</v>
      </c>
      <c r="AM120" s="10">
        <f>'A) Base RI'!AG120</f>
        <v>0</v>
      </c>
      <c r="AN120" s="10">
        <f>'A) Base RI'!AH120</f>
        <v>0</v>
      </c>
      <c r="AO120" s="10">
        <f>'A) Base RI'!AI120</f>
        <v>30559.200000000001</v>
      </c>
      <c r="AP120" s="10">
        <f>'A) Base RI'!AJ120</f>
        <v>0</v>
      </c>
      <c r="AQ120" s="10">
        <f>'A) Base RI'!AK120</f>
        <v>15279.58</v>
      </c>
      <c r="AR120" s="10">
        <f>'A) Base RI'!AN120</f>
        <v>1473</v>
      </c>
    </row>
    <row r="121" spans="1:44" x14ac:dyDescent="0.25">
      <c r="A121" s="8">
        <f>'A) Base RI'!A121</f>
        <v>5589</v>
      </c>
      <c r="B121" s="35" t="str">
        <f>'A) Base RI'!B121</f>
        <v>Prilly</v>
      </c>
      <c r="C121" s="10">
        <f>'A) Base RI'!C121+'A) Base RI'!D121</f>
        <v>19416936.150000002</v>
      </c>
      <c r="D121" s="10">
        <f>'A) Base RI'!AO121</f>
        <v>-587908.07999999996</v>
      </c>
      <c r="E121" s="34">
        <f>'A) Base RI'!AP121</f>
        <v>0</v>
      </c>
      <c r="F121" s="34">
        <f>'A) Base RI'!AQ121</f>
        <v>-14714.01</v>
      </c>
      <c r="G121" s="2">
        <f t="shared" si="6"/>
        <v>18814314.060000002</v>
      </c>
      <c r="H121" s="10">
        <f>'A) Base RI'!E121</f>
        <v>0</v>
      </c>
      <c r="I121" s="10">
        <f>'A) Base RI'!F121</f>
        <v>0</v>
      </c>
      <c r="J121" s="10">
        <f>'A) Base RI'!G121+'A) Base RI'!H121</f>
        <v>9201788.6500000004</v>
      </c>
      <c r="K121" s="10">
        <f>'A) Base RI'!I121</f>
        <v>52862.85</v>
      </c>
      <c r="L121" s="10">
        <f>'A) Base RI'!J121</f>
        <v>1751051.54</v>
      </c>
      <c r="M121" s="10">
        <f>'A) Base RI'!K121</f>
        <v>349960.5</v>
      </c>
      <c r="N121" s="10">
        <f>'A) Base RI'!Q121</f>
        <v>94233.13</v>
      </c>
      <c r="O121" s="10">
        <f t="shared" si="7"/>
        <v>1897495.35</v>
      </c>
      <c r="P121" s="10">
        <f>'A) Base RI'!L121</f>
        <v>1897495.35</v>
      </c>
      <c r="Q121" s="37">
        <f>'A) Base RI'!AR121</f>
        <v>1</v>
      </c>
      <c r="R121" s="2">
        <f t="shared" si="8"/>
        <v>32161706.080000002</v>
      </c>
      <c r="S121" s="36">
        <f>'A) Base RI'!AM121</f>
        <v>73.5</v>
      </c>
      <c r="T121" s="2">
        <f t="shared" si="9"/>
        <v>29914250.23</v>
      </c>
      <c r="U121" s="2">
        <f t="shared" si="10"/>
        <v>437574.2323809524</v>
      </c>
      <c r="V121" s="10">
        <f>'A) Base RI'!O121</f>
        <v>643056.19999999995</v>
      </c>
      <c r="W121" s="10">
        <f>'A) Base RI'!P121</f>
        <v>997131.55</v>
      </c>
      <c r="X121" s="10">
        <f>'A) Base RI'!R121</f>
        <v>822062.6</v>
      </c>
      <c r="Y121" s="2">
        <f t="shared" si="11"/>
        <v>2462250.35</v>
      </c>
      <c r="Z121" s="10">
        <f>'A) Base RI'!N121</f>
        <v>1188811.95</v>
      </c>
      <c r="AA121" s="10">
        <f>'A) Base RI'!S121+'A) Base RI'!T121</f>
        <v>38330.25</v>
      </c>
      <c r="AB121" s="10">
        <f>+'A) Base RI'!U121</f>
        <v>37620</v>
      </c>
      <c r="AC121" s="10">
        <f>'A) Base RI'!V121</f>
        <v>0</v>
      </c>
      <c r="AD121" s="10">
        <f>+'A) Base RI'!W121</f>
        <v>15183.7</v>
      </c>
      <c r="AE121" s="10">
        <f>'A) Base RI'!Y121</f>
        <v>709649.35</v>
      </c>
      <c r="AF121" s="10">
        <f>'A) Base RI'!Z121</f>
        <v>0</v>
      </c>
      <c r="AG121" s="10">
        <f>'A) Base RI'!AA121</f>
        <v>1299100</v>
      </c>
      <c r="AH121" s="10">
        <f>'A) Base RI'!AB121</f>
        <v>0</v>
      </c>
      <c r="AI121" s="10">
        <f>'A) Base RI'!AC121</f>
        <v>788122.45</v>
      </c>
      <c r="AJ121" s="10">
        <f>'A) Base RI'!AD121</f>
        <v>0</v>
      </c>
      <c r="AK121" s="10">
        <f>'A) Base RI'!AE121</f>
        <v>0</v>
      </c>
      <c r="AL121" s="10">
        <f>'A) Base RI'!AF121</f>
        <v>0</v>
      </c>
      <c r="AM121" s="10">
        <f>'A) Base RI'!AG121</f>
        <v>0</v>
      </c>
      <c r="AN121" s="10">
        <f>'A) Base RI'!AH121</f>
        <v>354296.21</v>
      </c>
      <c r="AO121" s="10">
        <f>'A) Base RI'!AI121</f>
        <v>0</v>
      </c>
      <c r="AP121" s="10">
        <f>'A) Base RI'!AJ121</f>
        <v>0</v>
      </c>
      <c r="AQ121" s="10">
        <f>'A) Base RI'!AK121</f>
        <v>91104.75</v>
      </c>
      <c r="AR121" s="10">
        <f>'A) Base RI'!AN121</f>
        <v>11871</v>
      </c>
    </row>
    <row r="122" spans="1:44" x14ac:dyDescent="0.25">
      <c r="A122" s="8">
        <f>'A) Base RI'!A122</f>
        <v>5590</v>
      </c>
      <c r="B122" s="35" t="str">
        <f>'A) Base RI'!B122</f>
        <v>Pully</v>
      </c>
      <c r="C122" s="10">
        <f>'A) Base RI'!C122+'A) Base RI'!D122</f>
        <v>70580678.75</v>
      </c>
      <c r="D122" s="10">
        <f>'A) Base RI'!AO122</f>
        <v>-586394.19999999995</v>
      </c>
      <c r="E122" s="34">
        <f>'A) Base RI'!AP122</f>
        <v>0</v>
      </c>
      <c r="F122" s="34">
        <f>'A) Base RI'!AQ122</f>
        <v>-417602.01</v>
      </c>
      <c r="G122" s="2">
        <f t="shared" si="6"/>
        <v>69576682.539999992</v>
      </c>
      <c r="H122" s="10">
        <f>'A) Base RI'!E122</f>
        <v>0</v>
      </c>
      <c r="I122" s="10">
        <f>'A) Base RI'!F122</f>
        <v>0</v>
      </c>
      <c r="J122" s="10">
        <f>'A) Base RI'!G122+'A) Base RI'!H122</f>
        <v>6879234.1500000004</v>
      </c>
      <c r="K122" s="10">
        <f>'A) Base RI'!I122</f>
        <v>3385875.18</v>
      </c>
      <c r="L122" s="10">
        <f>'A) Base RI'!J122</f>
        <v>1974307.36</v>
      </c>
      <c r="M122" s="10">
        <f>'A) Base RI'!K122</f>
        <v>390224</v>
      </c>
      <c r="N122" s="10">
        <f>'A) Base RI'!Q122</f>
        <v>61780.91</v>
      </c>
      <c r="O122" s="10">
        <f t="shared" si="7"/>
        <v>4492087.2857142864</v>
      </c>
      <c r="P122" s="10">
        <f>'A) Base RI'!L122</f>
        <v>3144461.1</v>
      </c>
      <c r="Q122" s="37">
        <f>'A) Base RI'!AR122</f>
        <v>0.7</v>
      </c>
      <c r="R122" s="2">
        <f t="shared" si="8"/>
        <v>86760191.425714284</v>
      </c>
      <c r="S122" s="36">
        <f>'A) Base RI'!AM122</f>
        <v>61</v>
      </c>
      <c r="T122" s="2">
        <f t="shared" si="9"/>
        <v>81877880.140000001</v>
      </c>
      <c r="U122" s="2">
        <f t="shared" si="10"/>
        <v>1422298.2200936768</v>
      </c>
      <c r="V122" s="10">
        <f>'A) Base RI'!O122</f>
        <v>3392751.3</v>
      </c>
      <c r="W122" s="10">
        <f>'A) Base RI'!P122</f>
        <v>2938483.9</v>
      </c>
      <c r="X122" s="10">
        <f>'A) Base RI'!R122</f>
        <v>1489359.25</v>
      </c>
      <c r="Y122" s="2">
        <f t="shared" si="11"/>
        <v>7820594.4499999993</v>
      </c>
      <c r="Z122" s="10">
        <f>'A) Base RI'!N122</f>
        <v>130183.05</v>
      </c>
      <c r="AA122" s="10">
        <f>'A) Base RI'!S122+'A) Base RI'!T122</f>
        <v>25439.4</v>
      </c>
      <c r="AB122" s="10">
        <f>+'A) Base RI'!U122</f>
        <v>50350</v>
      </c>
      <c r="AC122" s="10">
        <f>'A) Base RI'!V122</f>
        <v>0</v>
      </c>
      <c r="AD122" s="10">
        <f>+'A) Base RI'!W122</f>
        <v>0</v>
      </c>
      <c r="AE122" s="10">
        <f>'A) Base RI'!Y122</f>
        <v>564992.74</v>
      </c>
      <c r="AF122" s="10">
        <f>'A) Base RI'!Z122</f>
        <v>0</v>
      </c>
      <c r="AG122" s="10">
        <f>'A) Base RI'!AA122</f>
        <v>3447229.21</v>
      </c>
      <c r="AH122" s="10">
        <f>'A) Base RI'!AB122</f>
        <v>0</v>
      </c>
      <c r="AI122" s="10">
        <f>'A) Base RI'!AC122</f>
        <v>2596119</v>
      </c>
      <c r="AJ122" s="10">
        <f>'A) Base RI'!AD122</f>
        <v>261346.28</v>
      </c>
      <c r="AK122" s="10">
        <f>'A) Base RI'!AE122</f>
        <v>0</v>
      </c>
      <c r="AL122" s="10">
        <f>'A) Base RI'!AF122</f>
        <v>0</v>
      </c>
      <c r="AM122" s="10">
        <f>'A) Base RI'!AG122</f>
        <v>59999.1</v>
      </c>
      <c r="AN122" s="10">
        <f>'A) Base RI'!AH122</f>
        <v>361877.92</v>
      </c>
      <c r="AO122" s="10">
        <f>'A) Base RI'!AI122</f>
        <v>532468.19999999995</v>
      </c>
      <c r="AP122" s="10">
        <f>'A) Base RI'!AJ122</f>
        <v>0</v>
      </c>
      <c r="AQ122" s="10">
        <f>'A) Base RI'!AK122</f>
        <v>0</v>
      </c>
      <c r="AR122" s="10">
        <f>'A) Base RI'!AN122</f>
        <v>17979</v>
      </c>
    </row>
    <row r="123" spans="1:44" x14ac:dyDescent="0.25">
      <c r="A123" s="8">
        <f>'A) Base RI'!A123</f>
        <v>5591</v>
      </c>
      <c r="B123" s="35" t="str">
        <f>'A) Base RI'!B123</f>
        <v>Renens</v>
      </c>
      <c r="C123" s="10">
        <f>'A) Base RI'!C123+'A) Base RI'!D123</f>
        <v>30861480.869999997</v>
      </c>
      <c r="D123" s="10">
        <f>'A) Base RI'!AO123</f>
        <v>-1258865.69</v>
      </c>
      <c r="E123" s="34">
        <f>'A) Base RI'!AP123</f>
        <v>0</v>
      </c>
      <c r="F123" s="34">
        <f>'A) Base RI'!AQ123</f>
        <v>-3875.18</v>
      </c>
      <c r="G123" s="2">
        <f t="shared" si="6"/>
        <v>29598739.999999996</v>
      </c>
      <c r="H123" s="10">
        <f>'A) Base RI'!E123</f>
        <v>0</v>
      </c>
      <c r="I123" s="10">
        <f>'A) Base RI'!F123</f>
        <v>0</v>
      </c>
      <c r="J123" s="10">
        <f>'A) Base RI'!G123+'A) Base RI'!H123</f>
        <v>5097670.7</v>
      </c>
      <c r="K123" s="10">
        <f>'A) Base RI'!I123</f>
        <v>0</v>
      </c>
      <c r="L123" s="10">
        <f>'A) Base RI'!J123</f>
        <v>2727847.1</v>
      </c>
      <c r="M123" s="10">
        <f>'A) Base RI'!K123</f>
        <v>508166</v>
      </c>
      <c r="N123" s="10">
        <f>'A) Base RI'!Q123</f>
        <v>379904.24</v>
      </c>
      <c r="O123" s="10">
        <f t="shared" si="7"/>
        <v>3264970.1071428577</v>
      </c>
      <c r="P123" s="10">
        <f>'A) Base RI'!L123</f>
        <v>4570958.1500000004</v>
      </c>
      <c r="Q123" s="37">
        <f>'A) Base RI'!AR123</f>
        <v>1.4</v>
      </c>
      <c r="R123" s="2">
        <f t="shared" si="8"/>
        <v>41577298.147142857</v>
      </c>
      <c r="S123" s="36">
        <f>'A) Base RI'!AM123</f>
        <v>78.5</v>
      </c>
      <c r="T123" s="2">
        <f t="shared" si="9"/>
        <v>37804162.039999999</v>
      </c>
      <c r="U123" s="2">
        <f t="shared" si="10"/>
        <v>529647.11015468603</v>
      </c>
      <c r="V123" s="10">
        <f>'A) Base RI'!O123</f>
        <v>632766.19999999995</v>
      </c>
      <c r="W123" s="10">
        <f>'A) Base RI'!P123</f>
        <v>1307089.7</v>
      </c>
      <c r="X123" s="10">
        <f>'A) Base RI'!R123</f>
        <v>237971.15</v>
      </c>
      <c r="Y123" s="2">
        <f t="shared" si="11"/>
        <v>2177827.0499999998</v>
      </c>
      <c r="Z123" s="10">
        <f>'A) Base RI'!N123</f>
        <v>2005010.75</v>
      </c>
      <c r="AA123" s="10">
        <f>'A) Base RI'!S123+'A) Base RI'!T123</f>
        <v>0</v>
      </c>
      <c r="AB123" s="10">
        <f>+'A) Base RI'!U123</f>
        <v>49850</v>
      </c>
      <c r="AC123" s="10">
        <f>'A) Base RI'!V123</f>
        <v>71033.45</v>
      </c>
      <c r="AD123" s="10">
        <f>+'A) Base RI'!W123</f>
        <v>64466.9</v>
      </c>
      <c r="AE123" s="10">
        <f>'A) Base RI'!Y123</f>
        <v>177848.9</v>
      </c>
      <c r="AF123" s="10">
        <f>'A) Base RI'!Z123</f>
        <v>0</v>
      </c>
      <c r="AG123" s="10">
        <f>'A) Base RI'!AA123</f>
        <v>1418203.5</v>
      </c>
      <c r="AH123" s="10">
        <f>'A) Base RI'!AB123</f>
        <v>11976</v>
      </c>
      <c r="AI123" s="10">
        <f>'A) Base RI'!AC123</f>
        <v>2116956.65</v>
      </c>
      <c r="AJ123" s="10">
        <f>'A) Base RI'!AD123</f>
        <v>0</v>
      </c>
      <c r="AK123" s="10">
        <f>'A) Base RI'!AE123</f>
        <v>0</v>
      </c>
      <c r="AL123" s="10">
        <f>'A) Base RI'!AF123</f>
        <v>0</v>
      </c>
      <c r="AM123" s="10">
        <f>'A) Base RI'!AG123</f>
        <v>2861.1</v>
      </c>
      <c r="AN123" s="10">
        <f>'A) Base RI'!AH123</f>
        <v>556543.78</v>
      </c>
      <c r="AO123" s="10">
        <f>'A) Base RI'!AI123</f>
        <v>0</v>
      </c>
      <c r="AP123" s="10">
        <f>'A) Base RI'!AJ123</f>
        <v>0</v>
      </c>
      <c r="AQ123" s="10">
        <f>'A) Base RI'!AK123</f>
        <v>79506.38</v>
      </c>
      <c r="AR123" s="10">
        <f>'A) Base RI'!AN123</f>
        <v>20323</v>
      </c>
    </row>
    <row r="124" spans="1:44" x14ac:dyDescent="0.25">
      <c r="A124" s="8">
        <f>'A) Base RI'!A124</f>
        <v>5592</v>
      </c>
      <c r="B124" s="35" t="str">
        <f>'A) Base RI'!B124</f>
        <v>Romanel-sur-Lausanne</v>
      </c>
      <c r="C124" s="10">
        <f>'A) Base RI'!C124+'A) Base RI'!D124</f>
        <v>6240990.4300000006</v>
      </c>
      <c r="D124" s="10">
        <f>'A) Base RI'!AO124</f>
        <v>-107589.08</v>
      </c>
      <c r="E124" s="34">
        <f>'A) Base RI'!AP124</f>
        <v>0</v>
      </c>
      <c r="F124" s="34">
        <f>'A) Base RI'!AQ124</f>
        <v>-379.9</v>
      </c>
      <c r="G124" s="2">
        <f t="shared" si="6"/>
        <v>6133021.4500000002</v>
      </c>
      <c r="H124" s="10">
        <f>'A) Base RI'!E124</f>
        <v>0</v>
      </c>
      <c r="I124" s="10">
        <f>'A) Base RI'!F124</f>
        <v>0</v>
      </c>
      <c r="J124" s="10">
        <f>'A) Base RI'!G124+'A) Base RI'!H124</f>
        <v>851841.6</v>
      </c>
      <c r="K124" s="10">
        <f>'A) Base RI'!I124</f>
        <v>55126.75</v>
      </c>
      <c r="L124" s="10">
        <f>'A) Base RI'!J124</f>
        <v>221770.81</v>
      </c>
      <c r="M124" s="10">
        <f>'A) Base RI'!K124</f>
        <v>155449</v>
      </c>
      <c r="N124" s="10">
        <f>'A) Base RI'!Q124</f>
        <v>7131.66</v>
      </c>
      <c r="O124" s="10">
        <f t="shared" si="7"/>
        <v>734574.75</v>
      </c>
      <c r="P124" s="10">
        <f>'A) Base RI'!L124</f>
        <v>734574.75</v>
      </c>
      <c r="Q124" s="37">
        <f>'A) Base RI'!AR124</f>
        <v>1</v>
      </c>
      <c r="R124" s="2">
        <f t="shared" si="8"/>
        <v>8158916.0199999996</v>
      </c>
      <c r="S124" s="36">
        <f>'A) Base RI'!AM124</f>
        <v>70</v>
      </c>
      <c r="T124" s="2">
        <f t="shared" si="9"/>
        <v>7268892.2699999996</v>
      </c>
      <c r="U124" s="2">
        <f t="shared" si="10"/>
        <v>116555.94314285714</v>
      </c>
      <c r="V124" s="10">
        <f>'A) Base RI'!O124</f>
        <v>115281.60000000001</v>
      </c>
      <c r="W124" s="10">
        <f>'A) Base RI'!P124</f>
        <v>77776.7</v>
      </c>
      <c r="X124" s="10">
        <f>'A) Base RI'!R124</f>
        <v>79314.55</v>
      </c>
      <c r="Y124" s="2">
        <f t="shared" si="11"/>
        <v>272372.84999999998</v>
      </c>
      <c r="Z124" s="10">
        <f>'A) Base RI'!N124</f>
        <v>200675.95</v>
      </c>
      <c r="AA124" s="10">
        <f>'A) Base RI'!S124+'A) Base RI'!T124</f>
        <v>1810</v>
      </c>
      <c r="AB124" s="10">
        <f>+'A) Base RI'!U124</f>
        <v>17625</v>
      </c>
      <c r="AC124" s="10">
        <f>'A) Base RI'!V124</f>
        <v>0</v>
      </c>
      <c r="AD124" s="10">
        <f>+'A) Base RI'!W124</f>
        <v>0</v>
      </c>
      <c r="AE124" s="10">
        <f>'A) Base RI'!Y124</f>
        <v>0</v>
      </c>
      <c r="AF124" s="10">
        <f>'A) Base RI'!Z124</f>
        <v>1096.02</v>
      </c>
      <c r="AG124" s="10">
        <f>'A) Base RI'!AA124</f>
        <v>0</v>
      </c>
      <c r="AH124" s="10">
        <f>'A) Base RI'!AB124</f>
        <v>0</v>
      </c>
      <c r="AI124" s="10">
        <f>'A) Base RI'!AC124</f>
        <v>220195.33</v>
      </c>
      <c r="AJ124" s="10">
        <f>'A) Base RI'!AD124</f>
        <v>0</v>
      </c>
      <c r="AK124" s="10">
        <f>'A) Base RI'!AE124</f>
        <v>524.04999999999995</v>
      </c>
      <c r="AL124" s="10">
        <f>'A) Base RI'!AF124</f>
        <v>0</v>
      </c>
      <c r="AM124" s="10">
        <f>'A) Base RI'!AG124</f>
        <v>0</v>
      </c>
      <c r="AN124" s="10">
        <f>'A) Base RI'!AH124</f>
        <v>97750.74</v>
      </c>
      <c r="AO124" s="10">
        <f>'A) Base RI'!AI124</f>
        <v>55870.5</v>
      </c>
      <c r="AP124" s="10">
        <f>'A) Base RI'!AJ124</f>
        <v>41895.31</v>
      </c>
      <c r="AQ124" s="10">
        <f>'A) Base RI'!AK124</f>
        <v>0</v>
      </c>
      <c r="AR124" s="10">
        <f>'A) Base RI'!AN124</f>
        <v>3352</v>
      </c>
    </row>
    <row r="125" spans="1:44" x14ac:dyDescent="0.25">
      <c r="A125" s="8">
        <f>'A) Base RI'!A125</f>
        <v>5601</v>
      </c>
      <c r="B125" s="35" t="str">
        <f>'A) Base RI'!B125</f>
        <v>Chexbres</v>
      </c>
      <c r="C125" s="10">
        <f>'A) Base RI'!C125+'A) Base RI'!D125</f>
        <v>5606256.8799999999</v>
      </c>
      <c r="D125" s="10">
        <f>'A) Base RI'!AO125</f>
        <v>-37454.730000000003</v>
      </c>
      <c r="E125" s="34">
        <f>'A) Base RI'!AP125</f>
        <v>0</v>
      </c>
      <c r="F125" s="34">
        <f>'A) Base RI'!AQ125</f>
        <v>-1128.02</v>
      </c>
      <c r="G125" s="2">
        <f t="shared" si="6"/>
        <v>5567674.1299999999</v>
      </c>
      <c r="H125" s="10">
        <f>'A) Base RI'!E125</f>
        <v>0</v>
      </c>
      <c r="I125" s="10">
        <f>'A) Base RI'!F125</f>
        <v>0</v>
      </c>
      <c r="J125" s="10">
        <f>'A) Base RI'!G125+'A) Base RI'!H125</f>
        <v>116198.95</v>
      </c>
      <c r="K125" s="10">
        <f>'A) Base RI'!I125</f>
        <v>58811.4</v>
      </c>
      <c r="L125" s="10">
        <f>'A) Base RI'!J125</f>
        <v>201028.69</v>
      </c>
      <c r="M125" s="10">
        <f>'A) Base RI'!K125</f>
        <v>17718</v>
      </c>
      <c r="N125" s="10">
        <f>'A) Base RI'!Q125</f>
        <v>15387.17</v>
      </c>
      <c r="O125" s="10">
        <f t="shared" si="7"/>
        <v>406935.9</v>
      </c>
      <c r="P125" s="10">
        <f>'A) Base RI'!L125</f>
        <v>406935.9</v>
      </c>
      <c r="Q125" s="37">
        <f>'A) Base RI'!AR125</f>
        <v>1</v>
      </c>
      <c r="R125" s="2">
        <f t="shared" si="8"/>
        <v>6383754.2400000012</v>
      </c>
      <c r="S125" s="36">
        <f>'A) Base RI'!AM125</f>
        <v>64</v>
      </c>
      <c r="T125" s="2">
        <f t="shared" si="9"/>
        <v>5959100.3400000008</v>
      </c>
      <c r="U125" s="2">
        <f t="shared" si="10"/>
        <v>99746.160000000018</v>
      </c>
      <c r="V125" s="10">
        <f>'A) Base RI'!O125</f>
        <v>66138.2</v>
      </c>
      <c r="W125" s="10">
        <f>'A) Base RI'!P125</f>
        <v>258854.85</v>
      </c>
      <c r="X125" s="10">
        <f>'A) Base RI'!R125</f>
        <v>200664.1</v>
      </c>
      <c r="Y125" s="2">
        <f t="shared" si="11"/>
        <v>525657.15</v>
      </c>
      <c r="Z125" s="10">
        <f>'A) Base RI'!N125</f>
        <v>49184.1</v>
      </c>
      <c r="AA125" s="10">
        <f>'A) Base RI'!S125+'A) Base RI'!T125</f>
        <v>5903.45</v>
      </c>
      <c r="AB125" s="10">
        <f>+'A) Base RI'!U125</f>
        <v>7125</v>
      </c>
      <c r="AC125" s="10">
        <f>'A) Base RI'!V125</f>
        <v>0</v>
      </c>
      <c r="AD125" s="10">
        <f>+'A) Base RI'!W125</f>
        <v>0</v>
      </c>
      <c r="AE125" s="10">
        <f>'A) Base RI'!Y125</f>
        <v>0</v>
      </c>
      <c r="AF125" s="10">
        <f>'A) Base RI'!Z125</f>
        <v>13897.87</v>
      </c>
      <c r="AG125" s="10">
        <f>'A) Base RI'!AA125</f>
        <v>274841.5</v>
      </c>
      <c r="AH125" s="10">
        <f>'A) Base RI'!AB125</f>
        <v>257103.85</v>
      </c>
      <c r="AI125" s="10">
        <f>'A) Base RI'!AC125</f>
        <v>130548.15</v>
      </c>
      <c r="AJ125" s="10">
        <f>'A) Base RI'!AD125</f>
        <v>0</v>
      </c>
      <c r="AK125" s="10">
        <f>'A) Base RI'!AE125</f>
        <v>23154.83</v>
      </c>
      <c r="AL125" s="10">
        <f>'A) Base RI'!AF125</f>
        <v>0</v>
      </c>
      <c r="AM125" s="10">
        <f>'A) Base RI'!AG125</f>
        <v>77770.399999999994</v>
      </c>
      <c r="AN125" s="10">
        <f>'A) Base RI'!AH125</f>
        <v>48777.45</v>
      </c>
      <c r="AO125" s="10">
        <f>'A) Base RI'!AI125</f>
        <v>0</v>
      </c>
      <c r="AP125" s="10">
        <f>'A) Base RI'!AJ125</f>
        <v>0</v>
      </c>
      <c r="AQ125" s="10">
        <f>'A) Base RI'!AK125</f>
        <v>0</v>
      </c>
      <c r="AR125" s="10">
        <f>'A) Base RI'!AN125</f>
        <v>2235</v>
      </c>
    </row>
    <row r="126" spans="1:44" x14ac:dyDescent="0.25">
      <c r="A126" s="8">
        <f>'A) Base RI'!A126</f>
        <v>5604</v>
      </c>
      <c r="B126" s="35" t="str">
        <f>'A) Base RI'!B126</f>
        <v>Forel (Lavaux)</v>
      </c>
      <c r="C126" s="10">
        <f>'A) Base RI'!C126+'A) Base RI'!D126</f>
        <v>3889721.0100000002</v>
      </c>
      <c r="D126" s="10">
        <f>'A) Base RI'!AO126</f>
        <v>-75956.44</v>
      </c>
      <c r="E126" s="34">
        <f>'A) Base RI'!AP126</f>
        <v>0</v>
      </c>
      <c r="F126" s="34">
        <f>'A) Base RI'!AQ126</f>
        <v>-121.26</v>
      </c>
      <c r="G126" s="2">
        <f t="shared" si="6"/>
        <v>3813643.3100000005</v>
      </c>
      <c r="H126" s="10">
        <f>'A) Base RI'!E126</f>
        <v>0</v>
      </c>
      <c r="I126" s="10">
        <f>'A) Base RI'!F126</f>
        <v>0</v>
      </c>
      <c r="J126" s="10">
        <f>'A) Base RI'!G126+'A) Base RI'!H126</f>
        <v>461016.85000000003</v>
      </c>
      <c r="K126" s="10">
        <f>'A) Base RI'!I126</f>
        <v>16687.75</v>
      </c>
      <c r="L126" s="10">
        <f>'A) Base RI'!J126</f>
        <v>133055.51999999999</v>
      </c>
      <c r="M126" s="10">
        <f>'A) Base RI'!K126</f>
        <v>21429</v>
      </c>
      <c r="N126" s="10">
        <f>'A) Base RI'!Q126</f>
        <v>51855.24</v>
      </c>
      <c r="O126" s="10">
        <f t="shared" si="7"/>
        <v>346655.95</v>
      </c>
      <c r="P126" s="10">
        <f>'A) Base RI'!L126</f>
        <v>346655.95</v>
      </c>
      <c r="Q126" s="37">
        <f>'A) Base RI'!AR126</f>
        <v>1</v>
      </c>
      <c r="R126" s="2">
        <f t="shared" si="8"/>
        <v>4844343.62</v>
      </c>
      <c r="S126" s="36">
        <f>'A) Base RI'!AM126</f>
        <v>68</v>
      </c>
      <c r="T126" s="2">
        <f t="shared" si="9"/>
        <v>4476258.67</v>
      </c>
      <c r="U126" s="2">
        <f t="shared" si="10"/>
        <v>71240.347352941171</v>
      </c>
      <c r="V126" s="10">
        <f>'A) Base RI'!O126</f>
        <v>28.4</v>
      </c>
      <c r="W126" s="10">
        <f>'A) Base RI'!P126</f>
        <v>162588.45000000001</v>
      </c>
      <c r="X126" s="10">
        <f>'A) Base RI'!R126</f>
        <v>127580.6</v>
      </c>
      <c r="Y126" s="2">
        <f t="shared" si="11"/>
        <v>290197.45</v>
      </c>
      <c r="Z126" s="10">
        <f>'A) Base RI'!N126</f>
        <v>17419.25</v>
      </c>
      <c r="AA126" s="10">
        <f>'A) Base RI'!S126+'A) Base RI'!T126</f>
        <v>4849.25</v>
      </c>
      <c r="AB126" s="10">
        <f>+'A) Base RI'!U126</f>
        <v>21550</v>
      </c>
      <c r="AC126" s="10">
        <f>'A) Base RI'!V126</f>
        <v>784.4</v>
      </c>
      <c r="AD126" s="10">
        <f>+'A) Base RI'!W126</f>
        <v>0</v>
      </c>
      <c r="AE126" s="10">
        <f>'A) Base RI'!Y126</f>
        <v>47163.7</v>
      </c>
      <c r="AF126" s="10">
        <f>'A) Base RI'!Z126</f>
        <v>4999.6499999999996</v>
      </c>
      <c r="AG126" s="10">
        <f>'A) Base RI'!AA126</f>
        <v>354520.35</v>
      </c>
      <c r="AH126" s="10">
        <f>'A) Base RI'!AB126</f>
        <v>0</v>
      </c>
      <c r="AI126" s="10">
        <f>'A) Base RI'!AC126</f>
        <v>104823.15</v>
      </c>
      <c r="AJ126" s="10">
        <f>'A) Base RI'!AD126</f>
        <v>25842.3</v>
      </c>
      <c r="AK126" s="10">
        <f>'A) Base RI'!AE126</f>
        <v>4999.6499999999996</v>
      </c>
      <c r="AL126" s="10">
        <f>'A) Base RI'!AF126</f>
        <v>0</v>
      </c>
      <c r="AM126" s="10">
        <f>'A) Base RI'!AG126</f>
        <v>10791.8</v>
      </c>
      <c r="AN126" s="10">
        <f>'A) Base RI'!AH126</f>
        <v>0</v>
      </c>
      <c r="AO126" s="10">
        <f>'A) Base RI'!AI126</f>
        <v>0</v>
      </c>
      <c r="AP126" s="10">
        <f>'A) Base RI'!AJ126</f>
        <v>0</v>
      </c>
      <c r="AQ126" s="10">
        <f>'A) Base RI'!AK126</f>
        <v>0</v>
      </c>
      <c r="AR126" s="10">
        <f>'A) Base RI'!AN126</f>
        <v>2066</v>
      </c>
    </row>
    <row r="127" spans="1:44" x14ac:dyDescent="0.25">
      <c r="A127" s="8">
        <f>'A) Base RI'!A127</f>
        <v>5606</v>
      </c>
      <c r="B127" s="35" t="str">
        <f>'A) Base RI'!B127</f>
        <v>Lutry</v>
      </c>
      <c r="C127" s="10">
        <f>'A) Base RI'!C127+'A) Base RI'!D127</f>
        <v>37359933.520000003</v>
      </c>
      <c r="D127" s="10">
        <f>'A) Base RI'!AO127</f>
        <v>-273991.13</v>
      </c>
      <c r="E127" s="34">
        <f>'A) Base RI'!AP127</f>
        <v>0</v>
      </c>
      <c r="F127" s="34">
        <f>'A) Base RI'!AQ127</f>
        <v>-43036.04</v>
      </c>
      <c r="G127" s="2">
        <f t="shared" si="6"/>
        <v>37042906.350000001</v>
      </c>
      <c r="H127" s="10">
        <f>'A) Base RI'!E127</f>
        <v>0</v>
      </c>
      <c r="I127" s="10">
        <f>'A) Base RI'!F127</f>
        <v>0</v>
      </c>
      <c r="J127" s="10">
        <f>'A) Base RI'!G127+'A) Base RI'!H127</f>
        <v>705545.85</v>
      </c>
      <c r="K127" s="10">
        <f>'A) Base RI'!I127</f>
        <v>1371555.22</v>
      </c>
      <c r="L127" s="10">
        <f>'A) Base RI'!J127</f>
        <v>635559.05000000005</v>
      </c>
      <c r="M127" s="10">
        <f>'A) Base RI'!K127</f>
        <v>133780.5</v>
      </c>
      <c r="N127" s="10">
        <f>'A) Base RI'!Q127</f>
        <v>146531.26999999999</v>
      </c>
      <c r="O127" s="10">
        <f t="shared" si="7"/>
        <v>2735106.7142857146</v>
      </c>
      <c r="P127" s="10">
        <f>'A) Base RI'!L127</f>
        <v>1914574.7</v>
      </c>
      <c r="Q127" s="37">
        <f>'A) Base RI'!AR127</f>
        <v>0.7</v>
      </c>
      <c r="R127" s="2">
        <f t="shared" si="8"/>
        <v>42770984.954285719</v>
      </c>
      <c r="S127" s="36">
        <f>'A) Base RI'!AM127</f>
        <v>55.5</v>
      </c>
      <c r="T127" s="2">
        <f t="shared" si="9"/>
        <v>39902097.740000002</v>
      </c>
      <c r="U127" s="2">
        <f t="shared" si="10"/>
        <v>770648.37755469768</v>
      </c>
      <c r="V127" s="10">
        <f>'A) Base RI'!O127</f>
        <v>2572560.2000000002</v>
      </c>
      <c r="W127" s="10">
        <f>'A) Base RI'!P127</f>
        <v>2027760.6</v>
      </c>
      <c r="X127" s="10">
        <f>'A) Base RI'!R127</f>
        <v>1958080.9</v>
      </c>
      <c r="Y127" s="2">
        <f t="shared" si="11"/>
        <v>6558401.7000000011</v>
      </c>
      <c r="Z127" s="10">
        <f>'A) Base RI'!N127</f>
        <v>101231.4</v>
      </c>
      <c r="AA127" s="10">
        <f>'A) Base RI'!S127+'A) Base RI'!T127</f>
        <v>0</v>
      </c>
      <c r="AB127" s="10">
        <f>+'A) Base RI'!U127</f>
        <v>42550</v>
      </c>
      <c r="AC127" s="10">
        <f>'A) Base RI'!V127</f>
        <v>0</v>
      </c>
      <c r="AD127" s="10">
        <f>+'A) Base RI'!W127</f>
        <v>0</v>
      </c>
      <c r="AE127" s="10">
        <f>'A) Base RI'!Y127</f>
        <v>232644.55</v>
      </c>
      <c r="AF127" s="10">
        <f>'A) Base RI'!Z127</f>
        <v>0</v>
      </c>
      <c r="AG127" s="10">
        <f>'A) Base RI'!AA127</f>
        <v>1186324.18</v>
      </c>
      <c r="AH127" s="10">
        <f>'A) Base RI'!AB127</f>
        <v>0</v>
      </c>
      <c r="AI127" s="10">
        <f>'A) Base RI'!AC127</f>
        <v>1422661.44</v>
      </c>
      <c r="AJ127" s="10">
        <f>'A) Base RI'!AD127</f>
        <v>161900.70000000001</v>
      </c>
      <c r="AK127" s="10">
        <f>'A) Base RI'!AE127</f>
        <v>0</v>
      </c>
      <c r="AL127" s="10">
        <f>'A) Base RI'!AF127</f>
        <v>0</v>
      </c>
      <c r="AM127" s="10">
        <f>'A) Base RI'!AG127</f>
        <v>15016.85</v>
      </c>
      <c r="AN127" s="10">
        <f>'A) Base RI'!AH127</f>
        <v>279445.7</v>
      </c>
      <c r="AO127" s="10">
        <f>'A) Base RI'!AI127</f>
        <v>198957.2</v>
      </c>
      <c r="AP127" s="10">
        <f>'A) Base RI'!AJ127</f>
        <v>79582.899999999994</v>
      </c>
      <c r="AQ127" s="10">
        <f>'A) Base RI'!AK127</f>
        <v>0</v>
      </c>
      <c r="AR127" s="10">
        <f>'A) Base RI'!AN127</f>
        <v>9888</v>
      </c>
    </row>
    <row r="128" spans="1:44" x14ac:dyDescent="0.25">
      <c r="A128" s="8">
        <f>'A) Base RI'!A128</f>
        <v>5607</v>
      </c>
      <c r="B128" s="35" t="str">
        <f>'A) Base RI'!B128</f>
        <v>Puidoux</v>
      </c>
      <c r="C128" s="10">
        <f>'A) Base RI'!C128+'A) Base RI'!D128</f>
        <v>5279039.08</v>
      </c>
      <c r="D128" s="10">
        <f>'A) Base RI'!AO128</f>
        <v>-104323.36</v>
      </c>
      <c r="E128" s="34">
        <f>'A) Base RI'!AP128</f>
        <v>0</v>
      </c>
      <c r="F128" s="34">
        <f>'A) Base RI'!AQ128</f>
        <v>-2745.46</v>
      </c>
      <c r="G128" s="2">
        <f t="shared" si="6"/>
        <v>5171970.26</v>
      </c>
      <c r="H128" s="10">
        <f>'A) Base RI'!E128</f>
        <v>0</v>
      </c>
      <c r="I128" s="10">
        <f>'A) Base RI'!F128</f>
        <v>0</v>
      </c>
      <c r="J128" s="10">
        <f>'A) Base RI'!G128+'A) Base RI'!H128</f>
        <v>758886.9</v>
      </c>
      <c r="K128" s="10">
        <f>'A) Base RI'!I128</f>
        <v>15857.65</v>
      </c>
      <c r="L128" s="10">
        <f>'A) Base RI'!J128</f>
        <v>200793.9</v>
      </c>
      <c r="M128" s="10">
        <f>'A) Base RI'!K128</f>
        <v>40880</v>
      </c>
      <c r="N128" s="10">
        <f>'A) Base RI'!Q128</f>
        <v>48451.040000000001</v>
      </c>
      <c r="O128" s="10">
        <f t="shared" si="7"/>
        <v>563487.69565217395</v>
      </c>
      <c r="P128" s="10">
        <f>'A) Base RI'!L128</f>
        <v>648010.85</v>
      </c>
      <c r="Q128" s="37">
        <f>'A) Base RI'!AR128</f>
        <v>1.1499999999999999</v>
      </c>
      <c r="R128" s="2">
        <f t="shared" si="8"/>
        <v>6800327.4456521748</v>
      </c>
      <c r="S128" s="36">
        <f>'A) Base RI'!AM128</f>
        <v>70</v>
      </c>
      <c r="T128" s="2">
        <f t="shared" si="9"/>
        <v>6195959.7500000009</v>
      </c>
      <c r="U128" s="2">
        <f t="shared" si="10"/>
        <v>97147.534937888209</v>
      </c>
      <c r="V128" s="10">
        <f>'A) Base RI'!O128</f>
        <v>431742.6</v>
      </c>
      <c r="W128" s="10">
        <f>'A) Base RI'!P128</f>
        <v>222072.9</v>
      </c>
      <c r="X128" s="10">
        <f>'A) Base RI'!R128</f>
        <v>113316.85</v>
      </c>
      <c r="Y128" s="2">
        <f t="shared" si="11"/>
        <v>767132.35</v>
      </c>
      <c r="Z128" s="10">
        <f>'A) Base RI'!N128</f>
        <v>153618.65</v>
      </c>
      <c r="AA128" s="10">
        <f>'A) Base RI'!S128+'A) Base RI'!T128</f>
        <v>12355.9</v>
      </c>
      <c r="AB128" s="10">
        <f>+'A) Base RI'!U128</f>
        <v>18000</v>
      </c>
      <c r="AC128" s="10">
        <f>'A) Base RI'!V128</f>
        <v>0</v>
      </c>
      <c r="AD128" s="10">
        <f>+'A) Base RI'!W128</f>
        <v>0</v>
      </c>
      <c r="AE128" s="10">
        <f>'A) Base RI'!Y128</f>
        <v>21086.15</v>
      </c>
      <c r="AF128" s="10">
        <f>'A) Base RI'!Z128</f>
        <v>0</v>
      </c>
      <c r="AG128" s="10">
        <f>'A) Base RI'!AA128</f>
        <v>188669.95</v>
      </c>
      <c r="AH128" s="10">
        <f>'A) Base RI'!AB128</f>
        <v>370681.15</v>
      </c>
      <c r="AI128" s="10">
        <f>'A) Base RI'!AC128</f>
        <v>151344.15</v>
      </c>
      <c r="AJ128" s="10">
        <f>'A) Base RI'!AD128</f>
        <v>28285.05</v>
      </c>
      <c r="AK128" s="10">
        <f>'A) Base RI'!AE128</f>
        <v>0</v>
      </c>
      <c r="AL128" s="10">
        <f>'A) Base RI'!AF128</f>
        <v>0</v>
      </c>
      <c r="AM128" s="10">
        <f>'A) Base RI'!AG128</f>
        <v>49445.599999999999</v>
      </c>
      <c r="AN128" s="10">
        <f>'A) Base RI'!AH128</f>
        <v>144532.6</v>
      </c>
      <c r="AO128" s="10">
        <f>'A) Base RI'!AI128</f>
        <v>0</v>
      </c>
      <c r="AP128" s="10">
        <f>'A) Base RI'!AJ128</f>
        <v>0</v>
      </c>
      <c r="AQ128" s="10">
        <f>'A) Base RI'!AK128</f>
        <v>0</v>
      </c>
      <c r="AR128" s="10">
        <f>'A) Base RI'!AN128</f>
        <v>2874</v>
      </c>
    </row>
    <row r="129" spans="1:44" x14ac:dyDescent="0.25">
      <c r="A129" s="8">
        <f>'A) Base RI'!A129</f>
        <v>5609</v>
      </c>
      <c r="B129" s="35" t="str">
        <f>'A) Base RI'!B129</f>
        <v>Rivaz</v>
      </c>
      <c r="C129" s="10">
        <f>'A) Base RI'!C129+'A) Base RI'!D129</f>
        <v>992941.75</v>
      </c>
      <c r="D129" s="10">
        <f>'A) Base RI'!AO129</f>
        <v>-10540.78</v>
      </c>
      <c r="E129" s="34">
        <f>'A) Base RI'!AP129</f>
        <v>0</v>
      </c>
      <c r="F129" s="34">
        <f>'A) Base RI'!AQ129</f>
        <v>-138.24</v>
      </c>
      <c r="G129" s="2">
        <f t="shared" si="6"/>
        <v>982262.73</v>
      </c>
      <c r="H129" s="10">
        <f>'A) Base RI'!E129</f>
        <v>0</v>
      </c>
      <c r="I129" s="10">
        <f>'A) Base RI'!F129</f>
        <v>0</v>
      </c>
      <c r="J129" s="10">
        <f>'A) Base RI'!G129+'A) Base RI'!H129</f>
        <v>7777.9000000000005</v>
      </c>
      <c r="K129" s="10">
        <f>'A) Base RI'!I129</f>
        <v>0</v>
      </c>
      <c r="L129" s="10">
        <f>'A) Base RI'!J129</f>
        <v>32892.160000000003</v>
      </c>
      <c r="M129" s="10">
        <f>'A) Base RI'!K129</f>
        <v>1246.5</v>
      </c>
      <c r="N129" s="10">
        <f>'A) Base RI'!Q129</f>
        <v>0</v>
      </c>
      <c r="O129" s="10">
        <f t="shared" si="7"/>
        <v>48266.6</v>
      </c>
      <c r="P129" s="10">
        <f>'A) Base RI'!L129</f>
        <v>48266.6</v>
      </c>
      <c r="Q129" s="37">
        <f>'A) Base RI'!AR129</f>
        <v>1</v>
      </c>
      <c r="R129" s="2">
        <f t="shared" si="8"/>
        <v>1072445.8900000001</v>
      </c>
      <c r="S129" s="36">
        <f>'A) Base RI'!AM129</f>
        <v>63.5</v>
      </c>
      <c r="T129" s="2">
        <f t="shared" si="9"/>
        <v>1022932.79</v>
      </c>
      <c r="U129" s="2">
        <f t="shared" si="10"/>
        <v>16888.91165354331</v>
      </c>
      <c r="V129" s="10">
        <f>'A) Base RI'!O129</f>
        <v>325000</v>
      </c>
      <c r="W129" s="10">
        <f>'A) Base RI'!P129</f>
        <v>17291.95</v>
      </c>
      <c r="X129" s="10">
        <f>'A) Base RI'!R129</f>
        <v>33118.6</v>
      </c>
      <c r="Y129" s="2">
        <f t="shared" si="11"/>
        <v>375410.55</v>
      </c>
      <c r="Z129" s="10">
        <f>'A) Base RI'!N129</f>
        <v>0</v>
      </c>
      <c r="AA129" s="10">
        <f>'A) Base RI'!S129+'A) Base RI'!T129</f>
        <v>0</v>
      </c>
      <c r="AB129" s="10">
        <f>+'A) Base RI'!U129</f>
        <v>350</v>
      </c>
      <c r="AC129" s="10">
        <f>'A) Base RI'!V129</f>
        <v>0</v>
      </c>
      <c r="AD129" s="10">
        <f>+'A) Base RI'!W129</f>
        <v>0</v>
      </c>
      <c r="AE129" s="10">
        <f>'A) Base RI'!Y129</f>
        <v>0</v>
      </c>
      <c r="AF129" s="10">
        <f>'A) Base RI'!Z129</f>
        <v>-2625</v>
      </c>
      <c r="AG129" s="10">
        <f>'A) Base RI'!AA129</f>
        <v>35582</v>
      </c>
      <c r="AH129" s="10">
        <f>'A) Base RI'!AB129</f>
        <v>38734.400000000001</v>
      </c>
      <c r="AI129" s="10">
        <f>'A) Base RI'!AC129</f>
        <v>21167.01</v>
      </c>
      <c r="AJ129" s="10">
        <f>'A) Base RI'!AD129</f>
        <v>0</v>
      </c>
      <c r="AK129" s="10">
        <f>'A) Base RI'!AE129</f>
        <v>-4610</v>
      </c>
      <c r="AL129" s="10">
        <f>'A) Base RI'!AF129</f>
        <v>0</v>
      </c>
      <c r="AM129" s="10">
        <f>'A) Base RI'!AG129</f>
        <v>7867.5</v>
      </c>
      <c r="AN129" s="10">
        <f>'A) Base RI'!AH129</f>
        <v>6139.75</v>
      </c>
      <c r="AO129" s="10">
        <f>'A) Base RI'!AI129</f>
        <v>0</v>
      </c>
      <c r="AP129" s="10">
        <f>'A) Base RI'!AJ129</f>
        <v>0</v>
      </c>
      <c r="AQ129" s="10">
        <f>'A) Base RI'!AK129</f>
        <v>0</v>
      </c>
      <c r="AR129" s="10">
        <f>'A) Base RI'!AN129</f>
        <v>357</v>
      </c>
    </row>
    <row r="130" spans="1:44" x14ac:dyDescent="0.25">
      <c r="A130" s="8">
        <f>'A) Base RI'!A130</f>
        <v>5610</v>
      </c>
      <c r="B130" s="35" t="str">
        <f>'A) Base RI'!B130</f>
        <v>St-Saphorin (Lavaux)</v>
      </c>
      <c r="C130" s="10">
        <f>'A) Base RI'!C130+'A) Base RI'!D130</f>
        <v>993547.86</v>
      </c>
      <c r="D130" s="10">
        <f>'A) Base RI'!AO130</f>
        <v>-741.83</v>
      </c>
      <c r="E130" s="34">
        <f>'A) Base RI'!AP130</f>
        <v>0</v>
      </c>
      <c r="F130" s="34">
        <f>'A) Base RI'!AQ130</f>
        <v>-49.27</v>
      </c>
      <c r="G130" s="2">
        <f t="shared" si="6"/>
        <v>992756.76</v>
      </c>
      <c r="H130" s="10">
        <f>'A) Base RI'!E130</f>
        <v>0</v>
      </c>
      <c r="I130" s="10">
        <f>'A) Base RI'!F130</f>
        <v>0</v>
      </c>
      <c r="J130" s="10">
        <f>'A) Base RI'!G130+'A) Base RI'!H130</f>
        <v>12954.45</v>
      </c>
      <c r="K130" s="10">
        <f>'A) Base RI'!I130</f>
        <v>201987.95</v>
      </c>
      <c r="L130" s="10">
        <f>'A) Base RI'!J130</f>
        <v>23299.56</v>
      </c>
      <c r="M130" s="10">
        <f>'A) Base RI'!K130</f>
        <v>6587.5</v>
      </c>
      <c r="N130" s="10">
        <f>'A) Base RI'!Q130</f>
        <v>25045.58</v>
      </c>
      <c r="O130" s="10">
        <f t="shared" si="7"/>
        <v>77885.05</v>
      </c>
      <c r="P130" s="10">
        <f>'A) Base RI'!L130</f>
        <v>77885.05</v>
      </c>
      <c r="Q130" s="37">
        <f>'A) Base RI'!AR130</f>
        <v>1</v>
      </c>
      <c r="R130" s="2">
        <f t="shared" si="8"/>
        <v>1340516.8500000001</v>
      </c>
      <c r="S130" s="36">
        <f>'A) Base RI'!AM130</f>
        <v>67</v>
      </c>
      <c r="T130" s="2">
        <f t="shared" si="9"/>
        <v>1256044.3</v>
      </c>
      <c r="U130" s="2">
        <f t="shared" si="10"/>
        <v>20007.714179104478</v>
      </c>
      <c r="V130" s="10">
        <f>'A) Base RI'!O130</f>
        <v>1859.9</v>
      </c>
      <c r="W130" s="10">
        <f>'A) Base RI'!P130</f>
        <v>98614.6</v>
      </c>
      <c r="X130" s="10">
        <f>'A) Base RI'!R130</f>
        <v>44920</v>
      </c>
      <c r="Y130" s="2">
        <f t="shared" si="11"/>
        <v>145394.5</v>
      </c>
      <c r="Z130" s="10">
        <f>'A) Base RI'!N130</f>
        <v>0</v>
      </c>
      <c r="AA130" s="10">
        <f>'A) Base RI'!S130+'A) Base RI'!T130</f>
        <v>0</v>
      </c>
      <c r="AB130" s="10">
        <f>+'A) Base RI'!U130</f>
        <v>4350</v>
      </c>
      <c r="AC130" s="10">
        <f>'A) Base RI'!V130</f>
        <v>0</v>
      </c>
      <c r="AD130" s="10">
        <f>+'A) Base RI'!W130</f>
        <v>0</v>
      </c>
      <c r="AE130" s="10">
        <f>'A) Base RI'!Y130</f>
        <v>0</v>
      </c>
      <c r="AF130" s="10">
        <f>'A) Base RI'!Z130</f>
        <v>0</v>
      </c>
      <c r="AG130" s="10">
        <f>'A) Base RI'!AA130</f>
        <v>57080.1</v>
      </c>
      <c r="AH130" s="10">
        <f>'A) Base RI'!AB130</f>
        <v>0</v>
      </c>
      <c r="AI130" s="10">
        <f>'A) Base RI'!AC130</f>
        <v>0</v>
      </c>
      <c r="AJ130" s="10">
        <f>'A) Base RI'!AD130</f>
        <v>1136.4000000000001</v>
      </c>
      <c r="AK130" s="10">
        <f>'A) Base RI'!AE130</f>
        <v>0</v>
      </c>
      <c r="AL130" s="10">
        <f>'A) Base RI'!AF130</f>
        <v>0</v>
      </c>
      <c r="AM130" s="10">
        <f>'A) Base RI'!AG130</f>
        <v>0</v>
      </c>
      <c r="AN130" s="10">
        <f>'A) Base RI'!AH130</f>
        <v>0</v>
      </c>
      <c r="AO130" s="10">
        <f>'A) Base RI'!AI130</f>
        <v>0</v>
      </c>
      <c r="AP130" s="10">
        <f>'A) Base RI'!AJ130</f>
        <v>0</v>
      </c>
      <c r="AQ130" s="10">
        <f>'A) Base RI'!AK130</f>
        <v>0</v>
      </c>
      <c r="AR130" s="10">
        <f>'A) Base RI'!AN130</f>
        <v>398</v>
      </c>
    </row>
    <row r="131" spans="1:44" x14ac:dyDescent="0.25">
      <c r="A131" s="8">
        <f>'A) Base RI'!A131</f>
        <v>5611</v>
      </c>
      <c r="B131" s="35" t="str">
        <f>'A) Base RI'!B131</f>
        <v>Savigny</v>
      </c>
      <c r="C131" s="10">
        <f>'A) Base RI'!C131+'A) Base RI'!D131</f>
        <v>7266254.6499999994</v>
      </c>
      <c r="D131" s="10">
        <f>'A) Base RI'!AO131</f>
        <v>-821039.16</v>
      </c>
      <c r="E131" s="34">
        <f>'A) Base RI'!AP131</f>
        <v>0</v>
      </c>
      <c r="F131" s="34">
        <f>'A) Base RI'!AQ131</f>
        <v>-1003.81</v>
      </c>
      <c r="G131" s="2">
        <f t="shared" si="6"/>
        <v>6444211.6799999997</v>
      </c>
      <c r="H131" s="10">
        <f>'A) Base RI'!E131</f>
        <v>0</v>
      </c>
      <c r="I131" s="10">
        <f>'A) Base RI'!F131</f>
        <v>0</v>
      </c>
      <c r="J131" s="10">
        <f>'A) Base RI'!G131+'A) Base RI'!H131</f>
        <v>331413.10000000003</v>
      </c>
      <c r="K131" s="10">
        <f>'A) Base RI'!I131</f>
        <v>54800.1</v>
      </c>
      <c r="L131" s="10">
        <f>'A) Base RI'!J131</f>
        <v>205344.15</v>
      </c>
      <c r="M131" s="10">
        <f>'A) Base RI'!K131</f>
        <v>16691</v>
      </c>
      <c r="N131" s="10">
        <f>'A) Base RI'!Q131</f>
        <v>306319.39</v>
      </c>
      <c r="O131" s="10">
        <f t="shared" si="7"/>
        <v>613302.91666666674</v>
      </c>
      <c r="P131" s="10">
        <f>'A) Base RI'!L131</f>
        <v>735963.5</v>
      </c>
      <c r="Q131" s="37">
        <f>'A) Base RI'!AR131</f>
        <v>1.2</v>
      </c>
      <c r="R131" s="2">
        <f t="shared" si="8"/>
        <v>7972082.336666666</v>
      </c>
      <c r="S131" s="36">
        <f>'A) Base RI'!AM131</f>
        <v>69</v>
      </c>
      <c r="T131" s="2">
        <f t="shared" si="9"/>
        <v>7342088.419999999</v>
      </c>
      <c r="U131" s="2">
        <f t="shared" si="10"/>
        <v>115537.42516908211</v>
      </c>
      <c r="V131" s="10">
        <f>'A) Base RI'!O131</f>
        <v>75121.8</v>
      </c>
      <c r="W131" s="10">
        <f>'A) Base RI'!P131</f>
        <v>283191.15000000002</v>
      </c>
      <c r="X131" s="10">
        <f>'A) Base RI'!R131</f>
        <v>152180.4</v>
      </c>
      <c r="Y131" s="2">
        <f t="shared" si="11"/>
        <v>510493.35</v>
      </c>
      <c r="Z131" s="10">
        <f>'A) Base RI'!N131</f>
        <v>135100.65</v>
      </c>
      <c r="AA131" s="10">
        <f>'A) Base RI'!S131+'A) Base RI'!T131</f>
        <v>16322.9</v>
      </c>
      <c r="AB131" s="10">
        <f>+'A) Base RI'!U131</f>
        <v>21245</v>
      </c>
      <c r="AC131" s="10">
        <f>'A) Base RI'!V131</f>
        <v>1398.7</v>
      </c>
      <c r="AD131" s="10">
        <f>+'A) Base RI'!W131</f>
        <v>0</v>
      </c>
      <c r="AE131" s="10">
        <f>'A) Base RI'!Y131</f>
        <v>124357.65</v>
      </c>
      <c r="AF131" s="10">
        <f>'A) Base RI'!Z131</f>
        <v>152</v>
      </c>
      <c r="AG131" s="10">
        <f>'A) Base RI'!AA131</f>
        <v>0</v>
      </c>
      <c r="AH131" s="10">
        <f>'A) Base RI'!AB131</f>
        <v>0</v>
      </c>
      <c r="AI131" s="10">
        <f>'A) Base RI'!AC131</f>
        <v>314915.59999999998</v>
      </c>
      <c r="AJ131" s="10">
        <f>'A) Base RI'!AD131</f>
        <v>37486.050000000003</v>
      </c>
      <c r="AK131" s="10">
        <f>'A) Base RI'!AE131</f>
        <v>136.1</v>
      </c>
      <c r="AL131" s="10">
        <f>'A) Base RI'!AF131</f>
        <v>0</v>
      </c>
      <c r="AM131" s="10">
        <f>'A) Base RI'!AG131</f>
        <v>0</v>
      </c>
      <c r="AN131" s="10">
        <f>'A) Base RI'!AH131</f>
        <v>0</v>
      </c>
      <c r="AO131" s="10">
        <f>'A) Base RI'!AI131</f>
        <v>0</v>
      </c>
      <c r="AP131" s="10">
        <f>'A) Base RI'!AJ131</f>
        <v>0</v>
      </c>
      <c r="AQ131" s="10">
        <f>'A) Base RI'!AK131</f>
        <v>0</v>
      </c>
      <c r="AR131" s="10">
        <f>'A) Base RI'!AN131</f>
        <v>3276</v>
      </c>
    </row>
    <row r="132" spans="1:44" x14ac:dyDescent="0.25">
      <c r="A132" s="8">
        <f>'A) Base RI'!A132</f>
        <v>5613</v>
      </c>
      <c r="B132" s="35" t="str">
        <f>'A) Base RI'!B132</f>
        <v>Bourg-en-Lavaux</v>
      </c>
      <c r="C132" s="10">
        <f>'A) Base RI'!C132+'A) Base RI'!D132</f>
        <v>16548779.790000001</v>
      </c>
      <c r="D132" s="10">
        <f>'A) Base RI'!AO132</f>
        <v>-183802.38</v>
      </c>
      <c r="E132" s="34">
        <f>'A) Base RI'!AP132</f>
        <v>0</v>
      </c>
      <c r="F132" s="34">
        <f>'A) Base RI'!AQ132</f>
        <v>-5726.49</v>
      </c>
      <c r="G132" s="2">
        <f t="shared" si="6"/>
        <v>16359250.92</v>
      </c>
      <c r="H132" s="10">
        <f>'A) Base RI'!E132</f>
        <v>0</v>
      </c>
      <c r="I132" s="10">
        <f>'A) Base RI'!F132</f>
        <v>0</v>
      </c>
      <c r="J132" s="10">
        <f>'A) Base RI'!G132+'A) Base RI'!H132</f>
        <v>293168.59999999998</v>
      </c>
      <c r="K132" s="10">
        <f>'A) Base RI'!I132</f>
        <v>186407.63</v>
      </c>
      <c r="L132" s="10">
        <f>'A) Base RI'!J132</f>
        <v>280727.01</v>
      </c>
      <c r="M132" s="10">
        <f>'A) Base RI'!K132</f>
        <v>10445.5</v>
      </c>
      <c r="N132" s="10">
        <f>'A) Base RI'!Q132</f>
        <v>29553.360000000001</v>
      </c>
      <c r="O132" s="10">
        <f t="shared" si="7"/>
        <v>1254647.0999999999</v>
      </c>
      <c r="P132" s="10">
        <f>'A) Base RI'!L132</f>
        <v>1881970.65</v>
      </c>
      <c r="Q132" s="37">
        <f>'A) Base RI'!AR132</f>
        <v>1.5</v>
      </c>
      <c r="R132" s="2">
        <f t="shared" si="8"/>
        <v>18414200.120000001</v>
      </c>
      <c r="S132" s="36">
        <f>'A) Base RI'!AM132</f>
        <v>61</v>
      </c>
      <c r="T132" s="2">
        <f t="shared" si="9"/>
        <v>17149107.52</v>
      </c>
      <c r="U132" s="2">
        <f t="shared" si="10"/>
        <v>301872.13311475411</v>
      </c>
      <c r="V132" s="10">
        <f>'A) Base RI'!O132</f>
        <v>272737.8</v>
      </c>
      <c r="W132" s="10">
        <f>'A) Base RI'!P132</f>
        <v>741613.55</v>
      </c>
      <c r="X132" s="10">
        <f>'A) Base RI'!R132</f>
        <v>828928.2</v>
      </c>
      <c r="Y132" s="2">
        <f t="shared" si="11"/>
        <v>1843279.55</v>
      </c>
      <c r="Z132" s="10">
        <f>'A) Base RI'!N132</f>
        <v>29017</v>
      </c>
      <c r="AA132" s="10">
        <f>'A) Base RI'!S132+'A) Base RI'!T132</f>
        <v>2387.9499999999998</v>
      </c>
      <c r="AB132" s="10">
        <f>+'A) Base RI'!U132</f>
        <v>25000</v>
      </c>
      <c r="AC132" s="10">
        <f>'A) Base RI'!V132</f>
        <v>0</v>
      </c>
      <c r="AD132" s="10">
        <f>+'A) Base RI'!W132</f>
        <v>0</v>
      </c>
      <c r="AE132" s="10">
        <f>'A) Base RI'!Y132</f>
        <v>-18521.05</v>
      </c>
      <c r="AF132" s="10">
        <f>'A) Base RI'!Z132</f>
        <v>0</v>
      </c>
      <c r="AG132" s="10">
        <f>'A) Base RI'!AA132</f>
        <v>868889.1</v>
      </c>
      <c r="AH132" s="10">
        <f>'A) Base RI'!AB132</f>
        <v>0</v>
      </c>
      <c r="AI132" s="10">
        <f>'A) Base RI'!AC132</f>
        <v>350507.5</v>
      </c>
      <c r="AJ132" s="10">
        <f>'A) Base RI'!AD132</f>
        <v>86840.45</v>
      </c>
      <c r="AK132" s="10">
        <f>'A) Base RI'!AE132</f>
        <v>0</v>
      </c>
      <c r="AL132" s="10">
        <f>'A) Base RI'!AF132</f>
        <v>0</v>
      </c>
      <c r="AM132" s="10">
        <f>'A) Base RI'!AG132</f>
        <v>167954.9</v>
      </c>
      <c r="AN132" s="10">
        <f>'A) Base RI'!AH132</f>
        <v>0</v>
      </c>
      <c r="AO132" s="10">
        <f>'A) Base RI'!AI132</f>
        <v>0</v>
      </c>
      <c r="AP132" s="10">
        <f>'A) Base RI'!AJ132</f>
        <v>0</v>
      </c>
      <c r="AQ132" s="10">
        <f>'A) Base RI'!AK132</f>
        <v>0</v>
      </c>
      <c r="AR132" s="10">
        <f>'A) Base RI'!AN132</f>
        <v>5296</v>
      </c>
    </row>
    <row r="133" spans="1:44" x14ac:dyDescent="0.25">
      <c r="A133" s="8">
        <f>'A) Base RI'!A133</f>
        <v>5621</v>
      </c>
      <c r="B133" s="35" t="str">
        <f>'A) Base RI'!B133</f>
        <v>Aclens</v>
      </c>
      <c r="C133" s="10">
        <f>'A) Base RI'!C133+'A) Base RI'!D133</f>
        <v>1179294.8600000001</v>
      </c>
      <c r="D133" s="10">
        <f>'A) Base RI'!AO133</f>
        <v>-7752.4</v>
      </c>
      <c r="E133" s="34">
        <f>'A) Base RI'!AP133</f>
        <v>0</v>
      </c>
      <c r="F133" s="34">
        <f>'A) Base RI'!AQ133</f>
        <v>-1.69</v>
      </c>
      <c r="G133" s="2">
        <f t="shared" si="6"/>
        <v>1171540.7700000003</v>
      </c>
      <c r="H133" s="10">
        <f>'A) Base RI'!E133</f>
        <v>0</v>
      </c>
      <c r="I133" s="10">
        <f>'A) Base RI'!F133</f>
        <v>0</v>
      </c>
      <c r="J133" s="10">
        <f>'A) Base RI'!G133+'A) Base RI'!H133</f>
        <v>154063.09999999998</v>
      </c>
      <c r="K133" s="10">
        <f>'A) Base RI'!I133</f>
        <v>0</v>
      </c>
      <c r="L133" s="10">
        <f>'A) Base RI'!J133</f>
        <v>44051.42</v>
      </c>
      <c r="M133" s="10">
        <f>'A) Base RI'!K133</f>
        <v>18680</v>
      </c>
      <c r="N133" s="10">
        <f>'A) Base RI'!Q133</f>
        <v>0</v>
      </c>
      <c r="O133" s="10">
        <f t="shared" si="7"/>
        <v>274511.27272727271</v>
      </c>
      <c r="P133" s="10">
        <f>'A) Base RI'!L133</f>
        <v>301962.40000000002</v>
      </c>
      <c r="Q133" s="37">
        <f>'A) Base RI'!AR133</f>
        <v>1.1000000000000001</v>
      </c>
      <c r="R133" s="2">
        <f t="shared" si="8"/>
        <v>1662846.5627272727</v>
      </c>
      <c r="S133" s="36">
        <f>'A) Base RI'!AM133</f>
        <v>62</v>
      </c>
      <c r="T133" s="2">
        <f t="shared" si="9"/>
        <v>1369655.29</v>
      </c>
      <c r="U133" s="2">
        <f t="shared" si="10"/>
        <v>26820.105850439882</v>
      </c>
      <c r="V133" s="10">
        <f>'A) Base RI'!O133</f>
        <v>0</v>
      </c>
      <c r="W133" s="10">
        <f>'A) Base RI'!P133</f>
        <v>36549.550000000003</v>
      </c>
      <c r="X133" s="10">
        <f>'A) Base RI'!R133</f>
        <v>34138.400000000001</v>
      </c>
      <c r="Y133" s="2">
        <f t="shared" si="11"/>
        <v>70687.950000000012</v>
      </c>
      <c r="Z133" s="10">
        <f>'A) Base RI'!N133</f>
        <v>166682.9</v>
      </c>
      <c r="AA133" s="10">
        <f>'A) Base RI'!S133+'A) Base RI'!T133</f>
        <v>899.35</v>
      </c>
      <c r="AB133" s="10">
        <f>+'A) Base RI'!U133</f>
        <v>2600</v>
      </c>
      <c r="AC133" s="10">
        <f>'A) Base RI'!V133</f>
        <v>0</v>
      </c>
      <c r="AD133" s="10">
        <f>+'A) Base RI'!W133</f>
        <v>0</v>
      </c>
      <c r="AE133" s="10">
        <f>'A) Base RI'!Y133</f>
        <v>88710.7</v>
      </c>
      <c r="AF133" s="10">
        <f>'A) Base RI'!Z133</f>
        <v>0</v>
      </c>
      <c r="AG133" s="10">
        <f>'A) Base RI'!AA133</f>
        <v>263720.65000000002</v>
      </c>
      <c r="AH133" s="10">
        <f>'A) Base RI'!AB133</f>
        <v>0</v>
      </c>
      <c r="AI133" s="10">
        <f>'A) Base RI'!AC133</f>
        <v>43452.5</v>
      </c>
      <c r="AJ133" s="10">
        <f>'A) Base RI'!AD133</f>
        <v>28286.5</v>
      </c>
      <c r="AK133" s="10">
        <f>'A) Base RI'!AE133</f>
        <v>0</v>
      </c>
      <c r="AL133" s="10">
        <f>'A) Base RI'!AF133</f>
        <v>0</v>
      </c>
      <c r="AM133" s="10">
        <f>'A) Base RI'!AG133</f>
        <v>0</v>
      </c>
      <c r="AN133" s="10">
        <f>'A) Base RI'!AH133</f>
        <v>106674.25</v>
      </c>
      <c r="AO133" s="10">
        <f>'A) Base RI'!AI133</f>
        <v>0</v>
      </c>
      <c r="AP133" s="10">
        <f>'A) Base RI'!AJ133</f>
        <v>0</v>
      </c>
      <c r="AQ133" s="10">
        <f>'A) Base RI'!AK133</f>
        <v>0</v>
      </c>
      <c r="AR133" s="10">
        <f>'A) Base RI'!AN133</f>
        <v>521</v>
      </c>
    </row>
    <row r="134" spans="1:44" x14ac:dyDescent="0.25">
      <c r="A134" s="8">
        <f>'A) Base RI'!A134</f>
        <v>5622</v>
      </c>
      <c r="B134" s="35" t="str">
        <f>'A) Base RI'!B134</f>
        <v>Bremblens</v>
      </c>
      <c r="C134" s="10">
        <f>'A) Base RI'!C134+'A) Base RI'!D134</f>
        <v>1681586.71</v>
      </c>
      <c r="D134" s="10">
        <f>'A) Base RI'!AO134</f>
        <v>-1405.51</v>
      </c>
      <c r="E134" s="34">
        <f>'A) Base RI'!AP134</f>
        <v>0</v>
      </c>
      <c r="F134" s="34">
        <f>'A) Base RI'!AQ134</f>
        <v>-11.86</v>
      </c>
      <c r="G134" s="2">
        <f t="shared" si="6"/>
        <v>1680169.3399999999</v>
      </c>
      <c r="H134" s="10">
        <f>'A) Base RI'!E134</f>
        <v>0</v>
      </c>
      <c r="I134" s="10">
        <f>'A) Base RI'!F134</f>
        <v>0</v>
      </c>
      <c r="J134" s="10">
        <f>'A) Base RI'!G134+'A) Base RI'!H134</f>
        <v>326604.64999999997</v>
      </c>
      <c r="K134" s="10">
        <f>'A) Base RI'!I134</f>
        <v>0</v>
      </c>
      <c r="L134" s="10">
        <f>'A) Base RI'!J134</f>
        <v>16389.439999999999</v>
      </c>
      <c r="M134" s="10">
        <f>'A) Base RI'!K134</f>
        <v>4789.5</v>
      </c>
      <c r="N134" s="10">
        <f>'A) Base RI'!Q134</f>
        <v>0</v>
      </c>
      <c r="O134" s="10">
        <f t="shared" si="7"/>
        <v>129043</v>
      </c>
      <c r="P134" s="10">
        <f>'A) Base RI'!L134</f>
        <v>129043</v>
      </c>
      <c r="Q134" s="37">
        <f>'A) Base RI'!AR134</f>
        <v>1</v>
      </c>
      <c r="R134" s="2">
        <f t="shared" si="8"/>
        <v>2156995.9299999997</v>
      </c>
      <c r="S134" s="36">
        <f>'A) Base RI'!AM134</f>
        <v>66</v>
      </c>
      <c r="T134" s="2">
        <f t="shared" si="9"/>
        <v>2023163.4299999997</v>
      </c>
      <c r="U134" s="2">
        <f t="shared" si="10"/>
        <v>32681.756515151512</v>
      </c>
      <c r="V134" s="10">
        <f>'A) Base RI'!O134</f>
        <v>0</v>
      </c>
      <c r="W134" s="10">
        <f>'A) Base RI'!P134</f>
        <v>143003.5</v>
      </c>
      <c r="X134" s="10">
        <f>'A) Base RI'!R134</f>
        <v>145973.4</v>
      </c>
      <c r="Y134" s="2">
        <f t="shared" si="11"/>
        <v>288976.90000000002</v>
      </c>
      <c r="Z134" s="10">
        <f>'A) Base RI'!N134</f>
        <v>26447.75</v>
      </c>
      <c r="AA134" s="10">
        <f>'A) Base RI'!S134+'A) Base RI'!T134</f>
        <v>0</v>
      </c>
      <c r="AB134" s="10">
        <f>+'A) Base RI'!U134</f>
        <v>2260</v>
      </c>
      <c r="AC134" s="10">
        <f>'A) Base RI'!V134</f>
        <v>0</v>
      </c>
      <c r="AD134" s="10">
        <f>+'A) Base RI'!W134</f>
        <v>0</v>
      </c>
      <c r="AE134" s="10">
        <f>'A) Base RI'!Y134</f>
        <v>80948.800000000003</v>
      </c>
      <c r="AF134" s="10">
        <f>'A) Base RI'!Z134</f>
        <v>0</v>
      </c>
      <c r="AG134" s="10">
        <f>'A) Base RI'!AA134</f>
        <v>179310.75</v>
      </c>
      <c r="AH134" s="10">
        <f>'A) Base RI'!AB134</f>
        <v>0</v>
      </c>
      <c r="AI134" s="10">
        <f>'A) Base RI'!AC134</f>
        <v>64043</v>
      </c>
      <c r="AJ134" s="10">
        <f>'A) Base RI'!AD134</f>
        <v>73880</v>
      </c>
      <c r="AK134" s="10">
        <f>'A) Base RI'!AE134</f>
        <v>0</v>
      </c>
      <c r="AL134" s="10">
        <f>'A) Base RI'!AF134</f>
        <v>0</v>
      </c>
      <c r="AM134" s="10">
        <f>'A) Base RI'!AG134</f>
        <v>0</v>
      </c>
      <c r="AN134" s="10">
        <f>'A) Base RI'!AH134</f>
        <v>0</v>
      </c>
      <c r="AO134" s="10">
        <f>'A) Base RI'!AI134</f>
        <v>0</v>
      </c>
      <c r="AP134" s="10">
        <f>'A) Base RI'!AJ134</f>
        <v>0</v>
      </c>
      <c r="AQ134" s="10">
        <f>'A) Base RI'!AK134</f>
        <v>0</v>
      </c>
      <c r="AR134" s="10">
        <f>'A) Base RI'!AN134</f>
        <v>516</v>
      </c>
    </row>
    <row r="135" spans="1:44" x14ac:dyDescent="0.25">
      <c r="A135" s="8">
        <f>'A) Base RI'!A135</f>
        <v>5623</v>
      </c>
      <c r="B135" s="35" t="str">
        <f>'A) Base RI'!B135</f>
        <v>Buchillon</v>
      </c>
      <c r="C135" s="10">
        <f>'A) Base RI'!C135+'A) Base RI'!D135</f>
        <v>3654957.63</v>
      </c>
      <c r="D135" s="10">
        <f>'A) Base RI'!AO135</f>
        <v>-1588.75</v>
      </c>
      <c r="E135" s="34">
        <f>'A) Base RI'!AP135</f>
        <v>0</v>
      </c>
      <c r="F135" s="34">
        <f>'A) Base RI'!AQ135</f>
        <v>-55016.53</v>
      </c>
      <c r="G135" s="2">
        <f t="shared" si="6"/>
        <v>3598352.35</v>
      </c>
      <c r="H135" s="10">
        <f>'A) Base RI'!E135</f>
        <v>0</v>
      </c>
      <c r="I135" s="10">
        <f>'A) Base RI'!F135</f>
        <v>0</v>
      </c>
      <c r="J135" s="10">
        <f>'A) Base RI'!G135+'A) Base RI'!H135</f>
        <v>219402.25</v>
      </c>
      <c r="K135" s="10">
        <f>'A) Base RI'!I135</f>
        <v>226919</v>
      </c>
      <c r="L135" s="10">
        <f>'A) Base RI'!J135</f>
        <v>20880.25</v>
      </c>
      <c r="M135" s="10">
        <f>'A) Base RI'!K135</f>
        <v>-854.65</v>
      </c>
      <c r="N135" s="10">
        <f>'A) Base RI'!Q135</f>
        <v>290.99</v>
      </c>
      <c r="O135" s="10">
        <f t="shared" si="7"/>
        <v>302337.55</v>
      </c>
      <c r="P135" s="10">
        <f>'A) Base RI'!L135</f>
        <v>302337.55</v>
      </c>
      <c r="Q135" s="37">
        <f>'A) Base RI'!AR135</f>
        <v>1</v>
      </c>
      <c r="R135" s="2">
        <f t="shared" si="8"/>
        <v>4367327.74</v>
      </c>
      <c r="S135" s="36">
        <f>'A) Base RI'!AM135</f>
        <v>53</v>
      </c>
      <c r="T135" s="2">
        <f t="shared" si="9"/>
        <v>4065844.8400000003</v>
      </c>
      <c r="U135" s="2">
        <f t="shared" si="10"/>
        <v>82402.410188679249</v>
      </c>
      <c r="V135" s="10">
        <f>'A) Base RI'!O135</f>
        <v>1726375</v>
      </c>
      <c r="W135" s="10">
        <f>'A) Base RI'!P135</f>
        <v>172508.75</v>
      </c>
      <c r="X135" s="10">
        <f>'A) Base RI'!R135</f>
        <v>36443.599999999999</v>
      </c>
      <c r="Y135" s="2">
        <f t="shared" si="11"/>
        <v>1935327.35</v>
      </c>
      <c r="Z135" s="10">
        <f>'A) Base RI'!N135</f>
        <v>942.3</v>
      </c>
      <c r="AA135" s="10">
        <f>'A) Base RI'!S135+'A) Base RI'!T135</f>
        <v>700</v>
      </c>
      <c r="AB135" s="10">
        <f>+'A) Base RI'!U135</f>
        <v>1250</v>
      </c>
      <c r="AC135" s="10">
        <f>'A) Base RI'!V135</f>
        <v>0</v>
      </c>
      <c r="AD135" s="10">
        <f>+'A) Base RI'!W135</f>
        <v>0</v>
      </c>
      <c r="AE135" s="10">
        <f>'A) Base RI'!Y135</f>
        <v>14018.25</v>
      </c>
      <c r="AF135" s="10">
        <f>'A) Base RI'!Z135</f>
        <v>0</v>
      </c>
      <c r="AG135" s="10">
        <f>'A) Base RI'!AA135</f>
        <v>134847.6</v>
      </c>
      <c r="AH135" s="10">
        <f>'A) Base RI'!AB135</f>
        <v>0</v>
      </c>
      <c r="AI135" s="10">
        <f>'A) Base RI'!AC135</f>
        <v>106781.2</v>
      </c>
      <c r="AJ135" s="10">
        <f>'A) Base RI'!AD135</f>
        <v>6408</v>
      </c>
      <c r="AK135" s="10">
        <f>'A) Base RI'!AE135</f>
        <v>0</v>
      </c>
      <c r="AL135" s="10">
        <f>'A) Base RI'!AF135</f>
        <v>0</v>
      </c>
      <c r="AM135" s="10">
        <f>'A) Base RI'!AG135</f>
        <v>0</v>
      </c>
      <c r="AN135" s="10">
        <f>'A) Base RI'!AH135</f>
        <v>0</v>
      </c>
      <c r="AO135" s="10">
        <f>'A) Base RI'!AI135</f>
        <v>0</v>
      </c>
      <c r="AP135" s="10">
        <f>'A) Base RI'!AJ135</f>
        <v>0</v>
      </c>
      <c r="AQ135" s="10">
        <f>'A) Base RI'!AK135</f>
        <v>0</v>
      </c>
      <c r="AR135" s="10">
        <f>'A) Base RI'!AN135</f>
        <v>609</v>
      </c>
    </row>
    <row r="136" spans="1:44" x14ac:dyDescent="0.25">
      <c r="A136" s="8">
        <f>'A) Base RI'!A136</f>
        <v>5624</v>
      </c>
      <c r="B136" s="35" t="str">
        <f>'A) Base RI'!B136</f>
        <v>Bussigny</v>
      </c>
      <c r="C136" s="10">
        <f>'A) Base RI'!C136+'A) Base RI'!D136</f>
        <v>13431066.33</v>
      </c>
      <c r="D136" s="10">
        <f>'A) Base RI'!AO136</f>
        <v>-185577.75</v>
      </c>
      <c r="E136" s="34">
        <f>'A) Base RI'!AP136</f>
        <v>0</v>
      </c>
      <c r="F136" s="34">
        <f>'A) Base RI'!AQ136</f>
        <v>-56.72</v>
      </c>
      <c r="G136" s="2">
        <f t="shared" ref="G136:G199" si="12">SUM(C136:F136)</f>
        <v>13245431.859999999</v>
      </c>
      <c r="H136" s="10">
        <f>'A) Base RI'!E136</f>
        <v>0</v>
      </c>
      <c r="I136" s="10">
        <f>'A) Base RI'!F136</f>
        <v>0</v>
      </c>
      <c r="J136" s="10">
        <f>'A) Base RI'!G136+'A) Base RI'!H136</f>
        <v>4680779.2</v>
      </c>
      <c r="K136" s="10">
        <f>'A) Base RI'!I136</f>
        <v>0</v>
      </c>
      <c r="L136" s="10">
        <f>'A) Base RI'!J136</f>
        <v>729558.58</v>
      </c>
      <c r="M136" s="10">
        <f>'A) Base RI'!K136</f>
        <v>272502.5</v>
      </c>
      <c r="N136" s="10">
        <f>'A) Base RI'!Q136</f>
        <v>34941.82</v>
      </c>
      <c r="O136" s="10">
        <f t="shared" ref="O136:O199" si="13">(P136/Q136)*1</f>
        <v>1752854.3</v>
      </c>
      <c r="P136" s="10">
        <f>'A) Base RI'!L136</f>
        <v>1752854.3</v>
      </c>
      <c r="Q136" s="37">
        <f>'A) Base RI'!AR136</f>
        <v>1</v>
      </c>
      <c r="R136" s="2">
        <f t="shared" ref="R136:R199" si="14">SUM(G136:O136)</f>
        <v>20716068.259999998</v>
      </c>
      <c r="S136" s="36">
        <f>'A) Base RI'!AM136</f>
        <v>62</v>
      </c>
      <c r="T136" s="2">
        <f t="shared" ref="T136:T199" si="15">(G136+H136+J136+K136+L136+N136)</f>
        <v>18690711.459999997</v>
      </c>
      <c r="U136" s="2">
        <f t="shared" ref="U136:U199" si="16">R136/S136</f>
        <v>334130.13322580641</v>
      </c>
      <c r="V136" s="10">
        <f>'A) Base RI'!O136</f>
        <v>858</v>
      </c>
      <c r="W136" s="10">
        <f>'A) Base RI'!P136</f>
        <v>862016.1</v>
      </c>
      <c r="X136" s="10">
        <f>'A) Base RI'!R136</f>
        <v>383787.95</v>
      </c>
      <c r="Y136" s="2">
        <f t="shared" ref="Y136:Y199" si="17">SUM(V136:X136)</f>
        <v>1246662.05</v>
      </c>
      <c r="Z136" s="10">
        <f>'A) Base RI'!N136</f>
        <v>1348175.55</v>
      </c>
      <c r="AA136" s="10">
        <f>'A) Base RI'!S136+'A) Base RI'!T136</f>
        <v>33331.550000000003</v>
      </c>
      <c r="AB136" s="10">
        <f>+'A) Base RI'!U136</f>
        <v>30840</v>
      </c>
      <c r="AC136" s="10">
        <f>'A) Base RI'!V136</f>
        <v>0</v>
      </c>
      <c r="AD136" s="10">
        <f>+'A) Base RI'!W136</f>
        <v>0</v>
      </c>
      <c r="AE136" s="10">
        <f>'A) Base RI'!Y136</f>
        <v>155296.9</v>
      </c>
      <c r="AF136" s="10">
        <f>'A) Base RI'!Z136</f>
        <v>0</v>
      </c>
      <c r="AG136" s="10">
        <f>'A) Base RI'!AA136</f>
        <v>422385.01</v>
      </c>
      <c r="AH136" s="10">
        <f>'A) Base RI'!AB136</f>
        <v>0</v>
      </c>
      <c r="AI136" s="10">
        <f>'A) Base RI'!AC136</f>
        <v>940194.25</v>
      </c>
      <c r="AJ136" s="10">
        <f>'A) Base RI'!AD136</f>
        <v>149687.9</v>
      </c>
      <c r="AK136" s="10">
        <f>'A) Base RI'!AE136</f>
        <v>0</v>
      </c>
      <c r="AL136" s="10">
        <f>'A) Base RI'!AF136</f>
        <v>0</v>
      </c>
      <c r="AM136" s="10">
        <f>'A) Base RI'!AG136</f>
        <v>309299.3</v>
      </c>
      <c r="AN136" s="10">
        <f>'A) Base RI'!AH136</f>
        <v>506793.95</v>
      </c>
      <c r="AO136" s="10">
        <f>'A) Base RI'!AI136</f>
        <v>0</v>
      </c>
      <c r="AP136" s="10">
        <f>'A) Base RI'!AJ136</f>
        <v>0</v>
      </c>
      <c r="AQ136" s="10">
        <f>'A) Base RI'!AK136</f>
        <v>506800.88</v>
      </c>
      <c r="AR136" s="10">
        <f>'A) Base RI'!AN136</f>
        <v>8227</v>
      </c>
    </row>
    <row r="137" spans="1:44" x14ac:dyDescent="0.25">
      <c r="A137" s="8">
        <f>'A) Base RI'!A137</f>
        <v>5625</v>
      </c>
      <c r="B137" s="35" t="str">
        <f>'A) Base RI'!B137</f>
        <v>Bussy-Chardonney</v>
      </c>
      <c r="C137" s="10">
        <f>'A) Base RI'!C137+'A) Base RI'!D137</f>
        <v>874890.93</v>
      </c>
      <c r="D137" s="10">
        <f>'A) Base RI'!AO137</f>
        <v>-3257.56</v>
      </c>
      <c r="E137" s="34">
        <f>'A) Base RI'!AP137</f>
        <v>0</v>
      </c>
      <c r="F137" s="34">
        <f>'A) Base RI'!AQ137</f>
        <v>0</v>
      </c>
      <c r="G137" s="2">
        <f t="shared" si="12"/>
        <v>871633.37</v>
      </c>
      <c r="H137" s="10">
        <f>'A) Base RI'!E137</f>
        <v>0</v>
      </c>
      <c r="I137" s="10">
        <f>'A) Base RI'!F137</f>
        <v>0</v>
      </c>
      <c r="J137" s="10">
        <f>'A) Base RI'!G137+'A) Base RI'!H137</f>
        <v>11175.4</v>
      </c>
      <c r="K137" s="10">
        <f>'A) Base RI'!I137</f>
        <v>49537.55</v>
      </c>
      <c r="L137" s="10">
        <f>'A) Base RI'!J137</f>
        <v>49269.29</v>
      </c>
      <c r="M137" s="10">
        <f>'A) Base RI'!K137</f>
        <v>5795</v>
      </c>
      <c r="N137" s="10">
        <f>'A) Base RI'!Q137</f>
        <v>4.8099999999999996</v>
      </c>
      <c r="O137" s="10">
        <f t="shared" si="13"/>
        <v>84766.833333333328</v>
      </c>
      <c r="P137" s="10">
        <f>'A) Base RI'!L137</f>
        <v>101720.2</v>
      </c>
      <c r="Q137" s="37">
        <f>'A) Base RI'!AR137</f>
        <v>1.2</v>
      </c>
      <c r="R137" s="2">
        <f t="shared" si="14"/>
        <v>1072182.2533333334</v>
      </c>
      <c r="S137" s="36">
        <f>'A) Base RI'!AM137</f>
        <v>78</v>
      </c>
      <c r="T137" s="2">
        <f t="shared" si="15"/>
        <v>981620.42000000016</v>
      </c>
      <c r="U137" s="2">
        <f t="shared" si="16"/>
        <v>13745.926324786325</v>
      </c>
      <c r="V137" s="10">
        <f>'A) Base RI'!O137</f>
        <v>0</v>
      </c>
      <c r="W137" s="10">
        <f>'A) Base RI'!P137</f>
        <v>83810.100000000006</v>
      </c>
      <c r="X137" s="10">
        <f>'A) Base RI'!R137</f>
        <v>30053.3</v>
      </c>
      <c r="Y137" s="2">
        <f t="shared" si="17"/>
        <v>113863.40000000001</v>
      </c>
      <c r="Z137" s="10">
        <f>'A) Base RI'!N137</f>
        <v>0</v>
      </c>
      <c r="AA137" s="10">
        <f>'A) Base RI'!S137+'A) Base RI'!T137</f>
        <v>5762.05</v>
      </c>
      <c r="AB137" s="10">
        <f>+'A) Base RI'!U137</f>
        <v>700</v>
      </c>
      <c r="AC137" s="10">
        <f>'A) Base RI'!V137</f>
        <v>0</v>
      </c>
      <c r="AD137" s="10">
        <f>+'A) Base RI'!W137</f>
        <v>0</v>
      </c>
      <c r="AE137" s="10">
        <f>'A) Base RI'!Y137</f>
        <v>28767.599999999999</v>
      </c>
      <c r="AF137" s="10">
        <f>'A) Base RI'!Z137</f>
        <v>0</v>
      </c>
      <c r="AG137" s="10">
        <f>'A) Base RI'!AA137</f>
        <v>60739.199999999997</v>
      </c>
      <c r="AH137" s="10">
        <f>'A) Base RI'!AB137</f>
        <v>0</v>
      </c>
      <c r="AI137" s="10">
        <f>'A) Base RI'!AC137</f>
        <v>44256.4</v>
      </c>
      <c r="AJ137" s="10">
        <f>'A) Base RI'!AD137</f>
        <v>0</v>
      </c>
      <c r="AK137" s="10">
        <f>'A) Base RI'!AE137</f>
        <v>0</v>
      </c>
      <c r="AL137" s="10">
        <f>'A) Base RI'!AF137</f>
        <v>0</v>
      </c>
      <c r="AM137" s="10">
        <f>'A) Base RI'!AG137</f>
        <v>0</v>
      </c>
      <c r="AN137" s="10">
        <f>'A) Base RI'!AH137</f>
        <v>0</v>
      </c>
      <c r="AO137" s="10">
        <f>'A) Base RI'!AI137</f>
        <v>0</v>
      </c>
      <c r="AP137" s="10">
        <f>'A) Base RI'!AJ137</f>
        <v>0</v>
      </c>
      <c r="AQ137" s="10">
        <f>'A) Base RI'!AK137</f>
        <v>0</v>
      </c>
      <c r="AR137" s="10">
        <f>'A) Base RI'!AN137</f>
        <v>369</v>
      </c>
    </row>
    <row r="138" spans="1:44" x14ac:dyDescent="0.25">
      <c r="A138" s="8">
        <f>'A) Base RI'!A138</f>
        <v>5627</v>
      </c>
      <c r="B138" s="35" t="str">
        <f>'A) Base RI'!B138</f>
        <v>Chavannes-près-Renens</v>
      </c>
      <c r="C138" s="10">
        <f>'A) Base RI'!C138+'A) Base RI'!D138</f>
        <v>9895342.1899999995</v>
      </c>
      <c r="D138" s="10">
        <f>'A) Base RI'!AO138</f>
        <v>-326890.31</v>
      </c>
      <c r="E138" s="34">
        <f>'A) Base RI'!AP138</f>
        <v>0</v>
      </c>
      <c r="F138" s="34">
        <f>'A) Base RI'!AQ138</f>
        <v>-290.58999999999997</v>
      </c>
      <c r="G138" s="2">
        <f t="shared" si="12"/>
        <v>9568161.2899999991</v>
      </c>
      <c r="H138" s="10">
        <f>'A) Base RI'!E138</f>
        <v>0</v>
      </c>
      <c r="I138" s="10">
        <f>'A) Base RI'!F138</f>
        <v>0</v>
      </c>
      <c r="J138" s="10">
        <f>'A) Base RI'!G138+'A) Base RI'!H138</f>
        <v>1934842.75</v>
      </c>
      <c r="K138" s="10">
        <f>'A) Base RI'!I138</f>
        <v>0</v>
      </c>
      <c r="L138" s="10">
        <f>'A) Base RI'!J138</f>
        <v>999779.97</v>
      </c>
      <c r="M138" s="10">
        <f>'A) Base RI'!K138</f>
        <v>205091.20000000001</v>
      </c>
      <c r="N138" s="10">
        <f>'A) Base RI'!Q138</f>
        <v>30588.2</v>
      </c>
      <c r="O138" s="10">
        <f t="shared" si="13"/>
        <v>831434.56666666677</v>
      </c>
      <c r="P138" s="10">
        <f>'A) Base RI'!L138</f>
        <v>1247151.8500000001</v>
      </c>
      <c r="Q138" s="37">
        <f>'A) Base RI'!AR138</f>
        <v>1.5</v>
      </c>
      <c r="R138" s="2">
        <f t="shared" si="14"/>
        <v>13569897.976666665</v>
      </c>
      <c r="S138" s="36">
        <f>'A) Base RI'!AM138</f>
        <v>79</v>
      </c>
      <c r="T138" s="2">
        <f t="shared" si="15"/>
        <v>12533372.209999999</v>
      </c>
      <c r="U138" s="2">
        <f t="shared" si="16"/>
        <v>171770.86046413501</v>
      </c>
      <c r="V138" s="10">
        <f>'A) Base RI'!O138</f>
        <v>16446.3</v>
      </c>
      <c r="W138" s="10">
        <f>'A) Base RI'!P138</f>
        <v>369187.9</v>
      </c>
      <c r="X138" s="10">
        <f>'A) Base RI'!R138</f>
        <v>134238.65</v>
      </c>
      <c r="Y138" s="2">
        <f t="shared" si="17"/>
        <v>519872.85</v>
      </c>
      <c r="Z138" s="10">
        <f>'A) Base RI'!N138</f>
        <v>464106.9</v>
      </c>
      <c r="AA138" s="10">
        <f>'A) Base RI'!S138+'A) Base RI'!T138</f>
        <v>68647.05</v>
      </c>
      <c r="AB138" s="10">
        <f>+'A) Base RI'!U138</f>
        <v>28050</v>
      </c>
      <c r="AC138" s="10">
        <f>'A) Base RI'!V138</f>
        <v>1801.8</v>
      </c>
      <c r="AD138" s="10">
        <f>+'A) Base RI'!W138</f>
        <v>666.7</v>
      </c>
      <c r="AE138" s="10">
        <f>'A) Base RI'!Y138</f>
        <v>336284.55</v>
      </c>
      <c r="AF138" s="10">
        <f>'A) Base RI'!Z138</f>
        <v>0</v>
      </c>
      <c r="AG138" s="10">
        <f>'A) Base RI'!AA138</f>
        <v>615453.25</v>
      </c>
      <c r="AH138" s="10">
        <f>'A) Base RI'!AB138</f>
        <v>0</v>
      </c>
      <c r="AI138" s="10">
        <f>'A) Base RI'!AC138</f>
        <v>346002.7</v>
      </c>
      <c r="AJ138" s="10">
        <f>'A) Base RI'!AD138</f>
        <v>0</v>
      </c>
      <c r="AK138" s="10">
        <f>'A) Base RI'!AE138</f>
        <v>0</v>
      </c>
      <c r="AL138" s="10">
        <f>'A) Base RI'!AF138</f>
        <v>0</v>
      </c>
      <c r="AM138" s="10">
        <f>'A) Base RI'!AG138</f>
        <v>25586.65</v>
      </c>
      <c r="AN138" s="10">
        <f>'A) Base RI'!AH138</f>
        <v>0</v>
      </c>
      <c r="AO138" s="10">
        <f>'A) Base RI'!AI138</f>
        <v>0</v>
      </c>
      <c r="AP138" s="10">
        <f>'A) Base RI'!AJ138</f>
        <v>0</v>
      </c>
      <c r="AQ138" s="10">
        <f>'A) Base RI'!AK138</f>
        <v>0</v>
      </c>
      <c r="AR138" s="10">
        <f>'A) Base RI'!AN138</f>
        <v>7543</v>
      </c>
    </row>
    <row r="139" spans="1:44" x14ac:dyDescent="0.25">
      <c r="A139" s="8">
        <f>'A) Base RI'!A139</f>
        <v>5628</v>
      </c>
      <c r="B139" s="35" t="str">
        <f>'A) Base RI'!B139</f>
        <v>Chigny</v>
      </c>
      <c r="C139" s="10">
        <f>'A) Base RI'!C139+'A) Base RI'!D139</f>
        <v>1074883.5</v>
      </c>
      <c r="D139" s="10">
        <f>'A) Base RI'!AO139</f>
        <v>-2769.21</v>
      </c>
      <c r="E139" s="34">
        <f>'A) Base RI'!AP139</f>
        <v>0</v>
      </c>
      <c r="F139" s="34">
        <f>'A) Base RI'!AQ139</f>
        <v>0</v>
      </c>
      <c r="G139" s="2">
        <f t="shared" si="12"/>
        <v>1072114.29</v>
      </c>
      <c r="H139" s="10">
        <f>'A) Base RI'!E139</f>
        <v>0</v>
      </c>
      <c r="I139" s="10">
        <f>'A) Base RI'!F139</f>
        <v>0</v>
      </c>
      <c r="J139" s="10">
        <f>'A) Base RI'!G139+'A) Base RI'!H139</f>
        <v>7280.45</v>
      </c>
      <c r="K139" s="10">
        <f>'A) Base RI'!I139</f>
        <v>0</v>
      </c>
      <c r="L139" s="10">
        <f>'A) Base RI'!J139</f>
        <v>38803.410000000003</v>
      </c>
      <c r="M139" s="10">
        <f>'A) Base RI'!K139</f>
        <v>859.5</v>
      </c>
      <c r="N139" s="10">
        <f>'A) Base RI'!Q139</f>
        <v>0</v>
      </c>
      <c r="O139" s="10">
        <f t="shared" si="13"/>
        <v>81365.6875</v>
      </c>
      <c r="P139" s="10">
        <f>'A) Base RI'!L139</f>
        <v>65092.55</v>
      </c>
      <c r="Q139" s="37">
        <f>'A) Base RI'!AR139</f>
        <v>0.8</v>
      </c>
      <c r="R139" s="2">
        <f t="shared" si="14"/>
        <v>1200423.3374999999</v>
      </c>
      <c r="S139" s="36">
        <f>'A) Base RI'!AM139</f>
        <v>62</v>
      </c>
      <c r="T139" s="2">
        <f t="shared" si="15"/>
        <v>1118198.1499999999</v>
      </c>
      <c r="U139" s="2">
        <f t="shared" si="16"/>
        <v>19361.666733870967</v>
      </c>
      <c r="V139" s="10">
        <f>'A) Base RI'!O139</f>
        <v>73843</v>
      </c>
      <c r="W139" s="10">
        <f>'A) Base RI'!P139</f>
        <v>631.29999999999995</v>
      </c>
      <c r="X139" s="10">
        <f>'A) Base RI'!R139</f>
        <v>0</v>
      </c>
      <c r="Y139" s="2">
        <f t="shared" si="17"/>
        <v>74474.3</v>
      </c>
      <c r="Z139" s="10">
        <f>'A) Base RI'!N139</f>
        <v>18046</v>
      </c>
      <c r="AA139" s="10">
        <f>'A) Base RI'!S139+'A) Base RI'!T139</f>
        <v>0</v>
      </c>
      <c r="AB139" s="10">
        <f>+'A) Base RI'!U139</f>
        <v>0</v>
      </c>
      <c r="AC139" s="10">
        <f>'A) Base RI'!V139</f>
        <v>0</v>
      </c>
      <c r="AD139" s="10">
        <f>+'A) Base RI'!W139</f>
        <v>0</v>
      </c>
      <c r="AE139" s="10">
        <f>'A) Base RI'!Y139</f>
        <v>10197</v>
      </c>
      <c r="AF139" s="10">
        <f>'A) Base RI'!Z139</f>
        <v>0</v>
      </c>
      <c r="AG139" s="10">
        <f>'A) Base RI'!AA139</f>
        <v>66407.8</v>
      </c>
      <c r="AH139" s="10">
        <f>'A) Base RI'!AB139</f>
        <v>0</v>
      </c>
      <c r="AI139" s="10">
        <f>'A) Base RI'!AC139</f>
        <v>20583.2</v>
      </c>
      <c r="AJ139" s="10">
        <f>'A) Base RI'!AD139</f>
        <v>0</v>
      </c>
      <c r="AK139" s="10">
        <f>'A) Base RI'!AE139</f>
        <v>0</v>
      </c>
      <c r="AL139" s="10">
        <f>'A) Base RI'!AF139</f>
        <v>0</v>
      </c>
      <c r="AM139" s="10">
        <f>'A) Base RI'!AG139</f>
        <v>0</v>
      </c>
      <c r="AN139" s="10">
        <f>'A) Base RI'!AH139</f>
        <v>8786.2999999999993</v>
      </c>
      <c r="AO139" s="10">
        <f>'A) Base RI'!AI139</f>
        <v>0</v>
      </c>
      <c r="AP139" s="10">
        <f>'A) Base RI'!AJ139</f>
        <v>0</v>
      </c>
      <c r="AQ139" s="10">
        <f>'A) Base RI'!AK139</f>
        <v>0</v>
      </c>
      <c r="AR139" s="10">
        <f>'A) Base RI'!AN139</f>
        <v>343</v>
      </c>
    </row>
    <row r="140" spans="1:44" x14ac:dyDescent="0.25">
      <c r="A140" s="8">
        <f>'A) Base RI'!A140</f>
        <v>5629</v>
      </c>
      <c r="B140" s="35" t="str">
        <f>'A) Base RI'!B140</f>
        <v>Clarmont</v>
      </c>
      <c r="C140" s="10">
        <f>'A) Base RI'!C140+'A) Base RI'!D140</f>
        <v>532330.6</v>
      </c>
      <c r="D140" s="10">
        <f>'A) Base RI'!AO140</f>
        <v>-18.649999999999999</v>
      </c>
      <c r="E140" s="34">
        <f>'A) Base RI'!AP140</f>
        <v>0</v>
      </c>
      <c r="F140" s="34">
        <f>'A) Base RI'!AQ140</f>
        <v>0</v>
      </c>
      <c r="G140" s="2">
        <f t="shared" si="12"/>
        <v>532311.94999999995</v>
      </c>
      <c r="H140" s="10">
        <f>'A) Base RI'!E140</f>
        <v>0</v>
      </c>
      <c r="I140" s="10">
        <f>'A) Base RI'!F140</f>
        <v>0</v>
      </c>
      <c r="J140" s="10">
        <f>'A) Base RI'!G140+'A) Base RI'!H140</f>
        <v>8330.5</v>
      </c>
      <c r="K140" s="10">
        <f>'A) Base RI'!I140</f>
        <v>0</v>
      </c>
      <c r="L140" s="10">
        <f>'A) Base RI'!J140</f>
        <v>-15100.26</v>
      </c>
      <c r="M140" s="10">
        <f>'A) Base RI'!K140</f>
        <v>1599</v>
      </c>
      <c r="N140" s="10">
        <f>'A) Base RI'!Q140</f>
        <v>3515.15</v>
      </c>
      <c r="O140" s="10">
        <f t="shared" si="13"/>
        <v>34557.1</v>
      </c>
      <c r="P140" s="10">
        <f>'A) Base RI'!L140</f>
        <v>34557.1</v>
      </c>
      <c r="Q140" s="37">
        <f>'A) Base RI'!AR140</f>
        <v>1</v>
      </c>
      <c r="R140" s="2">
        <f t="shared" si="14"/>
        <v>565213.43999999994</v>
      </c>
      <c r="S140" s="36">
        <f>'A) Base RI'!AM140</f>
        <v>75</v>
      </c>
      <c r="T140" s="2">
        <f t="shared" si="15"/>
        <v>529057.34</v>
      </c>
      <c r="U140" s="2">
        <f t="shared" si="16"/>
        <v>7536.1791999999996</v>
      </c>
      <c r="V140" s="10">
        <f>'A) Base RI'!O140</f>
        <v>51981.1</v>
      </c>
      <c r="W140" s="10">
        <f>'A) Base RI'!P140</f>
        <v>19002.95</v>
      </c>
      <c r="X140" s="10">
        <f>'A) Base RI'!R140</f>
        <v>11161.7</v>
      </c>
      <c r="Y140" s="2">
        <f t="shared" si="17"/>
        <v>82145.75</v>
      </c>
      <c r="Z140" s="10">
        <f>'A) Base RI'!N140</f>
        <v>0</v>
      </c>
      <c r="AA140" s="10">
        <f>'A) Base RI'!S140+'A) Base RI'!T140</f>
        <v>0</v>
      </c>
      <c r="AB140" s="10">
        <f>+'A) Base RI'!U140</f>
        <v>500</v>
      </c>
      <c r="AC140" s="10">
        <f>'A) Base RI'!V140</f>
        <v>0</v>
      </c>
      <c r="AD140" s="10">
        <f>+'A) Base RI'!W140</f>
        <v>0</v>
      </c>
      <c r="AE140" s="10">
        <f>'A) Base RI'!Y140</f>
        <v>-1345.45</v>
      </c>
      <c r="AF140" s="10">
        <f>'A) Base RI'!Z140</f>
        <v>0</v>
      </c>
      <c r="AG140" s="10">
        <f>'A) Base RI'!AA140</f>
        <v>37191.85</v>
      </c>
      <c r="AH140" s="10">
        <f>'A) Base RI'!AB140</f>
        <v>0</v>
      </c>
      <c r="AI140" s="10">
        <f>'A) Base RI'!AC140</f>
        <v>14877.5</v>
      </c>
      <c r="AJ140" s="10">
        <f>'A) Base RI'!AD140</f>
        <v>-699.05</v>
      </c>
      <c r="AK140" s="10">
        <f>'A) Base RI'!AE140</f>
        <v>0</v>
      </c>
      <c r="AL140" s="10">
        <f>'A) Base RI'!AF140</f>
        <v>0</v>
      </c>
      <c r="AM140" s="10">
        <f>'A) Base RI'!AG140</f>
        <v>0</v>
      </c>
      <c r="AN140" s="10">
        <f>'A) Base RI'!AH140</f>
        <v>0</v>
      </c>
      <c r="AO140" s="10">
        <f>'A) Base RI'!AI140</f>
        <v>0</v>
      </c>
      <c r="AP140" s="10">
        <f>'A) Base RI'!AJ140</f>
        <v>0</v>
      </c>
      <c r="AQ140" s="10">
        <f>'A) Base RI'!AK140</f>
        <v>0</v>
      </c>
      <c r="AR140" s="10">
        <f>'A) Base RI'!AN140</f>
        <v>175</v>
      </c>
    </row>
    <row r="141" spans="1:44" x14ac:dyDescent="0.25">
      <c r="A141" s="8">
        <f>'A) Base RI'!A141</f>
        <v>5631</v>
      </c>
      <c r="B141" s="35" t="str">
        <f>'A) Base RI'!B141</f>
        <v>Denens</v>
      </c>
      <c r="C141" s="10">
        <f>'A) Base RI'!C141+'A) Base RI'!D141</f>
        <v>2459503.38</v>
      </c>
      <c r="D141" s="10">
        <f>'A) Base RI'!AO141</f>
        <v>-14055.28</v>
      </c>
      <c r="E141" s="34">
        <f>'A) Base RI'!AP141</f>
        <v>0</v>
      </c>
      <c r="F141" s="34">
        <f>'A) Base RI'!AQ141</f>
        <v>-1538.75</v>
      </c>
      <c r="G141" s="2">
        <f t="shared" si="12"/>
        <v>2443909.35</v>
      </c>
      <c r="H141" s="10">
        <f>'A) Base RI'!E141</f>
        <v>0</v>
      </c>
      <c r="I141" s="10">
        <f>'A) Base RI'!F141</f>
        <v>0</v>
      </c>
      <c r="J141" s="10">
        <f>'A) Base RI'!G141+'A) Base RI'!H141</f>
        <v>64252.149999999994</v>
      </c>
      <c r="K141" s="10">
        <f>'A) Base RI'!I141</f>
        <v>107078.8</v>
      </c>
      <c r="L141" s="10">
        <f>'A) Base RI'!J141</f>
        <v>68197.55</v>
      </c>
      <c r="M141" s="10">
        <f>'A) Base RI'!K141</f>
        <v>2398</v>
      </c>
      <c r="N141" s="10">
        <f>'A) Base RI'!Q141</f>
        <v>2586.31</v>
      </c>
      <c r="O141" s="10">
        <f t="shared" si="13"/>
        <v>182669.5</v>
      </c>
      <c r="P141" s="10">
        <f>'A) Base RI'!L141</f>
        <v>182669.5</v>
      </c>
      <c r="Q141" s="37">
        <f>'A) Base RI'!AR141</f>
        <v>1</v>
      </c>
      <c r="R141" s="2">
        <f t="shared" si="14"/>
        <v>2871091.6599999997</v>
      </c>
      <c r="S141" s="36">
        <f>'A) Base RI'!AM141</f>
        <v>68</v>
      </c>
      <c r="T141" s="2">
        <f t="shared" si="15"/>
        <v>2686024.1599999997</v>
      </c>
      <c r="U141" s="2">
        <f t="shared" si="16"/>
        <v>42221.936176470583</v>
      </c>
      <c r="V141" s="10">
        <f>'A) Base RI'!O141</f>
        <v>181576.7</v>
      </c>
      <c r="W141" s="10">
        <f>'A) Base RI'!P141</f>
        <v>340629.6</v>
      </c>
      <c r="X141" s="10">
        <f>'A) Base RI'!R141</f>
        <v>83935.85</v>
      </c>
      <c r="Y141" s="2">
        <f t="shared" si="17"/>
        <v>606142.15</v>
      </c>
      <c r="Z141" s="10">
        <f>'A) Base RI'!N141</f>
        <v>0</v>
      </c>
      <c r="AA141" s="10">
        <f>'A) Base RI'!S141+'A) Base RI'!T141</f>
        <v>859.75</v>
      </c>
      <c r="AB141" s="10">
        <f>+'A) Base RI'!U141</f>
        <v>1612.5</v>
      </c>
      <c r="AC141" s="10">
        <f>'A) Base RI'!V141</f>
        <v>0</v>
      </c>
      <c r="AD141" s="10">
        <f>+'A) Base RI'!W141</f>
        <v>0</v>
      </c>
      <c r="AE141" s="10">
        <f>'A) Base RI'!Y141</f>
        <v>5320.1</v>
      </c>
      <c r="AF141" s="10">
        <f>'A) Base RI'!Z141</f>
        <v>0</v>
      </c>
      <c r="AG141" s="10">
        <f>'A) Base RI'!AA141</f>
        <v>116717</v>
      </c>
      <c r="AH141" s="10">
        <f>'A) Base RI'!AB141</f>
        <v>0</v>
      </c>
      <c r="AI141" s="10">
        <f>'A) Base RI'!AC141</f>
        <v>49376.6</v>
      </c>
      <c r="AJ141" s="10">
        <f>'A) Base RI'!AD141</f>
        <v>0</v>
      </c>
      <c r="AK141" s="10">
        <f>'A) Base RI'!AE141</f>
        <v>0</v>
      </c>
      <c r="AL141" s="10">
        <f>'A) Base RI'!AF141</f>
        <v>0</v>
      </c>
      <c r="AM141" s="10">
        <f>'A) Base RI'!AG141</f>
        <v>0</v>
      </c>
      <c r="AN141" s="10">
        <f>'A) Base RI'!AH141</f>
        <v>0</v>
      </c>
      <c r="AO141" s="10">
        <f>'A) Base RI'!AI141</f>
        <v>0</v>
      </c>
      <c r="AP141" s="10">
        <f>'A) Base RI'!AJ141</f>
        <v>0</v>
      </c>
      <c r="AQ141" s="10">
        <f>'A) Base RI'!AK141</f>
        <v>0</v>
      </c>
      <c r="AR141" s="10">
        <f>'A) Base RI'!AN141</f>
        <v>769</v>
      </c>
    </row>
    <row r="142" spans="1:44" x14ac:dyDescent="0.25">
      <c r="A142" s="8">
        <f>'A) Base RI'!A142</f>
        <v>5632</v>
      </c>
      <c r="B142" s="35" t="str">
        <f>'A) Base RI'!B142</f>
        <v>Denges</v>
      </c>
      <c r="C142" s="10">
        <f>'A) Base RI'!C142+'A) Base RI'!D142</f>
        <v>3566439.1900000004</v>
      </c>
      <c r="D142" s="10">
        <f>'A) Base RI'!AO142</f>
        <v>-58960.34</v>
      </c>
      <c r="E142" s="34">
        <f>'A) Base RI'!AP142</f>
        <v>0</v>
      </c>
      <c r="F142" s="34">
        <f>'A) Base RI'!AQ142</f>
        <v>-557.97</v>
      </c>
      <c r="G142" s="2">
        <f t="shared" si="12"/>
        <v>3506920.8800000004</v>
      </c>
      <c r="H142" s="10">
        <f>'A) Base RI'!E142</f>
        <v>0</v>
      </c>
      <c r="I142" s="10">
        <f>'A) Base RI'!F142</f>
        <v>0</v>
      </c>
      <c r="J142" s="10">
        <f>'A) Base RI'!G142+'A) Base RI'!H142</f>
        <v>182298.45</v>
      </c>
      <c r="K142" s="10">
        <f>'A) Base RI'!I142</f>
        <v>0</v>
      </c>
      <c r="L142" s="10">
        <f>'A) Base RI'!J142</f>
        <v>118799.66</v>
      </c>
      <c r="M142" s="10">
        <f>'A) Base RI'!K142</f>
        <v>34477</v>
      </c>
      <c r="N142" s="10">
        <f>'A) Base RI'!Q142</f>
        <v>6790.74</v>
      </c>
      <c r="O142" s="10">
        <f t="shared" si="13"/>
        <v>323937.40000000002</v>
      </c>
      <c r="P142" s="10">
        <f>'A) Base RI'!L142</f>
        <v>323937.40000000002</v>
      </c>
      <c r="Q142" s="37">
        <f>'A) Base RI'!AR142</f>
        <v>1</v>
      </c>
      <c r="R142" s="2">
        <f t="shared" si="14"/>
        <v>4173224.1300000008</v>
      </c>
      <c r="S142" s="36">
        <f>'A) Base RI'!AM142</f>
        <v>62</v>
      </c>
      <c r="T142" s="2">
        <f t="shared" si="15"/>
        <v>3814809.7300000009</v>
      </c>
      <c r="U142" s="2">
        <f t="shared" si="16"/>
        <v>67310.066612903232</v>
      </c>
      <c r="V142" s="10">
        <f>'A) Base RI'!O142</f>
        <v>230083.20000000001</v>
      </c>
      <c r="W142" s="10">
        <f>'A) Base RI'!P142</f>
        <v>68039.05</v>
      </c>
      <c r="X142" s="10">
        <f>'A) Base RI'!R142</f>
        <v>5525.4</v>
      </c>
      <c r="Y142" s="2">
        <f t="shared" si="17"/>
        <v>303647.65000000002</v>
      </c>
      <c r="Z142" s="10">
        <f>'A) Base RI'!N142</f>
        <v>120436.9</v>
      </c>
      <c r="AA142" s="10">
        <f>'A) Base RI'!S142+'A) Base RI'!T142</f>
        <v>650</v>
      </c>
      <c r="AB142" s="10">
        <f>+'A) Base RI'!U142</f>
        <v>4850</v>
      </c>
      <c r="AC142" s="10">
        <f>'A) Base RI'!V142</f>
        <v>0</v>
      </c>
      <c r="AD142" s="10">
        <f>+'A) Base RI'!W142</f>
        <v>0</v>
      </c>
      <c r="AE142" s="10">
        <f>'A) Base RI'!Y142</f>
        <v>33600</v>
      </c>
      <c r="AF142" s="10">
        <f>'A) Base RI'!Z142</f>
        <v>13020.4</v>
      </c>
      <c r="AG142" s="10">
        <f>'A) Base RI'!AA142</f>
        <v>223694.95</v>
      </c>
      <c r="AH142" s="10">
        <f>'A) Base RI'!AB142</f>
        <v>88576.45</v>
      </c>
      <c r="AI142" s="10">
        <f>'A) Base RI'!AC142</f>
        <v>112880</v>
      </c>
      <c r="AJ142" s="10">
        <f>'A) Base RI'!AD142</f>
        <v>0</v>
      </c>
      <c r="AK142" s="10">
        <f>'A) Base RI'!AE142</f>
        <v>0</v>
      </c>
      <c r="AL142" s="10">
        <f>'A) Base RI'!AF142</f>
        <v>0</v>
      </c>
      <c r="AM142" s="10">
        <f>'A) Base RI'!AG142</f>
        <v>0</v>
      </c>
      <c r="AN142" s="10">
        <f>'A) Base RI'!AH142</f>
        <v>52556</v>
      </c>
      <c r="AO142" s="10">
        <f>'A) Base RI'!AI142</f>
        <v>0</v>
      </c>
      <c r="AP142" s="10">
        <f>'A) Base RI'!AJ142</f>
        <v>0</v>
      </c>
      <c r="AQ142" s="10">
        <f>'A) Base RI'!AK142</f>
        <v>0</v>
      </c>
      <c r="AR142" s="10">
        <f>'A) Base RI'!AN142</f>
        <v>1624</v>
      </c>
    </row>
    <row r="143" spans="1:44" x14ac:dyDescent="0.25">
      <c r="A143" s="8">
        <f>'A) Base RI'!A143</f>
        <v>5633</v>
      </c>
      <c r="B143" s="35" t="str">
        <f>'A) Base RI'!B143</f>
        <v>Echandens</v>
      </c>
      <c r="C143" s="10">
        <f>'A) Base RI'!C143+'A) Base RI'!D143</f>
        <v>7124879.9699999997</v>
      </c>
      <c r="D143" s="10">
        <f>'A) Base RI'!AO143</f>
        <v>-123160.11</v>
      </c>
      <c r="E143" s="34">
        <f>'A) Base RI'!AP143</f>
        <v>0</v>
      </c>
      <c r="F143" s="34">
        <f>'A) Base RI'!AQ143</f>
        <v>0</v>
      </c>
      <c r="G143" s="2">
        <f t="shared" si="12"/>
        <v>7001719.8599999994</v>
      </c>
      <c r="H143" s="10">
        <f>'A) Base RI'!E143</f>
        <v>0</v>
      </c>
      <c r="I143" s="10">
        <f>'A) Base RI'!F143</f>
        <v>0</v>
      </c>
      <c r="J143" s="10">
        <f>'A) Base RI'!G143+'A) Base RI'!H143</f>
        <v>827462.3600000001</v>
      </c>
      <c r="K143" s="10">
        <f>'A) Base RI'!I143</f>
        <v>0</v>
      </c>
      <c r="L143" s="10">
        <f>'A) Base RI'!J143</f>
        <v>218703.02</v>
      </c>
      <c r="M143" s="10">
        <f>'A) Base RI'!K143</f>
        <v>21092</v>
      </c>
      <c r="N143" s="10">
        <f>'A) Base RI'!Q143</f>
        <v>14158.32</v>
      </c>
      <c r="O143" s="10">
        <f t="shared" si="13"/>
        <v>569240.1</v>
      </c>
      <c r="P143" s="10">
        <f>'A) Base RI'!L143</f>
        <v>569240.1</v>
      </c>
      <c r="Q143" s="37">
        <f>'A) Base RI'!AR143</f>
        <v>1</v>
      </c>
      <c r="R143" s="2">
        <f t="shared" si="14"/>
        <v>8652375.6600000001</v>
      </c>
      <c r="S143" s="36">
        <f>'A) Base RI'!AM143</f>
        <v>62</v>
      </c>
      <c r="T143" s="2">
        <f t="shared" si="15"/>
        <v>8062043.5599999996</v>
      </c>
      <c r="U143" s="2">
        <f t="shared" si="16"/>
        <v>139554.44612903227</v>
      </c>
      <c r="V143" s="10">
        <f>'A) Base RI'!O143</f>
        <v>54125.3</v>
      </c>
      <c r="W143" s="10">
        <f>'A) Base RI'!P143</f>
        <v>280536.7</v>
      </c>
      <c r="X143" s="10">
        <f>'A) Base RI'!R143</f>
        <v>185024.5</v>
      </c>
      <c r="Y143" s="2">
        <f t="shared" si="17"/>
        <v>519686.5</v>
      </c>
      <c r="Z143" s="10">
        <f>'A) Base RI'!N143</f>
        <v>134469</v>
      </c>
      <c r="AA143" s="10">
        <f>'A) Base RI'!S143+'A) Base RI'!T143</f>
        <v>11118.65</v>
      </c>
      <c r="AB143" s="10">
        <f>+'A) Base RI'!U143</f>
        <v>8370</v>
      </c>
      <c r="AC143" s="10">
        <f>'A) Base RI'!V143</f>
        <v>0</v>
      </c>
      <c r="AD143" s="10">
        <f>+'A) Base RI'!W143</f>
        <v>0</v>
      </c>
      <c r="AE143" s="10">
        <f>'A) Base RI'!Y143</f>
        <v>104250</v>
      </c>
      <c r="AF143" s="10">
        <f>'A) Base RI'!Z143</f>
        <v>0</v>
      </c>
      <c r="AG143" s="10">
        <f>'A) Base RI'!AA143</f>
        <v>433913.59999999998</v>
      </c>
      <c r="AH143" s="10">
        <f>'A) Base RI'!AB143</f>
        <v>0</v>
      </c>
      <c r="AI143" s="10">
        <f>'A) Base RI'!AC143</f>
        <v>165120.19</v>
      </c>
      <c r="AJ143" s="10">
        <f>'A) Base RI'!AD143</f>
        <v>0</v>
      </c>
      <c r="AK143" s="10">
        <f>'A) Base RI'!AE143</f>
        <v>0</v>
      </c>
      <c r="AL143" s="10">
        <f>'A) Base RI'!AF143</f>
        <v>0</v>
      </c>
      <c r="AM143" s="10">
        <f>'A) Base RI'!AG143</f>
        <v>0</v>
      </c>
      <c r="AN143" s="10">
        <f>'A) Base RI'!AH143</f>
        <v>0</v>
      </c>
      <c r="AO143" s="10">
        <f>'A) Base RI'!AI143</f>
        <v>0</v>
      </c>
      <c r="AP143" s="10">
        <f>'A) Base RI'!AJ143</f>
        <v>0</v>
      </c>
      <c r="AQ143" s="10">
        <f>'A) Base RI'!AK143</f>
        <v>0</v>
      </c>
      <c r="AR143" s="10">
        <f>'A) Base RI'!AN143</f>
        <v>2731</v>
      </c>
    </row>
    <row r="144" spans="1:44" x14ac:dyDescent="0.25">
      <c r="A144" s="8">
        <f>'A) Base RI'!A144</f>
        <v>5634</v>
      </c>
      <c r="B144" s="35" t="str">
        <f>'A) Base RI'!B144</f>
        <v>Echichens</v>
      </c>
      <c r="C144" s="10">
        <f>'A) Base RI'!C144+'A) Base RI'!D144</f>
        <v>7756007.0600000005</v>
      </c>
      <c r="D144" s="10">
        <f>'A) Base RI'!AO144</f>
        <v>-109600.94</v>
      </c>
      <c r="E144" s="34">
        <f>'A) Base RI'!AP144</f>
        <v>0</v>
      </c>
      <c r="F144" s="34">
        <f>'A) Base RI'!AQ144</f>
        <v>-3629.23</v>
      </c>
      <c r="G144" s="2">
        <f t="shared" si="12"/>
        <v>7642776.8899999997</v>
      </c>
      <c r="H144" s="10">
        <f>'A) Base RI'!E144</f>
        <v>0</v>
      </c>
      <c r="I144" s="10">
        <f>'A) Base RI'!F144</f>
        <v>0</v>
      </c>
      <c r="J144" s="10">
        <f>'A) Base RI'!G144+'A) Base RI'!H144</f>
        <v>110204.75</v>
      </c>
      <c r="K144" s="10">
        <f>'A) Base RI'!I144</f>
        <v>84657.2</v>
      </c>
      <c r="L144" s="10">
        <f>'A) Base RI'!J144</f>
        <v>167717.95000000001</v>
      </c>
      <c r="M144" s="10">
        <f>'A) Base RI'!K144</f>
        <v>17888.5</v>
      </c>
      <c r="N144" s="10">
        <f>'A) Base RI'!Q144</f>
        <v>31972.2</v>
      </c>
      <c r="O144" s="10">
        <f t="shared" si="13"/>
        <v>492329.15</v>
      </c>
      <c r="P144" s="10">
        <f>'A) Base RI'!L144</f>
        <v>492329.15</v>
      </c>
      <c r="Q144" s="37">
        <f>'A) Base RI'!AR144</f>
        <v>1</v>
      </c>
      <c r="R144" s="2">
        <f t="shared" si="14"/>
        <v>8547546.6400000006</v>
      </c>
      <c r="S144" s="36">
        <f>'A) Base RI'!AM144</f>
        <v>68</v>
      </c>
      <c r="T144" s="2">
        <f t="shared" si="15"/>
        <v>8037328.9900000002</v>
      </c>
      <c r="U144" s="2">
        <f t="shared" si="16"/>
        <v>125699.21529411766</v>
      </c>
      <c r="V144" s="10">
        <f>'A) Base RI'!O144</f>
        <v>129027</v>
      </c>
      <c r="W144" s="10">
        <f>'A) Base RI'!P144</f>
        <v>605312.1</v>
      </c>
      <c r="X144" s="10">
        <f>'A) Base RI'!R144</f>
        <v>274942.5</v>
      </c>
      <c r="Y144" s="2">
        <f t="shared" si="17"/>
        <v>1009281.6</v>
      </c>
      <c r="Z144" s="10">
        <f>'A) Base RI'!N144</f>
        <v>20791.55</v>
      </c>
      <c r="AA144" s="10">
        <f>'A) Base RI'!S144+'A) Base RI'!T144</f>
        <v>1250</v>
      </c>
      <c r="AB144" s="10">
        <f>+'A) Base RI'!U144</f>
        <v>7400</v>
      </c>
      <c r="AC144" s="10">
        <f>'A) Base RI'!V144</f>
        <v>0</v>
      </c>
      <c r="AD144" s="10">
        <f>+'A) Base RI'!W144</f>
        <v>0</v>
      </c>
      <c r="AE144" s="10">
        <f>'A) Base RI'!Y144</f>
        <v>938719.2</v>
      </c>
      <c r="AF144" s="10">
        <f>'A) Base RI'!Z144</f>
        <v>0</v>
      </c>
      <c r="AG144" s="10">
        <f>'A) Base RI'!AA144</f>
        <v>545278.75</v>
      </c>
      <c r="AH144" s="10">
        <f>'A) Base RI'!AB144</f>
        <v>0</v>
      </c>
      <c r="AI144" s="10">
        <f>'A) Base RI'!AC144</f>
        <v>175890.15</v>
      </c>
      <c r="AJ144" s="10">
        <f>'A) Base RI'!AD144</f>
        <v>93756.95</v>
      </c>
      <c r="AK144" s="10">
        <f>'A) Base RI'!AE144</f>
        <v>0</v>
      </c>
      <c r="AL144" s="10">
        <f>'A) Base RI'!AF144</f>
        <v>0</v>
      </c>
      <c r="AM144" s="10">
        <f>'A) Base RI'!AG144</f>
        <v>0</v>
      </c>
      <c r="AN144" s="10">
        <f>'A) Base RI'!AH144</f>
        <v>0</v>
      </c>
      <c r="AO144" s="10">
        <f>'A) Base RI'!AI144</f>
        <v>0</v>
      </c>
      <c r="AP144" s="10">
        <f>'A) Base RI'!AJ144</f>
        <v>0</v>
      </c>
      <c r="AQ144" s="10">
        <f>'A) Base RI'!AK144</f>
        <v>0</v>
      </c>
      <c r="AR144" s="10">
        <f>'A) Base RI'!AN144</f>
        <v>2639</v>
      </c>
    </row>
    <row r="145" spans="1:44" x14ac:dyDescent="0.25">
      <c r="A145" s="8">
        <f>'A) Base RI'!A145</f>
        <v>5635</v>
      </c>
      <c r="B145" s="35" t="str">
        <f>'A) Base RI'!B145</f>
        <v>Ecublens</v>
      </c>
      <c r="C145" s="10">
        <f>'A) Base RI'!C145+'A) Base RI'!D145</f>
        <v>20248942.73</v>
      </c>
      <c r="D145" s="10">
        <f>'A) Base RI'!AO145</f>
        <v>-2224727.37</v>
      </c>
      <c r="E145" s="34">
        <f>'A) Base RI'!AP145</f>
        <v>0</v>
      </c>
      <c r="F145" s="34">
        <f>'A) Base RI'!AQ145</f>
        <v>-5439.77</v>
      </c>
      <c r="G145" s="2">
        <f t="shared" si="12"/>
        <v>18018775.59</v>
      </c>
      <c r="H145" s="10">
        <f>'A) Base RI'!E145</f>
        <v>0</v>
      </c>
      <c r="I145" s="10">
        <f>'A) Base RI'!F145</f>
        <v>0</v>
      </c>
      <c r="J145" s="10">
        <f>'A) Base RI'!G145+'A) Base RI'!H145</f>
        <v>4037197.35</v>
      </c>
      <c r="K145" s="10">
        <f>'A) Base RI'!I145</f>
        <v>19068.849999999999</v>
      </c>
      <c r="L145" s="10">
        <f>'A) Base RI'!J145</f>
        <v>1559861.06</v>
      </c>
      <c r="M145" s="10">
        <f>'A) Base RI'!K145</f>
        <v>402579.5</v>
      </c>
      <c r="N145" s="10">
        <f>'A) Base RI'!Q145</f>
        <v>139320.39000000001</v>
      </c>
      <c r="O145" s="10">
        <f t="shared" si="13"/>
        <v>2144882.5789473685</v>
      </c>
      <c r="P145" s="10">
        <f>'A) Base RI'!L145</f>
        <v>2037638.45</v>
      </c>
      <c r="Q145" s="37">
        <f>'A) Base RI'!AR145</f>
        <v>0.95</v>
      </c>
      <c r="R145" s="2">
        <f t="shared" si="14"/>
        <v>26321685.318947371</v>
      </c>
      <c r="S145" s="36">
        <f>'A) Base RI'!AM145</f>
        <v>62</v>
      </c>
      <c r="T145" s="2">
        <f t="shared" si="15"/>
        <v>23774223.240000002</v>
      </c>
      <c r="U145" s="2">
        <f t="shared" si="16"/>
        <v>424543.31159592536</v>
      </c>
      <c r="V145" s="10">
        <f>'A) Base RI'!O145</f>
        <v>770721.3</v>
      </c>
      <c r="W145" s="10">
        <f>'A) Base RI'!P145</f>
        <v>666547.75</v>
      </c>
      <c r="X145" s="10">
        <f>'A) Base RI'!R145</f>
        <v>490704</v>
      </c>
      <c r="Y145" s="2">
        <f t="shared" si="17"/>
        <v>1927973.05</v>
      </c>
      <c r="Z145" s="10">
        <f>'A) Base RI'!N145</f>
        <v>1718415.3</v>
      </c>
      <c r="AA145" s="10">
        <f>'A) Base RI'!S145+'A) Base RI'!T145</f>
        <v>61858.2</v>
      </c>
      <c r="AB145" s="10">
        <f>+'A) Base RI'!U145</f>
        <v>42950</v>
      </c>
      <c r="AC145" s="10">
        <f>'A) Base RI'!V145</f>
        <v>100749.77</v>
      </c>
      <c r="AD145" s="10">
        <f>+'A) Base RI'!W145</f>
        <v>0</v>
      </c>
      <c r="AE145" s="10">
        <f>'A) Base RI'!Y145</f>
        <v>454969</v>
      </c>
      <c r="AF145" s="10">
        <f>'A) Base RI'!Z145</f>
        <v>0</v>
      </c>
      <c r="AG145" s="10">
        <f>'A) Base RI'!AA145</f>
        <v>1422175.2</v>
      </c>
      <c r="AH145" s="10">
        <f>'A) Base RI'!AB145</f>
        <v>0</v>
      </c>
      <c r="AI145" s="10">
        <f>'A) Base RI'!AC145</f>
        <v>1286947.1499999999</v>
      </c>
      <c r="AJ145" s="10">
        <f>'A) Base RI'!AD145</f>
        <v>0</v>
      </c>
      <c r="AK145" s="10">
        <f>'A) Base RI'!AE145</f>
        <v>0</v>
      </c>
      <c r="AL145" s="10">
        <f>'A) Base RI'!AF145</f>
        <v>0</v>
      </c>
      <c r="AM145" s="10">
        <f>'A) Base RI'!AG145</f>
        <v>377245.2</v>
      </c>
      <c r="AN145" s="10">
        <f>'A) Base RI'!AH145</f>
        <v>1200619.1499999999</v>
      </c>
      <c r="AO145" s="10">
        <f>'A) Base RI'!AI145</f>
        <v>0</v>
      </c>
      <c r="AP145" s="10">
        <f>'A) Base RI'!AJ145</f>
        <v>0</v>
      </c>
      <c r="AQ145" s="10">
        <f>'A) Base RI'!AK145</f>
        <v>171517.2</v>
      </c>
      <c r="AR145" s="10">
        <f>'A) Base RI'!AN145</f>
        <v>12340</v>
      </c>
    </row>
    <row r="146" spans="1:44" x14ac:dyDescent="0.25">
      <c r="A146" s="8">
        <f>'A) Base RI'!A146</f>
        <v>5636</v>
      </c>
      <c r="B146" s="35" t="str">
        <f>'A) Base RI'!B146</f>
        <v>Etoy</v>
      </c>
      <c r="C146" s="10">
        <f>'A) Base RI'!C146+'A) Base RI'!D146</f>
        <v>6125878.7199999997</v>
      </c>
      <c r="D146" s="10">
        <f>'A) Base RI'!AO146</f>
        <v>-173716.56</v>
      </c>
      <c r="E146" s="34">
        <f>'A) Base RI'!AP146</f>
        <v>0</v>
      </c>
      <c r="F146" s="34">
        <f>'A) Base RI'!AQ146</f>
        <v>-346.66</v>
      </c>
      <c r="G146" s="2">
        <f t="shared" si="12"/>
        <v>5951815.5</v>
      </c>
      <c r="H146" s="10">
        <f>'A) Base RI'!E146</f>
        <v>0</v>
      </c>
      <c r="I146" s="10">
        <f>'A) Base RI'!F146</f>
        <v>0</v>
      </c>
      <c r="J146" s="10">
        <f>'A) Base RI'!G146+'A) Base RI'!H146</f>
        <v>1669769.9</v>
      </c>
      <c r="K146" s="10">
        <f>'A) Base RI'!I146</f>
        <v>75875.600000000006</v>
      </c>
      <c r="L146" s="10">
        <f>'A) Base RI'!J146</f>
        <v>339228.27</v>
      </c>
      <c r="M146" s="10">
        <f>'A) Base RI'!K146</f>
        <v>158075.5</v>
      </c>
      <c r="N146" s="10">
        <f>'A) Base RI'!Q146</f>
        <v>24754.65</v>
      </c>
      <c r="O146" s="10">
        <f t="shared" si="13"/>
        <v>982625.5</v>
      </c>
      <c r="P146" s="10">
        <f>'A) Base RI'!L146</f>
        <v>982625.5</v>
      </c>
      <c r="Q146" s="37">
        <f>'A) Base RI'!AR146</f>
        <v>1</v>
      </c>
      <c r="R146" s="2">
        <f t="shared" si="14"/>
        <v>9202144.9199999999</v>
      </c>
      <c r="S146" s="36">
        <f>'A) Base RI'!AM146</f>
        <v>61</v>
      </c>
      <c r="T146" s="2">
        <f t="shared" si="15"/>
        <v>8061443.9199999999</v>
      </c>
      <c r="U146" s="2">
        <f t="shared" si="16"/>
        <v>150854.83475409835</v>
      </c>
      <c r="V146" s="10">
        <f>'A) Base RI'!O146</f>
        <v>4455438.8499999996</v>
      </c>
      <c r="W146" s="10">
        <f>'A) Base RI'!P146</f>
        <v>379384.8</v>
      </c>
      <c r="X146" s="10">
        <f>'A) Base RI'!R146</f>
        <v>167571.25</v>
      </c>
      <c r="Y146" s="2">
        <f t="shared" si="17"/>
        <v>5002394.8999999994</v>
      </c>
      <c r="Z146" s="10">
        <f>'A) Base RI'!N146</f>
        <v>521446.40000000002</v>
      </c>
      <c r="AA146" s="10">
        <f>'A) Base RI'!S146+'A) Base RI'!T146</f>
        <v>36318.65</v>
      </c>
      <c r="AB146" s="10">
        <f>+'A) Base RI'!U146</f>
        <v>7050</v>
      </c>
      <c r="AC146" s="10">
        <f>'A) Base RI'!V146</f>
        <v>0</v>
      </c>
      <c r="AD146" s="10">
        <f>+'A) Base RI'!W146</f>
        <v>0</v>
      </c>
      <c r="AE146" s="10">
        <f>'A) Base RI'!Y146</f>
        <v>143682.70000000001</v>
      </c>
      <c r="AF146" s="10">
        <f>'A) Base RI'!Z146</f>
        <v>0</v>
      </c>
      <c r="AG146" s="10">
        <f>'A) Base RI'!AA146</f>
        <v>487420</v>
      </c>
      <c r="AH146" s="10">
        <f>'A) Base RI'!AB146</f>
        <v>0</v>
      </c>
      <c r="AI146" s="10">
        <f>'A) Base RI'!AC146</f>
        <v>117523.15</v>
      </c>
      <c r="AJ146" s="10">
        <f>'A) Base RI'!AD146</f>
        <v>139147</v>
      </c>
      <c r="AK146" s="10">
        <f>'A) Base RI'!AE146</f>
        <v>0</v>
      </c>
      <c r="AL146" s="10">
        <f>'A) Base RI'!AF146</f>
        <v>0</v>
      </c>
      <c r="AM146" s="10">
        <f>'A) Base RI'!AG146</f>
        <v>0</v>
      </c>
      <c r="AN146" s="10">
        <f>'A) Base RI'!AH146</f>
        <v>172854.6</v>
      </c>
      <c r="AO146" s="10">
        <f>'A) Base RI'!AI146</f>
        <v>0</v>
      </c>
      <c r="AP146" s="10">
        <f>'A) Base RI'!AJ146</f>
        <v>0</v>
      </c>
      <c r="AQ146" s="10">
        <f>'A) Base RI'!AK146</f>
        <v>0</v>
      </c>
      <c r="AR146" s="10">
        <f>'A) Base RI'!AN146</f>
        <v>2906</v>
      </c>
    </row>
    <row r="147" spans="1:44" x14ac:dyDescent="0.25">
      <c r="A147" s="8">
        <f>'A) Base RI'!A147</f>
        <v>5637</v>
      </c>
      <c r="B147" s="35" t="str">
        <f>'A) Base RI'!B147</f>
        <v>Lavigny</v>
      </c>
      <c r="C147" s="10">
        <f>'A) Base RI'!C147+'A) Base RI'!D147</f>
        <v>2304929.7200000002</v>
      </c>
      <c r="D147" s="10">
        <f>'A) Base RI'!AO147</f>
        <v>-8888.19</v>
      </c>
      <c r="E147" s="34">
        <f>'A) Base RI'!AP147</f>
        <v>0</v>
      </c>
      <c r="F147" s="34">
        <f>'A) Base RI'!AQ147</f>
        <v>-164.58</v>
      </c>
      <c r="G147" s="2">
        <f t="shared" si="12"/>
        <v>2295876.9500000002</v>
      </c>
      <c r="H147" s="10">
        <f>'A) Base RI'!E147</f>
        <v>0</v>
      </c>
      <c r="I147" s="10">
        <f>'A) Base RI'!F147</f>
        <v>0</v>
      </c>
      <c r="J147" s="10">
        <f>'A) Base RI'!G147+'A) Base RI'!H147</f>
        <v>81747.850000000006</v>
      </c>
      <c r="K147" s="10">
        <f>'A) Base RI'!I147</f>
        <v>0</v>
      </c>
      <c r="L147" s="10">
        <f>'A) Base RI'!J147</f>
        <v>109806.95</v>
      </c>
      <c r="M147" s="10">
        <f>'A) Base RI'!K147</f>
        <v>4183.5</v>
      </c>
      <c r="N147" s="10">
        <f>'A) Base RI'!Q147</f>
        <v>0</v>
      </c>
      <c r="O147" s="10">
        <f t="shared" si="13"/>
        <v>174651.06666666668</v>
      </c>
      <c r="P147" s="10">
        <f>'A) Base RI'!L147</f>
        <v>261976.6</v>
      </c>
      <c r="Q147" s="37">
        <f>'A) Base RI'!AR147</f>
        <v>1.5</v>
      </c>
      <c r="R147" s="2">
        <f t="shared" si="14"/>
        <v>2666266.3166666673</v>
      </c>
      <c r="S147" s="36">
        <f>'A) Base RI'!AM147</f>
        <v>74.5</v>
      </c>
      <c r="T147" s="2">
        <f t="shared" si="15"/>
        <v>2487431.7500000005</v>
      </c>
      <c r="U147" s="2">
        <f t="shared" si="16"/>
        <v>35788.809619686814</v>
      </c>
      <c r="V147" s="10">
        <f>'A) Base RI'!O147</f>
        <v>0</v>
      </c>
      <c r="W147" s="10">
        <f>'A) Base RI'!P147</f>
        <v>70531.25</v>
      </c>
      <c r="X147" s="10">
        <f>'A) Base RI'!R147</f>
        <v>47470.2</v>
      </c>
      <c r="Y147" s="2">
        <f t="shared" si="17"/>
        <v>118001.45</v>
      </c>
      <c r="Z147" s="10">
        <f>'A) Base RI'!N147</f>
        <v>265599.65000000002</v>
      </c>
      <c r="AA147" s="10">
        <f>'A) Base RI'!S147+'A) Base RI'!T147</f>
        <v>972.25</v>
      </c>
      <c r="AB147" s="10">
        <f>+'A) Base RI'!U147</f>
        <v>4080</v>
      </c>
      <c r="AC147" s="10">
        <f>'A) Base RI'!V147</f>
        <v>0</v>
      </c>
      <c r="AD147" s="10">
        <f>+'A) Base RI'!W147</f>
        <v>0</v>
      </c>
      <c r="AE147" s="10">
        <f>'A) Base RI'!Y147</f>
        <v>21976.05</v>
      </c>
      <c r="AF147" s="10">
        <f>'A) Base RI'!Z147</f>
        <v>0</v>
      </c>
      <c r="AG147" s="10">
        <f>'A) Base RI'!AA147</f>
        <v>167123.04999999999</v>
      </c>
      <c r="AH147" s="10">
        <f>'A) Base RI'!AB147</f>
        <v>0</v>
      </c>
      <c r="AI147" s="10">
        <f>'A) Base RI'!AC147</f>
        <v>107427.3</v>
      </c>
      <c r="AJ147" s="10">
        <f>'A) Base RI'!AD147</f>
        <v>23713.25</v>
      </c>
      <c r="AK147" s="10">
        <f>'A) Base RI'!AE147</f>
        <v>0</v>
      </c>
      <c r="AL147" s="10">
        <f>'A) Base RI'!AF147</f>
        <v>0</v>
      </c>
      <c r="AM147" s="10">
        <f>'A) Base RI'!AG147</f>
        <v>0</v>
      </c>
      <c r="AN147" s="10">
        <f>'A) Base RI'!AH147</f>
        <v>36939.9</v>
      </c>
      <c r="AO147" s="10">
        <f>'A) Base RI'!AI147</f>
        <v>0</v>
      </c>
      <c r="AP147" s="10">
        <f>'A) Base RI'!AJ147</f>
        <v>0</v>
      </c>
      <c r="AQ147" s="10">
        <f>'A) Base RI'!AK147</f>
        <v>0</v>
      </c>
      <c r="AR147" s="10">
        <f>'A) Base RI'!AN147</f>
        <v>1006</v>
      </c>
    </row>
    <row r="148" spans="1:44" x14ac:dyDescent="0.25">
      <c r="A148" s="8">
        <f>'A) Base RI'!A148</f>
        <v>5638</v>
      </c>
      <c r="B148" s="35" t="str">
        <f>'A) Base RI'!B148</f>
        <v>Lonay</v>
      </c>
      <c r="C148" s="10">
        <f>'A) Base RI'!C148+'A) Base RI'!D148</f>
        <v>5851678.5999999996</v>
      </c>
      <c r="D148" s="10">
        <f>'A) Base RI'!AO148</f>
        <v>-4570.74</v>
      </c>
      <c r="E148" s="34">
        <f>'A) Base RI'!AP148</f>
        <v>0</v>
      </c>
      <c r="F148" s="34">
        <f>'A) Base RI'!AQ148</f>
        <v>-12389.09</v>
      </c>
      <c r="G148" s="2">
        <f t="shared" si="12"/>
        <v>5834718.7699999996</v>
      </c>
      <c r="H148" s="10">
        <f>'A) Base RI'!E148</f>
        <v>0</v>
      </c>
      <c r="I148" s="10">
        <f>'A) Base RI'!F148</f>
        <v>0</v>
      </c>
      <c r="J148" s="10">
        <f>'A) Base RI'!G148+'A) Base RI'!H148</f>
        <v>1454063.7</v>
      </c>
      <c r="K148" s="10">
        <f>'A) Base RI'!I148</f>
        <v>184173.85</v>
      </c>
      <c r="L148" s="10">
        <f>'A) Base RI'!J148</f>
        <v>182171.58</v>
      </c>
      <c r="M148" s="10">
        <f>'A) Base RI'!K148</f>
        <v>28415</v>
      </c>
      <c r="N148" s="10">
        <f>'A) Base RI'!Q148</f>
        <v>9260.57</v>
      </c>
      <c r="O148" s="10">
        <f t="shared" si="13"/>
        <v>605283.15</v>
      </c>
      <c r="P148" s="10">
        <f>'A) Base RI'!L148</f>
        <v>605283.15</v>
      </c>
      <c r="Q148" s="37">
        <f>'A) Base RI'!AR148</f>
        <v>1</v>
      </c>
      <c r="R148" s="2">
        <f t="shared" si="14"/>
        <v>8298086.6200000001</v>
      </c>
      <c r="S148" s="36">
        <f>'A) Base RI'!AM148</f>
        <v>55</v>
      </c>
      <c r="T148" s="2">
        <f t="shared" si="15"/>
        <v>7664388.4699999997</v>
      </c>
      <c r="U148" s="2">
        <f t="shared" si="16"/>
        <v>150874.30218181817</v>
      </c>
      <c r="V148" s="10">
        <f>'A) Base RI'!O148</f>
        <v>2138901.2999999998</v>
      </c>
      <c r="W148" s="10">
        <f>'A) Base RI'!P148</f>
        <v>467534.2</v>
      </c>
      <c r="X148" s="10">
        <f>'A) Base RI'!R148</f>
        <v>87471.05</v>
      </c>
      <c r="Y148" s="2">
        <f t="shared" si="17"/>
        <v>2693906.55</v>
      </c>
      <c r="Z148" s="10">
        <f>'A) Base RI'!N148</f>
        <v>173908.2</v>
      </c>
      <c r="AA148" s="10">
        <f>'A) Base RI'!S148+'A) Base RI'!T148</f>
        <v>5481.7</v>
      </c>
      <c r="AB148" s="10">
        <f>+'A) Base RI'!U148</f>
        <v>11400</v>
      </c>
      <c r="AC148" s="10">
        <f>'A) Base RI'!V148</f>
        <v>0</v>
      </c>
      <c r="AD148" s="10">
        <f>+'A) Base RI'!W148</f>
        <v>0</v>
      </c>
      <c r="AE148" s="10">
        <f>'A) Base RI'!Y148</f>
        <v>110118.6</v>
      </c>
      <c r="AF148" s="10">
        <f>'A) Base RI'!Z148</f>
        <v>0</v>
      </c>
      <c r="AG148" s="10">
        <f>'A) Base RI'!AA148</f>
        <v>0</v>
      </c>
      <c r="AH148" s="10">
        <f>'A) Base RI'!AB148</f>
        <v>513922.15</v>
      </c>
      <c r="AI148" s="10">
        <f>'A) Base RI'!AC148</f>
        <v>286565.5</v>
      </c>
      <c r="AJ148" s="10">
        <f>'A) Base RI'!AD148</f>
        <v>0</v>
      </c>
      <c r="AK148" s="10">
        <f>'A) Base RI'!AE148</f>
        <v>0</v>
      </c>
      <c r="AL148" s="10">
        <f>'A) Base RI'!AF148</f>
        <v>0</v>
      </c>
      <c r="AM148" s="10">
        <f>'A) Base RI'!AG148</f>
        <v>0</v>
      </c>
      <c r="AN148" s="10">
        <f>'A) Base RI'!AH148</f>
        <v>0</v>
      </c>
      <c r="AO148" s="10">
        <f>'A) Base RI'!AI148</f>
        <v>0</v>
      </c>
      <c r="AP148" s="10">
        <f>'A) Base RI'!AJ148</f>
        <v>0</v>
      </c>
      <c r="AQ148" s="10">
        <f>'A) Base RI'!AK148</f>
        <v>0</v>
      </c>
      <c r="AR148" s="10">
        <f>'A) Base RI'!AN148</f>
        <v>2530</v>
      </c>
    </row>
    <row r="149" spans="1:44" x14ac:dyDescent="0.25">
      <c r="A149" s="8">
        <f>'A) Base RI'!A149</f>
        <v>5639</v>
      </c>
      <c r="B149" s="35" t="str">
        <f>'A) Base RI'!B149</f>
        <v>Lully</v>
      </c>
      <c r="C149" s="10">
        <f>'A) Base RI'!C149+'A) Base RI'!D149</f>
        <v>2409266.86</v>
      </c>
      <c r="D149" s="10">
        <f>'A) Base RI'!AO149</f>
        <v>-144104.69</v>
      </c>
      <c r="E149" s="34">
        <f>'A) Base RI'!AP149</f>
        <v>0</v>
      </c>
      <c r="F149" s="34">
        <f>'A) Base RI'!AQ149</f>
        <v>0</v>
      </c>
      <c r="G149" s="2">
        <f t="shared" si="12"/>
        <v>2265162.17</v>
      </c>
      <c r="H149" s="10">
        <f>'A) Base RI'!E149</f>
        <v>0</v>
      </c>
      <c r="I149" s="10">
        <f>'A) Base RI'!F149</f>
        <v>0</v>
      </c>
      <c r="J149" s="10">
        <f>'A) Base RI'!G149+'A) Base RI'!H149</f>
        <v>85621</v>
      </c>
      <c r="K149" s="10">
        <f>'A) Base RI'!I149</f>
        <v>0</v>
      </c>
      <c r="L149" s="10">
        <f>'A) Base RI'!J149</f>
        <v>10707.99</v>
      </c>
      <c r="M149" s="10">
        <f>'A) Base RI'!K149</f>
        <v>2965</v>
      </c>
      <c r="N149" s="10">
        <f>'A) Base RI'!Q149</f>
        <v>0</v>
      </c>
      <c r="O149" s="10">
        <f t="shared" si="13"/>
        <v>180689.88</v>
      </c>
      <c r="P149" s="10">
        <f>'A) Base RI'!L149</f>
        <v>225862.35</v>
      </c>
      <c r="Q149" s="37">
        <f>'A) Base RI'!AR149</f>
        <v>1.25</v>
      </c>
      <c r="R149" s="2">
        <f t="shared" si="14"/>
        <v>2545146.04</v>
      </c>
      <c r="S149" s="36">
        <f>'A) Base RI'!AM149</f>
        <v>61</v>
      </c>
      <c r="T149" s="2">
        <f t="shared" si="15"/>
        <v>2361491.16</v>
      </c>
      <c r="U149" s="2">
        <f t="shared" si="16"/>
        <v>41723.705573770494</v>
      </c>
      <c r="V149" s="10">
        <f>'A) Base RI'!O149</f>
        <v>26672.2</v>
      </c>
      <c r="W149" s="10">
        <f>'A) Base RI'!P149</f>
        <v>71985.95</v>
      </c>
      <c r="X149" s="10">
        <f>'A) Base RI'!R149</f>
        <v>49166.45</v>
      </c>
      <c r="Y149" s="2">
        <f t="shared" si="17"/>
        <v>147824.59999999998</v>
      </c>
      <c r="Z149" s="10">
        <f>'A) Base RI'!N149</f>
        <v>0</v>
      </c>
      <c r="AA149" s="10">
        <f>'A) Base RI'!S149+'A) Base RI'!T149</f>
        <v>97.25</v>
      </c>
      <c r="AB149" s="10">
        <f>+'A) Base RI'!U149</f>
        <v>2375</v>
      </c>
      <c r="AC149" s="10">
        <f>'A) Base RI'!V149</f>
        <v>0</v>
      </c>
      <c r="AD149" s="10">
        <f>+'A) Base RI'!W149</f>
        <v>0</v>
      </c>
      <c r="AE149" s="10">
        <f>'A) Base RI'!Y149</f>
        <v>1058.25</v>
      </c>
      <c r="AF149" s="10">
        <f>'A) Base RI'!Z149</f>
        <v>0</v>
      </c>
      <c r="AG149" s="10">
        <f>'A) Base RI'!AA149</f>
        <v>109080.05</v>
      </c>
      <c r="AH149" s="10">
        <f>'A) Base RI'!AB149</f>
        <v>0</v>
      </c>
      <c r="AI149" s="10">
        <f>'A) Base RI'!AC149</f>
        <v>61975</v>
      </c>
      <c r="AJ149" s="10">
        <f>'A) Base RI'!AD149</f>
        <v>0</v>
      </c>
      <c r="AK149" s="10">
        <f>'A) Base RI'!AE149</f>
        <v>0</v>
      </c>
      <c r="AL149" s="10">
        <f>'A) Base RI'!AF149</f>
        <v>0</v>
      </c>
      <c r="AM149" s="10">
        <f>'A) Base RI'!AG149</f>
        <v>0</v>
      </c>
      <c r="AN149" s="10">
        <f>'A) Base RI'!AH149</f>
        <v>0</v>
      </c>
      <c r="AO149" s="10">
        <f>'A) Base RI'!AI149</f>
        <v>0</v>
      </c>
      <c r="AP149" s="10">
        <f>'A) Base RI'!AJ149</f>
        <v>0</v>
      </c>
      <c r="AQ149" s="10">
        <f>'A) Base RI'!AK149</f>
        <v>0</v>
      </c>
      <c r="AR149" s="10">
        <f>'A) Base RI'!AN149</f>
        <v>785</v>
      </c>
    </row>
    <row r="150" spans="1:44" x14ac:dyDescent="0.25">
      <c r="A150" s="8">
        <f>'A) Base RI'!A150</f>
        <v>5640</v>
      </c>
      <c r="B150" s="35" t="str">
        <f>'A) Base RI'!B150</f>
        <v>Lussy-sur-Morges</v>
      </c>
      <c r="C150" s="10">
        <f>'A) Base RI'!C150+'A) Base RI'!D150</f>
        <v>2912812.75</v>
      </c>
      <c r="D150" s="10">
        <f>'A) Base RI'!AO150</f>
        <v>-5232.91</v>
      </c>
      <c r="E150" s="34">
        <f>'A) Base RI'!AP150</f>
        <v>0</v>
      </c>
      <c r="F150" s="34">
        <f>'A) Base RI'!AQ150</f>
        <v>-2047.95</v>
      </c>
      <c r="G150" s="2">
        <f t="shared" si="12"/>
        <v>2905531.8899999997</v>
      </c>
      <c r="H150" s="10">
        <f>'A) Base RI'!E150</f>
        <v>0</v>
      </c>
      <c r="I150" s="10">
        <f>'A) Base RI'!F150</f>
        <v>0</v>
      </c>
      <c r="J150" s="10">
        <f>'A) Base RI'!G150+'A) Base RI'!H150</f>
        <v>299072.8</v>
      </c>
      <c r="K150" s="10">
        <f>'A) Base RI'!I150</f>
        <v>172769.75</v>
      </c>
      <c r="L150" s="10">
        <f>'A) Base RI'!J150</f>
        <v>20946.87</v>
      </c>
      <c r="M150" s="10">
        <f>'A) Base RI'!K150</f>
        <v>3465.5</v>
      </c>
      <c r="N150" s="10">
        <f>'A) Base RI'!Q150</f>
        <v>0</v>
      </c>
      <c r="O150" s="10">
        <f t="shared" si="13"/>
        <v>173800.65</v>
      </c>
      <c r="P150" s="10">
        <f>'A) Base RI'!L150</f>
        <v>173800.65</v>
      </c>
      <c r="Q150" s="37">
        <f>'A) Base RI'!AR150</f>
        <v>1</v>
      </c>
      <c r="R150" s="2">
        <f t="shared" si="14"/>
        <v>3575587.4599999995</v>
      </c>
      <c r="S150" s="36">
        <f>'A) Base RI'!AM150</f>
        <v>66</v>
      </c>
      <c r="T150" s="2">
        <f t="shared" si="15"/>
        <v>3398321.3099999996</v>
      </c>
      <c r="U150" s="2">
        <f t="shared" si="16"/>
        <v>54175.567575757566</v>
      </c>
      <c r="V150" s="10">
        <f>'A) Base RI'!O150</f>
        <v>109938.2</v>
      </c>
      <c r="W150" s="10">
        <f>'A) Base RI'!P150</f>
        <v>126017.05</v>
      </c>
      <c r="X150" s="10">
        <f>'A) Base RI'!R150</f>
        <v>138804.5</v>
      </c>
      <c r="Y150" s="2">
        <f t="shared" si="17"/>
        <v>374759.75</v>
      </c>
      <c r="Z150" s="10">
        <f>'A) Base RI'!N150</f>
        <v>20362.95</v>
      </c>
      <c r="AA150" s="10">
        <f>'A) Base RI'!S150+'A) Base RI'!T150</f>
        <v>0</v>
      </c>
      <c r="AB150" s="10">
        <f>+'A) Base RI'!U150</f>
        <v>4100</v>
      </c>
      <c r="AC150" s="10">
        <f>'A) Base RI'!V150</f>
        <v>0</v>
      </c>
      <c r="AD150" s="10">
        <f>+'A) Base RI'!W150</f>
        <v>0</v>
      </c>
      <c r="AE150" s="10">
        <f>'A) Base RI'!Y150</f>
        <v>20244.55</v>
      </c>
      <c r="AF150" s="10">
        <f>'A) Base RI'!Z150</f>
        <v>0</v>
      </c>
      <c r="AG150" s="10">
        <f>'A) Base RI'!AA150</f>
        <v>66938.05</v>
      </c>
      <c r="AH150" s="10">
        <f>'A) Base RI'!AB150</f>
        <v>0</v>
      </c>
      <c r="AI150" s="10">
        <f>'A) Base RI'!AC150</f>
        <v>37163.5</v>
      </c>
      <c r="AJ150" s="10">
        <f>'A) Base RI'!AD150</f>
        <v>0</v>
      </c>
      <c r="AK150" s="10">
        <f>'A) Base RI'!AE150</f>
        <v>0</v>
      </c>
      <c r="AL150" s="10">
        <f>'A) Base RI'!AF150</f>
        <v>0</v>
      </c>
      <c r="AM150" s="10">
        <f>'A) Base RI'!AG150</f>
        <v>0</v>
      </c>
      <c r="AN150" s="10">
        <f>'A) Base RI'!AH150</f>
        <v>0</v>
      </c>
      <c r="AO150" s="10">
        <f>'A) Base RI'!AI150</f>
        <v>0</v>
      </c>
      <c r="AP150" s="10">
        <f>'A) Base RI'!AJ150</f>
        <v>0</v>
      </c>
      <c r="AQ150" s="10">
        <f>'A) Base RI'!AK150</f>
        <v>0</v>
      </c>
      <c r="AR150" s="10">
        <f>'A) Base RI'!AN150</f>
        <v>644</v>
      </c>
    </row>
    <row r="151" spans="1:44" x14ac:dyDescent="0.25">
      <c r="A151" s="8">
        <f>'A) Base RI'!A151</f>
        <v>5642</v>
      </c>
      <c r="B151" s="35" t="str">
        <f>'A) Base RI'!B151</f>
        <v>Morges</v>
      </c>
      <c r="C151" s="10">
        <f>'A) Base RI'!C151+'A) Base RI'!D151</f>
        <v>38516270.75</v>
      </c>
      <c r="D151" s="10">
        <f>'A) Base RI'!AO151</f>
        <v>-659973.52</v>
      </c>
      <c r="E151" s="34">
        <f>'A) Base RI'!AP151</f>
        <v>0</v>
      </c>
      <c r="F151" s="34">
        <f>'A) Base RI'!AQ151</f>
        <v>-37045.53</v>
      </c>
      <c r="G151" s="2">
        <f t="shared" si="12"/>
        <v>37819251.699999996</v>
      </c>
      <c r="H151" s="10">
        <f>'A) Base RI'!E151</f>
        <v>0</v>
      </c>
      <c r="I151" s="10">
        <f>'A) Base RI'!F151</f>
        <v>0</v>
      </c>
      <c r="J151" s="10">
        <f>'A) Base RI'!G151+'A) Base RI'!H151</f>
        <v>9455981.4000000004</v>
      </c>
      <c r="K151" s="10">
        <f>'A) Base RI'!I151</f>
        <v>604864.14</v>
      </c>
      <c r="L151" s="10">
        <f>'A) Base RI'!J151</f>
        <v>2122272.9</v>
      </c>
      <c r="M151" s="10">
        <f>'A) Base RI'!K151</f>
        <v>382545.5</v>
      </c>
      <c r="N151" s="10">
        <f>'A) Base RI'!Q151</f>
        <v>130637.43</v>
      </c>
      <c r="O151" s="10">
        <f t="shared" si="13"/>
        <v>3036282.15</v>
      </c>
      <c r="P151" s="10">
        <f>'A) Base RI'!L151</f>
        <v>3036282.15</v>
      </c>
      <c r="Q151" s="37">
        <f>'A) Base RI'!AR151</f>
        <v>1</v>
      </c>
      <c r="R151" s="2">
        <f t="shared" si="14"/>
        <v>53551835.219999991</v>
      </c>
      <c r="S151" s="36">
        <f>'A) Base RI'!AM151</f>
        <v>68.5</v>
      </c>
      <c r="T151" s="2">
        <f t="shared" si="15"/>
        <v>50133007.569999993</v>
      </c>
      <c r="U151" s="2">
        <f t="shared" si="16"/>
        <v>781778.61635036487</v>
      </c>
      <c r="V151" s="10">
        <f>'A) Base RI'!O151</f>
        <v>1658467.8</v>
      </c>
      <c r="W151" s="10">
        <f>'A) Base RI'!P151</f>
        <v>1251388.55</v>
      </c>
      <c r="X151" s="10">
        <f>'A) Base RI'!R151</f>
        <v>1318625.05</v>
      </c>
      <c r="Y151" s="2">
        <f t="shared" si="17"/>
        <v>4228481.4000000004</v>
      </c>
      <c r="Z151" s="10">
        <f>'A) Base RI'!N151</f>
        <v>1269504.8500000001</v>
      </c>
      <c r="AA151" s="10">
        <f>'A) Base RI'!S151+'A) Base RI'!T151</f>
        <v>86075</v>
      </c>
      <c r="AB151" s="10">
        <f>+'A) Base RI'!U151</f>
        <v>42120</v>
      </c>
      <c r="AC151" s="10">
        <f>'A) Base RI'!V151</f>
        <v>0</v>
      </c>
      <c r="AD151" s="10">
        <f>+'A) Base RI'!W151</f>
        <v>0</v>
      </c>
      <c r="AE151" s="10">
        <f>'A) Base RI'!Y151</f>
        <v>369148.4</v>
      </c>
      <c r="AF151" s="10">
        <f>'A) Base RI'!Z151</f>
        <v>0</v>
      </c>
      <c r="AG151" s="10">
        <f>'A) Base RI'!AA151</f>
        <v>2808921.15</v>
      </c>
      <c r="AH151" s="10">
        <f>'A) Base RI'!AB151</f>
        <v>0</v>
      </c>
      <c r="AI151" s="10">
        <f>'A) Base RI'!AC151</f>
        <v>1062930</v>
      </c>
      <c r="AJ151" s="10">
        <f>'A) Base RI'!AD151</f>
        <v>380621.6</v>
      </c>
      <c r="AK151" s="10">
        <f>'A) Base RI'!AE151</f>
        <v>0</v>
      </c>
      <c r="AL151" s="10">
        <f>'A) Base RI'!AF151</f>
        <v>0</v>
      </c>
      <c r="AM151" s="10">
        <f>'A) Base RI'!AG151</f>
        <v>227680</v>
      </c>
      <c r="AN151" s="10">
        <f>'A) Base RI'!AH151</f>
        <v>0</v>
      </c>
      <c r="AO151" s="10">
        <f>'A) Base RI'!AI151</f>
        <v>0</v>
      </c>
      <c r="AP151" s="10">
        <f>'A) Base RI'!AJ151</f>
        <v>0</v>
      </c>
      <c r="AQ151" s="10">
        <f>'A) Base RI'!AK151</f>
        <v>0</v>
      </c>
      <c r="AR151" s="10">
        <f>'A) Base RI'!AN151</f>
        <v>15819</v>
      </c>
    </row>
    <row r="152" spans="1:44" x14ac:dyDescent="0.25">
      <c r="A152" s="8">
        <f>'A) Base RI'!A152</f>
        <v>5643</v>
      </c>
      <c r="B152" s="35" t="str">
        <f>'A) Base RI'!B152</f>
        <v>Préverenges</v>
      </c>
      <c r="C152" s="10">
        <f>'A) Base RI'!C152+'A) Base RI'!D152</f>
        <v>14052562.969999999</v>
      </c>
      <c r="D152" s="10">
        <f>'A) Base RI'!AO152</f>
        <v>-148667.34</v>
      </c>
      <c r="E152" s="34">
        <f>'A) Base RI'!AP152</f>
        <v>0</v>
      </c>
      <c r="F152" s="34">
        <f>'A) Base RI'!AQ152</f>
        <v>-7398.71</v>
      </c>
      <c r="G152" s="2">
        <f t="shared" si="12"/>
        <v>13896496.919999998</v>
      </c>
      <c r="H152" s="10">
        <f>'A) Base RI'!E152</f>
        <v>0</v>
      </c>
      <c r="I152" s="10">
        <f>'A) Base RI'!F152</f>
        <v>0</v>
      </c>
      <c r="J152" s="10">
        <f>'A) Base RI'!G152+'A) Base RI'!H152</f>
        <v>910997.04999999993</v>
      </c>
      <c r="K152" s="10">
        <f>'A) Base RI'!I152</f>
        <v>329188.25</v>
      </c>
      <c r="L152" s="10">
        <f>'A) Base RI'!J152</f>
        <v>479795.29</v>
      </c>
      <c r="M152" s="10">
        <f>'A) Base RI'!K152</f>
        <v>107756.5</v>
      </c>
      <c r="N152" s="10">
        <f>'A) Base RI'!Q152</f>
        <v>34630.67</v>
      </c>
      <c r="O152" s="10">
        <f t="shared" si="13"/>
        <v>1059050.1499999999</v>
      </c>
      <c r="P152" s="10">
        <f>'A) Base RI'!L152</f>
        <v>1059050.1499999999</v>
      </c>
      <c r="Q152" s="37">
        <f>'A) Base RI'!AR152</f>
        <v>1</v>
      </c>
      <c r="R152" s="2">
        <f t="shared" si="14"/>
        <v>16817914.829999998</v>
      </c>
      <c r="S152" s="36">
        <f>'A) Base RI'!AM152</f>
        <v>64</v>
      </c>
      <c r="T152" s="2">
        <f t="shared" si="15"/>
        <v>15651108.179999998</v>
      </c>
      <c r="U152" s="2">
        <f t="shared" si="16"/>
        <v>262779.91921874997</v>
      </c>
      <c r="V152" s="10">
        <f>'A) Base RI'!O152</f>
        <v>4785</v>
      </c>
      <c r="W152" s="10">
        <f>'A) Base RI'!P152</f>
        <v>587553.85</v>
      </c>
      <c r="X152" s="10">
        <f>'A) Base RI'!R152</f>
        <v>381651.1</v>
      </c>
      <c r="Y152" s="2">
        <f t="shared" si="17"/>
        <v>973989.95</v>
      </c>
      <c r="Z152" s="10">
        <f>'A) Base RI'!N152</f>
        <v>204178.25</v>
      </c>
      <c r="AA152" s="10">
        <f>'A) Base RI'!S152+'A) Base RI'!T152</f>
        <v>5395</v>
      </c>
      <c r="AB152" s="10">
        <f>+'A) Base RI'!U152</f>
        <v>18135</v>
      </c>
      <c r="AC152" s="10">
        <f>'A) Base RI'!V152</f>
        <v>0</v>
      </c>
      <c r="AD152" s="10">
        <f>+'A) Base RI'!W152</f>
        <v>0</v>
      </c>
      <c r="AE152" s="10">
        <f>'A) Base RI'!Y152</f>
        <v>115985.65</v>
      </c>
      <c r="AF152" s="10">
        <f>'A) Base RI'!Z152</f>
        <v>0</v>
      </c>
      <c r="AG152" s="10">
        <f>'A) Base RI'!AA152</f>
        <v>874423.23</v>
      </c>
      <c r="AH152" s="10">
        <f>'A) Base RI'!AB152</f>
        <v>0</v>
      </c>
      <c r="AI152" s="10">
        <f>'A) Base RI'!AC152</f>
        <v>404011.65</v>
      </c>
      <c r="AJ152" s="10">
        <f>'A) Base RI'!AD152</f>
        <v>0</v>
      </c>
      <c r="AK152" s="10">
        <f>'A) Base RI'!AE152</f>
        <v>0</v>
      </c>
      <c r="AL152" s="10">
        <f>'A) Base RI'!AF152</f>
        <v>0</v>
      </c>
      <c r="AM152" s="10">
        <f>'A) Base RI'!AG152</f>
        <v>0</v>
      </c>
      <c r="AN152" s="10">
        <f>'A) Base RI'!AH152</f>
        <v>120112</v>
      </c>
      <c r="AO152" s="10">
        <f>'A) Base RI'!AI152</f>
        <v>0</v>
      </c>
      <c r="AP152" s="10">
        <f>'A) Base RI'!AJ152</f>
        <v>0</v>
      </c>
      <c r="AQ152" s="10">
        <f>'A) Base RI'!AK152</f>
        <v>0</v>
      </c>
      <c r="AR152" s="10">
        <f>'A) Base RI'!AN152</f>
        <v>5276</v>
      </c>
    </row>
    <row r="153" spans="1:44" x14ac:dyDescent="0.25">
      <c r="A153" s="8">
        <f>'A) Base RI'!A153</f>
        <v>5644</v>
      </c>
      <c r="B153" s="35" t="str">
        <f>'A) Base RI'!B153</f>
        <v>Reverolle</v>
      </c>
      <c r="C153" s="10">
        <f>'A) Base RI'!C153+'A) Base RI'!D153</f>
        <v>937551.08</v>
      </c>
      <c r="D153" s="10">
        <f>'A) Base RI'!AO153</f>
        <v>-950.83</v>
      </c>
      <c r="E153" s="34">
        <f>'A) Base RI'!AP153</f>
        <v>0</v>
      </c>
      <c r="F153" s="34">
        <f>'A) Base RI'!AQ153</f>
        <v>-0.21</v>
      </c>
      <c r="G153" s="2">
        <f t="shared" si="12"/>
        <v>936600.04</v>
      </c>
      <c r="H153" s="10">
        <f>'A) Base RI'!E153</f>
        <v>0</v>
      </c>
      <c r="I153" s="10">
        <f>'A) Base RI'!F153</f>
        <v>0</v>
      </c>
      <c r="J153" s="10">
        <f>'A) Base RI'!G153+'A) Base RI'!H153</f>
        <v>54928.25</v>
      </c>
      <c r="K153" s="10">
        <f>'A) Base RI'!I153</f>
        <v>0</v>
      </c>
      <c r="L153" s="10">
        <f>'A) Base RI'!J153</f>
        <v>16885.34</v>
      </c>
      <c r="M153" s="10">
        <f>'A) Base RI'!K153</f>
        <v>-389.5</v>
      </c>
      <c r="N153" s="10">
        <f>'A) Base RI'!Q153</f>
        <v>0</v>
      </c>
      <c r="O153" s="10">
        <f t="shared" si="13"/>
        <v>65769.25</v>
      </c>
      <c r="P153" s="10">
        <f>'A) Base RI'!L153</f>
        <v>65769.25</v>
      </c>
      <c r="Q153" s="37">
        <f>'A) Base RI'!AR153</f>
        <v>1</v>
      </c>
      <c r="R153" s="2">
        <f t="shared" si="14"/>
        <v>1073793.3799999999</v>
      </c>
      <c r="S153" s="36">
        <f>'A) Base RI'!AM153</f>
        <v>76</v>
      </c>
      <c r="T153" s="2">
        <f t="shared" si="15"/>
        <v>1008413.63</v>
      </c>
      <c r="U153" s="2">
        <f t="shared" si="16"/>
        <v>14128.860263157892</v>
      </c>
      <c r="V153" s="10">
        <f>'A) Base RI'!O153</f>
        <v>4842</v>
      </c>
      <c r="W153" s="10">
        <f>'A) Base RI'!P153</f>
        <v>30664.1</v>
      </c>
      <c r="X153" s="10">
        <f>'A) Base RI'!R153</f>
        <v>21084.25</v>
      </c>
      <c r="Y153" s="2">
        <f t="shared" si="17"/>
        <v>56590.35</v>
      </c>
      <c r="Z153" s="10">
        <f>'A) Base RI'!N153</f>
        <v>10960.05</v>
      </c>
      <c r="AA153" s="10">
        <f>'A) Base RI'!S153+'A) Base RI'!T153</f>
        <v>610</v>
      </c>
      <c r="AB153" s="10">
        <f>+'A) Base RI'!U153</f>
        <v>2750</v>
      </c>
      <c r="AC153" s="10">
        <f>'A) Base RI'!V153</f>
        <v>0</v>
      </c>
      <c r="AD153" s="10">
        <f>+'A) Base RI'!W153</f>
        <v>0</v>
      </c>
      <c r="AE153" s="10">
        <f>'A) Base RI'!Y153</f>
        <v>22161</v>
      </c>
      <c r="AF153" s="10">
        <f>'A) Base RI'!Z153</f>
        <v>0</v>
      </c>
      <c r="AG153" s="10">
        <f>'A) Base RI'!AA153</f>
        <v>61520.55</v>
      </c>
      <c r="AH153" s="10">
        <f>'A) Base RI'!AB153</f>
        <v>0</v>
      </c>
      <c r="AI153" s="10">
        <f>'A) Base RI'!AC153</f>
        <v>34800</v>
      </c>
      <c r="AJ153" s="10">
        <f>'A) Base RI'!AD153</f>
        <v>15906</v>
      </c>
      <c r="AK153" s="10">
        <f>'A) Base RI'!AE153</f>
        <v>0</v>
      </c>
      <c r="AL153" s="10">
        <f>'A) Base RI'!AF153</f>
        <v>0</v>
      </c>
      <c r="AM153" s="10">
        <f>'A) Base RI'!AG153</f>
        <v>0</v>
      </c>
      <c r="AN153" s="10">
        <f>'A) Base RI'!AH153</f>
        <v>6511.15</v>
      </c>
      <c r="AO153" s="10">
        <f>'A) Base RI'!AI153</f>
        <v>0</v>
      </c>
      <c r="AP153" s="10">
        <f>'A) Base RI'!AJ153</f>
        <v>0</v>
      </c>
      <c r="AQ153" s="10">
        <f>'A) Base RI'!AK153</f>
        <v>0</v>
      </c>
      <c r="AR153" s="10">
        <f>'A) Base RI'!AN153</f>
        <v>368</v>
      </c>
    </row>
    <row r="154" spans="1:44" x14ac:dyDescent="0.25">
      <c r="A154" s="8">
        <f>'A) Base RI'!A154</f>
        <v>5645</v>
      </c>
      <c r="B154" s="35" t="str">
        <f>'A) Base RI'!B154</f>
        <v>Romanel-sur-Morges</v>
      </c>
      <c r="C154" s="10">
        <f>'A) Base RI'!C154+'A) Base RI'!D154</f>
        <v>1173882.17</v>
      </c>
      <c r="D154" s="10">
        <f>'A) Base RI'!AO154</f>
        <v>-8590.99</v>
      </c>
      <c r="E154" s="34">
        <f>'A) Base RI'!AP154</f>
        <v>0</v>
      </c>
      <c r="F154" s="34">
        <f>'A) Base RI'!AQ154</f>
        <v>-260.94</v>
      </c>
      <c r="G154" s="2">
        <f t="shared" si="12"/>
        <v>1165030.24</v>
      </c>
      <c r="H154" s="10">
        <f>'A) Base RI'!E154</f>
        <v>0</v>
      </c>
      <c r="I154" s="10">
        <f>'A) Base RI'!F154</f>
        <v>0</v>
      </c>
      <c r="J154" s="10">
        <f>'A) Base RI'!G154+'A) Base RI'!H154</f>
        <v>110486.6</v>
      </c>
      <c r="K154" s="10">
        <f>'A) Base RI'!I154</f>
        <v>0</v>
      </c>
      <c r="L154" s="10">
        <f>'A) Base RI'!J154</f>
        <v>46624.55</v>
      </c>
      <c r="M154" s="10">
        <f>'A) Base RI'!K154</f>
        <v>13999.5</v>
      </c>
      <c r="N154" s="10">
        <f>'A) Base RI'!Q154</f>
        <v>1320.96</v>
      </c>
      <c r="O154" s="10">
        <f t="shared" si="13"/>
        <v>138467.68749999997</v>
      </c>
      <c r="P154" s="10">
        <f>'A) Base RI'!L154</f>
        <v>110774.15</v>
      </c>
      <c r="Q154" s="37">
        <f>'A) Base RI'!AR154</f>
        <v>0.8</v>
      </c>
      <c r="R154" s="2">
        <f t="shared" si="14"/>
        <v>1475929.5375000001</v>
      </c>
      <c r="S154" s="36">
        <f>'A) Base RI'!AM154</f>
        <v>56</v>
      </c>
      <c r="T154" s="2">
        <f t="shared" si="15"/>
        <v>1323462.3500000001</v>
      </c>
      <c r="U154" s="2">
        <f t="shared" si="16"/>
        <v>26355.884598214288</v>
      </c>
      <c r="V154" s="10">
        <f>'A) Base RI'!O154</f>
        <v>57205</v>
      </c>
      <c r="W154" s="10">
        <f>'A) Base RI'!P154</f>
        <v>26722.45</v>
      </c>
      <c r="X154" s="10">
        <f>'A) Base RI'!R154</f>
        <v>20603.400000000001</v>
      </c>
      <c r="Y154" s="2">
        <f t="shared" si="17"/>
        <v>104530.85</v>
      </c>
      <c r="Z154" s="10">
        <f>'A) Base RI'!N154</f>
        <v>61686.3</v>
      </c>
      <c r="AA154" s="10">
        <f>'A) Base RI'!S154+'A) Base RI'!T154</f>
        <v>0</v>
      </c>
      <c r="AB154" s="10">
        <f>+'A) Base RI'!U154</f>
        <v>975</v>
      </c>
      <c r="AC154" s="10">
        <f>'A) Base RI'!V154</f>
        <v>0</v>
      </c>
      <c r="AD154" s="10">
        <f>+'A) Base RI'!W154</f>
        <v>0</v>
      </c>
      <c r="AE154" s="10">
        <f>'A) Base RI'!Y154</f>
        <v>2007.7</v>
      </c>
      <c r="AF154" s="10">
        <f>'A) Base RI'!Z154</f>
        <v>0</v>
      </c>
      <c r="AG154" s="10">
        <f>'A) Base RI'!AA154</f>
        <v>113540.7</v>
      </c>
      <c r="AH154" s="10">
        <f>'A) Base RI'!AB154</f>
        <v>0</v>
      </c>
      <c r="AI154" s="10">
        <f>'A) Base RI'!AC154</f>
        <v>59860.65</v>
      </c>
      <c r="AJ154" s="10">
        <f>'A) Base RI'!AD154</f>
        <v>2007.7</v>
      </c>
      <c r="AK154" s="10">
        <f>'A) Base RI'!AE154</f>
        <v>0</v>
      </c>
      <c r="AL154" s="10">
        <f>'A) Base RI'!AF154</f>
        <v>0</v>
      </c>
      <c r="AM154" s="10">
        <f>'A) Base RI'!AG154</f>
        <v>0</v>
      </c>
      <c r="AN154" s="10">
        <f>'A) Base RI'!AH154</f>
        <v>27600.5</v>
      </c>
      <c r="AO154" s="10">
        <f>'A) Base RI'!AI154</f>
        <v>0</v>
      </c>
      <c r="AP154" s="10">
        <f>'A) Base RI'!AJ154</f>
        <v>0</v>
      </c>
      <c r="AQ154" s="10">
        <f>'A) Base RI'!AK154</f>
        <v>0</v>
      </c>
      <c r="AR154" s="10">
        <f>'A) Base RI'!AN154</f>
        <v>477</v>
      </c>
    </row>
    <row r="155" spans="1:44" x14ac:dyDescent="0.25">
      <c r="A155" s="8">
        <f>'A) Base RI'!A155</f>
        <v>5646</v>
      </c>
      <c r="B155" s="35" t="str">
        <f>'A) Base RI'!B155</f>
        <v>Saint-Prex</v>
      </c>
      <c r="C155" s="10">
        <f>'A) Base RI'!C155+'A) Base RI'!D155</f>
        <v>13034846.93</v>
      </c>
      <c r="D155" s="10">
        <f>'A) Base RI'!AO155</f>
        <v>-288226.26</v>
      </c>
      <c r="E155" s="34">
        <f>'A) Base RI'!AP155</f>
        <v>0</v>
      </c>
      <c r="F155" s="34">
        <f>'A) Base RI'!AQ155</f>
        <v>-6001.43</v>
      </c>
      <c r="G155" s="2">
        <f t="shared" si="12"/>
        <v>12740619.24</v>
      </c>
      <c r="H155" s="10">
        <f>'A) Base RI'!E155</f>
        <v>0</v>
      </c>
      <c r="I155" s="10">
        <f>'A) Base RI'!F155</f>
        <v>0</v>
      </c>
      <c r="J155" s="10">
        <f>'A) Base RI'!G155+'A) Base RI'!H155</f>
        <v>13178187.85</v>
      </c>
      <c r="K155" s="10">
        <f>'A) Base RI'!I155</f>
        <v>983317.82</v>
      </c>
      <c r="L155" s="10">
        <f>'A) Base RI'!J155</f>
        <v>638533.88</v>
      </c>
      <c r="M155" s="10">
        <f>'A) Base RI'!K155</f>
        <v>93413.5</v>
      </c>
      <c r="N155" s="10">
        <f>'A) Base RI'!Q155</f>
        <v>22443.78</v>
      </c>
      <c r="O155" s="10">
        <f t="shared" si="13"/>
        <v>1481196.2</v>
      </c>
      <c r="P155" s="10">
        <f>'A) Base RI'!L155</f>
        <v>1481196.2</v>
      </c>
      <c r="Q155" s="37">
        <f>'A) Base RI'!AR155</f>
        <v>1</v>
      </c>
      <c r="R155" s="2">
        <f t="shared" si="14"/>
        <v>29137712.27</v>
      </c>
      <c r="S155" s="36">
        <f>'A) Base RI'!AM155</f>
        <v>55</v>
      </c>
      <c r="T155" s="2">
        <f t="shared" si="15"/>
        <v>27563102.57</v>
      </c>
      <c r="U155" s="2">
        <f t="shared" si="16"/>
        <v>529776.58672727272</v>
      </c>
      <c r="V155" s="10">
        <f>'A) Base RI'!O155</f>
        <v>-77260.600000000006</v>
      </c>
      <c r="W155" s="10">
        <f>'A) Base RI'!P155</f>
        <v>888125.65</v>
      </c>
      <c r="X155" s="10">
        <f>'A) Base RI'!R155</f>
        <v>584799</v>
      </c>
      <c r="Y155" s="2">
        <f t="shared" si="17"/>
        <v>1395664.05</v>
      </c>
      <c r="Z155" s="10">
        <f>'A) Base RI'!N155</f>
        <v>610213.05000000005</v>
      </c>
      <c r="AA155" s="10">
        <f>'A) Base RI'!S155+'A) Base RI'!T155</f>
        <v>17860.099999999999</v>
      </c>
      <c r="AB155" s="10">
        <f>+'A) Base RI'!U155</f>
        <v>45150</v>
      </c>
      <c r="AC155" s="10">
        <f>'A) Base RI'!V155</f>
        <v>0</v>
      </c>
      <c r="AD155" s="10">
        <f>+'A) Base RI'!W155</f>
        <v>0</v>
      </c>
      <c r="AE155" s="10">
        <f>'A) Base RI'!Y155</f>
        <v>136913.71</v>
      </c>
      <c r="AF155" s="10">
        <f>'A) Base RI'!Z155</f>
        <v>0</v>
      </c>
      <c r="AG155" s="10">
        <f>'A) Base RI'!AA155</f>
        <v>858593.52</v>
      </c>
      <c r="AH155" s="10">
        <f>'A) Base RI'!AB155</f>
        <v>0</v>
      </c>
      <c r="AI155" s="10">
        <f>'A) Base RI'!AC155</f>
        <v>536760</v>
      </c>
      <c r="AJ155" s="10">
        <f>'A) Base RI'!AD155</f>
        <v>97425.54</v>
      </c>
      <c r="AK155" s="10">
        <f>'A) Base RI'!AE155</f>
        <v>0</v>
      </c>
      <c r="AL155" s="10">
        <f>'A) Base RI'!AF155</f>
        <v>0</v>
      </c>
      <c r="AM155" s="10">
        <f>'A) Base RI'!AG155</f>
        <v>0</v>
      </c>
      <c r="AN155" s="10">
        <f>'A) Base RI'!AH155</f>
        <v>0</v>
      </c>
      <c r="AO155" s="10">
        <f>'A) Base RI'!AI155</f>
        <v>0</v>
      </c>
      <c r="AP155" s="10">
        <f>'A) Base RI'!AJ155</f>
        <v>0</v>
      </c>
      <c r="AQ155" s="10">
        <f>'A) Base RI'!AK155</f>
        <v>0</v>
      </c>
      <c r="AR155" s="10">
        <f>'A) Base RI'!AN155</f>
        <v>5661</v>
      </c>
    </row>
    <row r="156" spans="1:44" x14ac:dyDescent="0.25">
      <c r="A156" s="8">
        <f>'A) Base RI'!A156</f>
        <v>5648</v>
      </c>
      <c r="B156" s="35" t="str">
        <f>'A) Base RI'!B156</f>
        <v>Saint-Sulpice</v>
      </c>
      <c r="C156" s="10">
        <f>'A) Base RI'!C156+'A) Base RI'!D156</f>
        <v>13698814.16</v>
      </c>
      <c r="D156" s="10">
        <f>'A) Base RI'!AO156</f>
        <v>-137107.69</v>
      </c>
      <c r="E156" s="34">
        <f>'A) Base RI'!AP156</f>
        <v>0</v>
      </c>
      <c r="F156" s="34">
        <f>'A) Base RI'!AQ156</f>
        <v>-15923.17</v>
      </c>
      <c r="G156" s="2">
        <f t="shared" si="12"/>
        <v>13545783.300000001</v>
      </c>
      <c r="H156" s="10">
        <f>'A) Base RI'!E156</f>
        <v>0</v>
      </c>
      <c r="I156" s="10">
        <f>'A) Base RI'!F156</f>
        <v>0</v>
      </c>
      <c r="J156" s="10">
        <f>'A) Base RI'!G156+'A) Base RI'!H156</f>
        <v>1694793.95</v>
      </c>
      <c r="K156" s="10">
        <f>'A) Base RI'!I156</f>
        <v>404476.6</v>
      </c>
      <c r="L156" s="10">
        <f>'A) Base RI'!J156</f>
        <v>504771.25</v>
      </c>
      <c r="M156" s="10">
        <f>'A) Base RI'!K156</f>
        <v>115737.5</v>
      </c>
      <c r="N156" s="10">
        <f>'A) Base RI'!Q156</f>
        <v>93835.9</v>
      </c>
      <c r="O156" s="10">
        <f t="shared" si="13"/>
        <v>1270280.4375</v>
      </c>
      <c r="P156" s="10">
        <f>'A) Base RI'!L156</f>
        <v>1016224.35</v>
      </c>
      <c r="Q156" s="37">
        <f>'A) Base RI'!AR156</f>
        <v>0.8</v>
      </c>
      <c r="R156" s="2">
        <f t="shared" si="14"/>
        <v>17629678.9375</v>
      </c>
      <c r="S156" s="36">
        <f>'A) Base RI'!AM156</f>
        <v>55</v>
      </c>
      <c r="T156" s="2">
        <f t="shared" si="15"/>
        <v>16243661</v>
      </c>
      <c r="U156" s="2">
        <f t="shared" si="16"/>
        <v>320539.61704545456</v>
      </c>
      <c r="V156" s="10">
        <f>'A) Base RI'!O156</f>
        <v>1374595.3</v>
      </c>
      <c r="W156" s="10">
        <f>'A) Base RI'!P156</f>
        <v>1114570.8</v>
      </c>
      <c r="X156" s="10">
        <f>'A) Base RI'!R156</f>
        <v>290681.40000000002</v>
      </c>
      <c r="Y156" s="2">
        <f t="shared" si="17"/>
        <v>2779847.5</v>
      </c>
      <c r="Z156" s="10">
        <f>'A) Base RI'!N156</f>
        <v>50581.9</v>
      </c>
      <c r="AA156" s="10">
        <f>'A) Base RI'!S156+'A) Base RI'!T156</f>
        <v>999.75</v>
      </c>
      <c r="AB156" s="10">
        <f>+'A) Base RI'!U156</f>
        <v>16400</v>
      </c>
      <c r="AC156" s="10">
        <f>'A) Base RI'!V156</f>
        <v>185.5</v>
      </c>
      <c r="AD156" s="10">
        <f>+'A) Base RI'!W156</f>
        <v>0</v>
      </c>
      <c r="AE156" s="10">
        <f>'A) Base RI'!Y156</f>
        <v>234283.15</v>
      </c>
      <c r="AF156" s="10">
        <f>'A) Base RI'!Z156</f>
        <v>0</v>
      </c>
      <c r="AG156" s="10">
        <f>'A) Base RI'!AA156</f>
        <v>978767.4</v>
      </c>
      <c r="AH156" s="10">
        <f>'A) Base RI'!AB156</f>
        <v>0</v>
      </c>
      <c r="AI156" s="10">
        <f>'A) Base RI'!AC156</f>
        <v>318513.93</v>
      </c>
      <c r="AJ156" s="10">
        <f>'A) Base RI'!AD156</f>
        <v>0</v>
      </c>
      <c r="AK156" s="10">
        <f>'A) Base RI'!AE156</f>
        <v>0</v>
      </c>
      <c r="AL156" s="10">
        <f>'A) Base RI'!AF156</f>
        <v>0</v>
      </c>
      <c r="AM156" s="10">
        <f>'A) Base RI'!AG156</f>
        <v>155434.4</v>
      </c>
      <c r="AN156" s="10">
        <f>'A) Base RI'!AH156</f>
        <v>134384.75</v>
      </c>
      <c r="AO156" s="10">
        <f>'A) Base RI'!AI156</f>
        <v>0</v>
      </c>
      <c r="AP156" s="10">
        <f>'A) Base RI'!AJ156</f>
        <v>0</v>
      </c>
      <c r="AQ156" s="10">
        <f>'A) Base RI'!AK156</f>
        <v>0</v>
      </c>
      <c r="AR156" s="10">
        <f>'A) Base RI'!AN156</f>
        <v>4148</v>
      </c>
    </row>
    <row r="157" spans="1:44" x14ac:dyDescent="0.25">
      <c r="A157" s="8">
        <f>'A) Base RI'!A157</f>
        <v>5649</v>
      </c>
      <c r="B157" s="35" t="str">
        <f>'A) Base RI'!B157</f>
        <v>Tolochenaz</v>
      </c>
      <c r="C157" s="10">
        <f>'A) Base RI'!C157+'A) Base RI'!D157</f>
        <v>4358450.42</v>
      </c>
      <c r="D157" s="10">
        <f>'A) Base RI'!AO157</f>
        <v>-67967.240000000005</v>
      </c>
      <c r="E157" s="34">
        <f>'A) Base RI'!AP157</f>
        <v>0</v>
      </c>
      <c r="F157" s="34">
        <f>'A) Base RI'!AQ157</f>
        <v>-828.46</v>
      </c>
      <c r="G157" s="2">
        <f t="shared" si="12"/>
        <v>4289654.72</v>
      </c>
      <c r="H157" s="10">
        <f>'A) Base RI'!E157</f>
        <v>0</v>
      </c>
      <c r="I157" s="10">
        <f>'A) Base RI'!F157</f>
        <v>0</v>
      </c>
      <c r="J157" s="10">
        <f>'A) Base RI'!G157+'A) Base RI'!H157</f>
        <v>-510384.85000000009</v>
      </c>
      <c r="K157" s="10">
        <f>'A) Base RI'!I157</f>
        <v>116515</v>
      </c>
      <c r="L157" s="10">
        <f>'A) Base RI'!J157</f>
        <v>641666.52</v>
      </c>
      <c r="M157" s="10">
        <f>'A) Base RI'!K157</f>
        <v>62562.5</v>
      </c>
      <c r="N157" s="10">
        <f>'A) Base RI'!Q157</f>
        <v>-4902.84</v>
      </c>
      <c r="O157" s="10">
        <f t="shared" si="13"/>
        <v>522191.45</v>
      </c>
      <c r="P157" s="10">
        <f>'A) Base RI'!L157</f>
        <v>522191.45</v>
      </c>
      <c r="Q157" s="37">
        <f>'A) Base RI'!AR157</f>
        <v>1</v>
      </c>
      <c r="R157" s="2">
        <f t="shared" si="14"/>
        <v>5117302.5</v>
      </c>
      <c r="S157" s="36">
        <f>'A) Base RI'!AM157</f>
        <v>65</v>
      </c>
      <c r="T157" s="2">
        <f t="shared" si="15"/>
        <v>4532548.55</v>
      </c>
      <c r="U157" s="2">
        <f t="shared" si="16"/>
        <v>78727.730769230766</v>
      </c>
      <c r="V157" s="10">
        <f>'A) Base RI'!O157</f>
        <v>261199.4</v>
      </c>
      <c r="W157" s="10">
        <f>'A) Base RI'!P157</f>
        <v>269132.7</v>
      </c>
      <c r="X157" s="10">
        <f>'A) Base RI'!R157</f>
        <v>87002.25</v>
      </c>
      <c r="Y157" s="2">
        <f t="shared" si="17"/>
        <v>617334.35</v>
      </c>
      <c r="Z157" s="10">
        <f>'A) Base RI'!N157</f>
        <v>470084</v>
      </c>
      <c r="AA157" s="10">
        <f>'A) Base RI'!S157+'A) Base RI'!T157</f>
        <v>2068.15</v>
      </c>
      <c r="AB157" s="10">
        <f>+'A) Base RI'!U157</f>
        <v>3750</v>
      </c>
      <c r="AC157" s="10">
        <f>'A) Base RI'!V157</f>
        <v>0</v>
      </c>
      <c r="AD157" s="10">
        <f>+'A) Base RI'!W157</f>
        <v>0</v>
      </c>
      <c r="AE157" s="10">
        <f>'A) Base RI'!Y157</f>
        <v>6408.75</v>
      </c>
      <c r="AF157" s="10">
        <f>'A) Base RI'!Z157</f>
        <v>0</v>
      </c>
      <c r="AG157" s="10">
        <f>'A) Base RI'!AA157</f>
        <v>470621.05</v>
      </c>
      <c r="AH157" s="10">
        <f>'A) Base RI'!AB157</f>
        <v>0</v>
      </c>
      <c r="AI157" s="10">
        <f>'A) Base RI'!AC157</f>
        <v>95780.2</v>
      </c>
      <c r="AJ157" s="10">
        <f>'A) Base RI'!AD157</f>
        <v>0</v>
      </c>
      <c r="AK157" s="10">
        <f>'A) Base RI'!AE157</f>
        <v>0</v>
      </c>
      <c r="AL157" s="10">
        <f>'A) Base RI'!AF157</f>
        <v>0</v>
      </c>
      <c r="AM157" s="10">
        <f>'A) Base RI'!AG157</f>
        <v>0</v>
      </c>
      <c r="AN157" s="10">
        <f>'A) Base RI'!AH157</f>
        <v>127115.85</v>
      </c>
      <c r="AO157" s="10">
        <f>'A) Base RI'!AI157</f>
        <v>0</v>
      </c>
      <c r="AP157" s="10">
        <f>'A) Base RI'!AJ157</f>
        <v>0</v>
      </c>
      <c r="AQ157" s="10">
        <f>'A) Base RI'!AK157</f>
        <v>0</v>
      </c>
      <c r="AR157" s="10">
        <f>'A) Base RI'!AN157</f>
        <v>1865</v>
      </c>
    </row>
    <row r="158" spans="1:44" x14ac:dyDescent="0.25">
      <c r="A158" s="8">
        <f>'A) Base RI'!A158</f>
        <v>5650</v>
      </c>
      <c r="B158" s="35" t="str">
        <f>'A) Base RI'!B158</f>
        <v>Vaux-sur-Morges</v>
      </c>
      <c r="C158" s="10">
        <f>'A) Base RI'!C158+'A) Base RI'!D158</f>
        <v>9996810.9299999997</v>
      </c>
      <c r="D158" s="10">
        <f>'A) Base RI'!AO158</f>
        <v>-10.26</v>
      </c>
      <c r="E158" s="34">
        <f>'A) Base RI'!AP158</f>
        <v>0</v>
      </c>
      <c r="F158" s="34">
        <f>'A) Base RI'!AQ158</f>
        <v>0</v>
      </c>
      <c r="G158" s="2">
        <f t="shared" si="12"/>
        <v>9996800.6699999999</v>
      </c>
      <c r="H158" s="10">
        <f>'A) Base RI'!E158</f>
        <v>0</v>
      </c>
      <c r="I158" s="10">
        <f>'A) Base RI'!F158</f>
        <v>0</v>
      </c>
      <c r="J158" s="10">
        <f>'A) Base RI'!G158+'A) Base RI'!H158</f>
        <v>19571.7</v>
      </c>
      <c r="K158" s="10">
        <f>'A) Base RI'!I158</f>
        <v>0</v>
      </c>
      <c r="L158" s="10">
        <f>'A) Base RI'!J158</f>
        <v>9331.68</v>
      </c>
      <c r="M158" s="10">
        <f>'A) Base RI'!K158</f>
        <v>0</v>
      </c>
      <c r="N158" s="10">
        <f>'A) Base RI'!Q158</f>
        <v>0</v>
      </c>
      <c r="O158" s="10">
        <f t="shared" si="13"/>
        <v>42231.040000000001</v>
      </c>
      <c r="P158" s="10">
        <f>'A) Base RI'!L158</f>
        <v>52788.800000000003</v>
      </c>
      <c r="Q158" s="37">
        <f>'A) Base RI'!AR158</f>
        <v>1.25</v>
      </c>
      <c r="R158" s="2">
        <f t="shared" si="14"/>
        <v>10067935.089999998</v>
      </c>
      <c r="S158" s="36">
        <f>'A) Base RI'!AM158</f>
        <v>39</v>
      </c>
      <c r="T158" s="2">
        <f t="shared" si="15"/>
        <v>10025704.049999999</v>
      </c>
      <c r="U158" s="2">
        <f t="shared" si="16"/>
        <v>258152.18179487175</v>
      </c>
      <c r="V158" s="10">
        <f>'A) Base RI'!O158</f>
        <v>0</v>
      </c>
      <c r="W158" s="10">
        <f>'A) Base RI'!P158</f>
        <v>2238.1999999999998</v>
      </c>
      <c r="X158" s="10">
        <f>'A) Base RI'!R158</f>
        <v>0</v>
      </c>
      <c r="Y158" s="2">
        <f t="shared" si="17"/>
        <v>2238.1999999999998</v>
      </c>
      <c r="Z158" s="10">
        <f>'A) Base RI'!N158</f>
        <v>0</v>
      </c>
      <c r="AA158" s="10">
        <f>'A) Base RI'!S158+'A) Base RI'!T158</f>
        <v>0</v>
      </c>
      <c r="AB158" s="10">
        <f>+'A) Base RI'!U158</f>
        <v>480</v>
      </c>
      <c r="AC158" s="10">
        <f>'A) Base RI'!V158</f>
        <v>0</v>
      </c>
      <c r="AD158" s="10">
        <f>+'A) Base RI'!W158</f>
        <v>0</v>
      </c>
      <c r="AE158" s="10">
        <f>'A) Base RI'!Y158</f>
        <v>2037.55</v>
      </c>
      <c r="AF158" s="10">
        <f>'A) Base RI'!Z158</f>
        <v>0</v>
      </c>
      <c r="AG158" s="10">
        <f>'A) Base RI'!AA158</f>
        <v>27368.15</v>
      </c>
      <c r="AH158" s="10">
        <f>'A) Base RI'!AB158</f>
        <v>0</v>
      </c>
      <c r="AI158" s="10">
        <f>'A) Base RI'!AC158</f>
        <v>26447.15</v>
      </c>
      <c r="AJ158" s="10">
        <f>'A) Base RI'!AD158</f>
        <v>0</v>
      </c>
      <c r="AK158" s="10">
        <f>'A) Base RI'!AE158</f>
        <v>0</v>
      </c>
      <c r="AL158" s="10">
        <f>'A) Base RI'!AF158</f>
        <v>0</v>
      </c>
      <c r="AM158" s="10">
        <f>'A) Base RI'!AG158</f>
        <v>0</v>
      </c>
      <c r="AN158" s="10">
        <f>'A) Base RI'!AH158</f>
        <v>0</v>
      </c>
      <c r="AO158" s="10">
        <f>'A) Base RI'!AI158</f>
        <v>0</v>
      </c>
      <c r="AP158" s="10">
        <f>'A) Base RI'!AJ158</f>
        <v>0</v>
      </c>
      <c r="AQ158" s="10">
        <f>'A) Base RI'!AK158</f>
        <v>0</v>
      </c>
      <c r="AR158" s="10">
        <f>'A) Base RI'!AN158</f>
        <v>200</v>
      </c>
    </row>
    <row r="159" spans="1:44" x14ac:dyDescent="0.25">
      <c r="A159" s="8">
        <f>'A) Base RI'!A159</f>
        <v>5651</v>
      </c>
      <c r="B159" s="35" t="str">
        <f>'A) Base RI'!B159</f>
        <v>Villars-Sainte-Croix</v>
      </c>
      <c r="C159" s="10">
        <f>'A) Base RI'!C159+'A) Base RI'!D159</f>
        <v>1741715.57</v>
      </c>
      <c r="D159" s="10">
        <f>'A) Base RI'!AO159</f>
        <v>-18096.36</v>
      </c>
      <c r="E159" s="34">
        <f>'A) Base RI'!AP159</f>
        <v>0</v>
      </c>
      <c r="F159" s="34">
        <f>'A) Base RI'!AQ159</f>
        <v>-12.34</v>
      </c>
      <c r="G159" s="2">
        <f t="shared" si="12"/>
        <v>1723606.8699999999</v>
      </c>
      <c r="H159" s="10">
        <f>'A) Base RI'!E159</f>
        <v>0</v>
      </c>
      <c r="I159" s="10">
        <f>'A) Base RI'!F159</f>
        <v>0</v>
      </c>
      <c r="J159" s="10">
        <f>'A) Base RI'!G159+'A) Base RI'!H159</f>
        <v>254644.35</v>
      </c>
      <c r="K159" s="10">
        <f>'A) Base RI'!I159</f>
        <v>0</v>
      </c>
      <c r="L159" s="10">
        <f>'A) Base RI'!J159</f>
        <v>50326.52</v>
      </c>
      <c r="M159" s="10">
        <f>'A) Base RI'!K159</f>
        <v>23305.5</v>
      </c>
      <c r="N159" s="10">
        <f>'A) Base RI'!Q159</f>
        <v>5023.6499999999996</v>
      </c>
      <c r="O159" s="10">
        <f t="shared" si="13"/>
        <v>249576</v>
      </c>
      <c r="P159" s="10">
        <f>'A) Base RI'!L159</f>
        <v>249576</v>
      </c>
      <c r="Q159" s="37">
        <f>'A) Base RI'!AR159</f>
        <v>1</v>
      </c>
      <c r="R159" s="2">
        <f t="shared" si="14"/>
        <v>2306482.8899999997</v>
      </c>
      <c r="S159" s="36">
        <f>'A) Base RI'!AM159</f>
        <v>59</v>
      </c>
      <c r="T159" s="2">
        <f t="shared" si="15"/>
        <v>2033601.39</v>
      </c>
      <c r="U159" s="2">
        <f t="shared" si="16"/>
        <v>39092.930338983046</v>
      </c>
      <c r="V159" s="10">
        <f>'A) Base RI'!O159</f>
        <v>0</v>
      </c>
      <c r="W159" s="10">
        <f>'A) Base RI'!P159</f>
        <v>282336.84999999998</v>
      </c>
      <c r="X159" s="10">
        <f>'A) Base RI'!R159</f>
        <v>56587.6</v>
      </c>
      <c r="Y159" s="2">
        <f t="shared" si="17"/>
        <v>338924.44999999995</v>
      </c>
      <c r="Z159" s="10">
        <f>'A) Base RI'!N159</f>
        <v>185736.05</v>
      </c>
      <c r="AA159" s="10">
        <f>'A) Base RI'!S159+'A) Base RI'!T159</f>
        <v>0</v>
      </c>
      <c r="AB159" s="10">
        <f>+'A) Base RI'!U159</f>
        <v>3680</v>
      </c>
      <c r="AC159" s="10">
        <f>'A) Base RI'!V159</f>
        <v>0</v>
      </c>
      <c r="AD159" s="10">
        <f>+'A) Base RI'!W159</f>
        <v>0</v>
      </c>
      <c r="AE159" s="10">
        <f>'A) Base RI'!Y159</f>
        <v>38872.400000000001</v>
      </c>
      <c r="AF159" s="10">
        <f>'A) Base RI'!Z159</f>
        <v>0</v>
      </c>
      <c r="AG159" s="10">
        <f>'A) Base RI'!AA159</f>
        <v>99712.7</v>
      </c>
      <c r="AH159" s="10">
        <f>'A) Base RI'!AB159</f>
        <v>0</v>
      </c>
      <c r="AI159" s="10">
        <f>'A) Base RI'!AC159</f>
        <v>108657.44</v>
      </c>
      <c r="AJ159" s="10">
        <f>'A) Base RI'!AD159</f>
        <v>32612.75</v>
      </c>
      <c r="AK159" s="10">
        <f>'A) Base RI'!AE159</f>
        <v>0</v>
      </c>
      <c r="AL159" s="10">
        <f>'A) Base RI'!AF159</f>
        <v>0</v>
      </c>
      <c r="AM159" s="10">
        <f>'A) Base RI'!AG159</f>
        <v>0</v>
      </c>
      <c r="AN159" s="10">
        <f>'A) Base RI'!AH159</f>
        <v>43797.15</v>
      </c>
      <c r="AO159" s="10">
        <f>'A) Base RI'!AI159</f>
        <v>0</v>
      </c>
      <c r="AP159" s="10">
        <f>'A) Base RI'!AJ159</f>
        <v>0</v>
      </c>
      <c r="AQ159" s="10">
        <f>'A) Base RI'!AK159</f>
        <v>0</v>
      </c>
      <c r="AR159" s="10">
        <f>'A) Base RI'!AN159</f>
        <v>841</v>
      </c>
    </row>
    <row r="160" spans="1:44" x14ac:dyDescent="0.25">
      <c r="A160" s="8">
        <f>'A) Base RI'!A160</f>
        <v>5652</v>
      </c>
      <c r="B160" s="35" t="str">
        <f>'A) Base RI'!B160</f>
        <v>Villars-sous-Yens</v>
      </c>
      <c r="C160" s="10">
        <f>'A) Base RI'!C160+'A) Base RI'!D160</f>
        <v>1514215.43</v>
      </c>
      <c r="D160" s="10">
        <f>'A) Base RI'!AO160</f>
        <v>-11477.47</v>
      </c>
      <c r="E160" s="34">
        <f>'A) Base RI'!AP160</f>
        <v>0</v>
      </c>
      <c r="F160" s="34">
        <f>'A) Base RI'!AQ160</f>
        <v>-98.18</v>
      </c>
      <c r="G160" s="2">
        <f t="shared" si="12"/>
        <v>1502639.78</v>
      </c>
      <c r="H160" s="10">
        <f>'A) Base RI'!E160</f>
        <v>0</v>
      </c>
      <c r="I160" s="10">
        <f>'A) Base RI'!F160</f>
        <v>0</v>
      </c>
      <c r="J160" s="10">
        <f>'A) Base RI'!G160+'A) Base RI'!H160</f>
        <v>26651.399999999998</v>
      </c>
      <c r="K160" s="10">
        <f>'A) Base RI'!I160</f>
        <v>0</v>
      </c>
      <c r="L160" s="10">
        <f>'A) Base RI'!J160</f>
        <v>37005.360000000001</v>
      </c>
      <c r="M160" s="10">
        <f>'A) Base RI'!K160</f>
        <v>850</v>
      </c>
      <c r="N160" s="10">
        <f>'A) Base RI'!Q160</f>
        <v>3604.55</v>
      </c>
      <c r="O160" s="10">
        <f t="shared" si="13"/>
        <v>95279.5</v>
      </c>
      <c r="P160" s="10">
        <f>'A) Base RI'!L160</f>
        <v>114335.4</v>
      </c>
      <c r="Q160" s="37">
        <f>'A) Base RI'!AR160</f>
        <v>1.2</v>
      </c>
      <c r="R160" s="2">
        <f t="shared" si="14"/>
        <v>1666030.59</v>
      </c>
      <c r="S160" s="36">
        <f>'A) Base RI'!AM160</f>
        <v>76</v>
      </c>
      <c r="T160" s="2">
        <f t="shared" si="15"/>
        <v>1569901.09</v>
      </c>
      <c r="U160" s="2">
        <f t="shared" si="16"/>
        <v>21921.455131578947</v>
      </c>
      <c r="V160" s="10">
        <f>'A) Base RI'!O160</f>
        <v>53248</v>
      </c>
      <c r="W160" s="10">
        <f>'A) Base RI'!P160</f>
        <v>60796.35</v>
      </c>
      <c r="X160" s="10">
        <f>'A) Base RI'!R160</f>
        <v>13199.1</v>
      </c>
      <c r="Y160" s="2">
        <f t="shared" si="17"/>
        <v>127243.45000000001</v>
      </c>
      <c r="Z160" s="10">
        <f>'A) Base RI'!N160</f>
        <v>2656.2</v>
      </c>
      <c r="AA160" s="10">
        <f>'A) Base RI'!S160+'A) Base RI'!T160</f>
        <v>602.85</v>
      </c>
      <c r="AB160" s="10">
        <f>+'A) Base RI'!U160</f>
        <v>3250</v>
      </c>
      <c r="AC160" s="10">
        <f>'A) Base RI'!V160</f>
        <v>0</v>
      </c>
      <c r="AD160" s="10">
        <f>+'A) Base RI'!W160</f>
        <v>0</v>
      </c>
      <c r="AE160" s="10">
        <f>'A) Base RI'!Y160</f>
        <v>0</v>
      </c>
      <c r="AF160" s="10">
        <f>'A) Base RI'!Z160</f>
        <v>6233.7</v>
      </c>
      <c r="AG160" s="10">
        <f>'A) Base RI'!AA160</f>
        <v>77340.649999999994</v>
      </c>
      <c r="AH160" s="10">
        <f>'A) Base RI'!AB160</f>
        <v>0</v>
      </c>
      <c r="AI160" s="10">
        <f>'A) Base RI'!AC160</f>
        <v>36849.1</v>
      </c>
      <c r="AJ160" s="10">
        <f>'A) Base RI'!AD160</f>
        <v>0</v>
      </c>
      <c r="AK160" s="10">
        <f>'A) Base RI'!AE160</f>
        <v>0</v>
      </c>
      <c r="AL160" s="10">
        <f>'A) Base RI'!AF160</f>
        <v>0</v>
      </c>
      <c r="AM160" s="10">
        <f>'A) Base RI'!AG160</f>
        <v>0</v>
      </c>
      <c r="AN160" s="10">
        <f>'A) Base RI'!AH160</f>
        <v>0</v>
      </c>
      <c r="AO160" s="10">
        <f>'A) Base RI'!AI160</f>
        <v>0</v>
      </c>
      <c r="AP160" s="10">
        <f>'A) Base RI'!AJ160</f>
        <v>0</v>
      </c>
      <c r="AQ160" s="10">
        <f>'A) Base RI'!AK160</f>
        <v>0</v>
      </c>
      <c r="AR160" s="10">
        <f>'A) Base RI'!AN160</f>
        <v>598</v>
      </c>
    </row>
    <row r="161" spans="1:44" x14ac:dyDescent="0.25">
      <c r="A161" s="8">
        <f>'A) Base RI'!A161</f>
        <v>5653</v>
      </c>
      <c r="B161" s="35" t="str">
        <f>'A) Base RI'!B161</f>
        <v>Vufflens-le-Château</v>
      </c>
      <c r="C161" s="10">
        <f>'A) Base RI'!C161+'A) Base RI'!D161</f>
        <v>3008397.9299999997</v>
      </c>
      <c r="D161" s="10">
        <f>'A) Base RI'!AO161</f>
        <v>-9879.5499999999993</v>
      </c>
      <c r="E161" s="34">
        <f>'A) Base RI'!AP161</f>
        <v>0</v>
      </c>
      <c r="F161" s="34">
        <f>'A) Base RI'!AQ161</f>
        <v>-658.49</v>
      </c>
      <c r="G161" s="2">
        <f t="shared" si="12"/>
        <v>2997859.8899999997</v>
      </c>
      <c r="H161" s="10">
        <f>'A) Base RI'!E161</f>
        <v>0</v>
      </c>
      <c r="I161" s="10">
        <f>'A) Base RI'!F161</f>
        <v>0</v>
      </c>
      <c r="J161" s="10">
        <f>'A) Base RI'!G161+'A) Base RI'!H161</f>
        <v>-14934.249999999998</v>
      </c>
      <c r="K161" s="10">
        <f>'A) Base RI'!I161</f>
        <v>120500.85</v>
      </c>
      <c r="L161" s="10">
        <f>'A) Base RI'!J161</f>
        <v>32826.33</v>
      </c>
      <c r="M161" s="10">
        <f>'A) Base RI'!K161</f>
        <v>2764.5</v>
      </c>
      <c r="N161" s="10">
        <f>'A) Base RI'!Q161</f>
        <v>0</v>
      </c>
      <c r="O161" s="10">
        <f t="shared" si="13"/>
        <v>221766.43749999997</v>
      </c>
      <c r="P161" s="10">
        <f>'A) Base RI'!L161</f>
        <v>177413.15</v>
      </c>
      <c r="Q161" s="37">
        <f>'A) Base RI'!AR161</f>
        <v>0.8</v>
      </c>
      <c r="R161" s="2">
        <f t="shared" si="14"/>
        <v>3360783.7574999998</v>
      </c>
      <c r="S161" s="36">
        <f>'A) Base RI'!AM161</f>
        <v>55</v>
      </c>
      <c r="T161" s="2">
        <f t="shared" si="15"/>
        <v>3136252.82</v>
      </c>
      <c r="U161" s="2">
        <f t="shared" si="16"/>
        <v>61105.159227272721</v>
      </c>
      <c r="V161" s="10">
        <f>'A) Base RI'!O161</f>
        <v>0</v>
      </c>
      <c r="W161" s="10">
        <f>'A) Base RI'!P161</f>
        <v>100975.45</v>
      </c>
      <c r="X161" s="10">
        <f>'A) Base RI'!R161</f>
        <v>104910</v>
      </c>
      <c r="Y161" s="2">
        <f t="shared" si="17"/>
        <v>205885.45</v>
      </c>
      <c r="Z161" s="10">
        <f>'A) Base RI'!N161</f>
        <v>1378.1</v>
      </c>
      <c r="AA161" s="10">
        <f>'A) Base RI'!S161+'A) Base RI'!T161</f>
        <v>0</v>
      </c>
      <c r="AB161" s="10">
        <f>+'A) Base RI'!U161</f>
        <v>5350</v>
      </c>
      <c r="AC161" s="10">
        <f>'A) Base RI'!V161</f>
        <v>0</v>
      </c>
      <c r="AD161" s="10">
        <f>+'A) Base RI'!W161</f>
        <v>0</v>
      </c>
      <c r="AE161" s="10">
        <f>'A) Base RI'!Y161</f>
        <v>23446.3</v>
      </c>
      <c r="AF161" s="10">
        <f>'A) Base RI'!Z161</f>
        <v>0</v>
      </c>
      <c r="AG161" s="10">
        <f>'A) Base RI'!AA161</f>
        <v>101452.3</v>
      </c>
      <c r="AH161" s="10">
        <f>'A) Base RI'!AB161</f>
        <v>0</v>
      </c>
      <c r="AI161" s="10">
        <f>'A) Base RI'!AC161</f>
        <v>46711.55</v>
      </c>
      <c r="AJ161" s="10">
        <f>'A) Base RI'!AD161</f>
        <v>0</v>
      </c>
      <c r="AK161" s="10">
        <f>'A) Base RI'!AE161</f>
        <v>0</v>
      </c>
      <c r="AL161" s="10">
        <f>'A) Base RI'!AF161</f>
        <v>0</v>
      </c>
      <c r="AM161" s="10">
        <f>'A) Base RI'!AG161</f>
        <v>0</v>
      </c>
      <c r="AN161" s="10">
        <f>'A) Base RI'!AH161</f>
        <v>0</v>
      </c>
      <c r="AO161" s="10">
        <f>'A) Base RI'!AI161</f>
        <v>0</v>
      </c>
      <c r="AP161" s="10">
        <f>'A) Base RI'!AJ161</f>
        <v>0</v>
      </c>
      <c r="AQ161" s="10">
        <f>'A) Base RI'!AK161</f>
        <v>0</v>
      </c>
      <c r="AR161" s="10">
        <f>'A) Base RI'!AN161</f>
        <v>841</v>
      </c>
    </row>
    <row r="162" spans="1:44" x14ac:dyDescent="0.25">
      <c r="A162" s="8">
        <f>'A) Base RI'!A162</f>
        <v>5654</v>
      </c>
      <c r="B162" s="35" t="str">
        <f>'A) Base RI'!B162</f>
        <v>Vullierens</v>
      </c>
      <c r="C162" s="10">
        <f>'A) Base RI'!C162+'A) Base RI'!D162</f>
        <v>1152461.52</v>
      </c>
      <c r="D162" s="10">
        <f>'A) Base RI'!AO162</f>
        <v>-7192.05</v>
      </c>
      <c r="E162" s="34">
        <f>'A) Base RI'!AP162</f>
        <v>0</v>
      </c>
      <c r="F162" s="34">
        <f>'A) Base RI'!AQ162</f>
        <v>-613.52</v>
      </c>
      <c r="G162" s="2">
        <f t="shared" si="12"/>
        <v>1144655.95</v>
      </c>
      <c r="H162" s="10">
        <f>'A) Base RI'!E162</f>
        <v>0</v>
      </c>
      <c r="I162" s="10">
        <f>'A) Base RI'!F162</f>
        <v>0</v>
      </c>
      <c r="J162" s="10">
        <f>'A) Base RI'!G162+'A) Base RI'!H162</f>
        <v>26038.6</v>
      </c>
      <c r="K162" s="10">
        <f>'A) Base RI'!I162</f>
        <v>0</v>
      </c>
      <c r="L162" s="10">
        <f>'A) Base RI'!J162</f>
        <v>42400.21</v>
      </c>
      <c r="M162" s="10">
        <f>'A) Base RI'!K162</f>
        <v>1254</v>
      </c>
      <c r="N162" s="10">
        <f>'A) Base RI'!Q162</f>
        <v>1927.75</v>
      </c>
      <c r="O162" s="10">
        <f t="shared" si="13"/>
        <v>86495.35</v>
      </c>
      <c r="P162" s="10">
        <f>'A) Base RI'!L162</f>
        <v>86495.35</v>
      </c>
      <c r="Q162" s="37">
        <f>'A) Base RI'!AR162</f>
        <v>1</v>
      </c>
      <c r="R162" s="2">
        <f t="shared" si="14"/>
        <v>1302771.8600000001</v>
      </c>
      <c r="S162" s="36">
        <f>'A) Base RI'!AM162</f>
        <v>76</v>
      </c>
      <c r="T162" s="2">
        <f t="shared" si="15"/>
        <v>1215022.51</v>
      </c>
      <c r="U162" s="2">
        <f t="shared" si="16"/>
        <v>17141.735000000001</v>
      </c>
      <c r="V162" s="10">
        <f>'A) Base RI'!O162</f>
        <v>2346</v>
      </c>
      <c r="W162" s="10">
        <f>'A) Base RI'!P162</f>
        <v>51545.45</v>
      </c>
      <c r="X162" s="10">
        <f>'A) Base RI'!R162</f>
        <v>42146.2</v>
      </c>
      <c r="Y162" s="2">
        <f t="shared" si="17"/>
        <v>96037.65</v>
      </c>
      <c r="Z162" s="10">
        <f>'A) Base RI'!N162</f>
        <v>1924.35</v>
      </c>
      <c r="AA162" s="10">
        <f>'A) Base RI'!S162+'A) Base RI'!T162</f>
        <v>1533.1</v>
      </c>
      <c r="AB162" s="10">
        <f>+'A) Base RI'!U162</f>
        <v>3300</v>
      </c>
      <c r="AC162" s="10">
        <f>'A) Base RI'!V162</f>
        <v>0</v>
      </c>
      <c r="AD162" s="10">
        <f>+'A) Base RI'!W162</f>
        <v>0</v>
      </c>
      <c r="AE162" s="10">
        <f>'A) Base RI'!Y162</f>
        <v>52099.8</v>
      </c>
      <c r="AF162" s="10">
        <f>'A) Base RI'!Z162</f>
        <v>0</v>
      </c>
      <c r="AG162" s="10">
        <f>'A) Base RI'!AA162</f>
        <v>139435.54999999999</v>
      </c>
      <c r="AH162" s="10">
        <f>'A) Base RI'!AB162</f>
        <v>0</v>
      </c>
      <c r="AI162" s="10">
        <f>'A) Base RI'!AC162</f>
        <v>21875</v>
      </c>
      <c r="AJ162" s="10">
        <f>'A) Base RI'!AD162</f>
        <v>8000</v>
      </c>
      <c r="AK162" s="10">
        <f>'A) Base RI'!AE162</f>
        <v>0</v>
      </c>
      <c r="AL162" s="10">
        <f>'A) Base RI'!AF162</f>
        <v>0</v>
      </c>
      <c r="AM162" s="10">
        <f>'A) Base RI'!AG162</f>
        <v>0</v>
      </c>
      <c r="AN162" s="10">
        <f>'A) Base RI'!AH162</f>
        <v>12271.1</v>
      </c>
      <c r="AO162" s="10">
        <f>'A) Base RI'!AI162</f>
        <v>0</v>
      </c>
      <c r="AP162" s="10">
        <f>'A) Base RI'!AJ162</f>
        <v>0</v>
      </c>
      <c r="AQ162" s="10">
        <f>'A) Base RI'!AK162</f>
        <v>0</v>
      </c>
      <c r="AR162" s="10">
        <f>'A) Base RI'!AN162</f>
        <v>461</v>
      </c>
    </row>
    <row r="163" spans="1:44" x14ac:dyDescent="0.25">
      <c r="A163" s="8">
        <f>'A) Base RI'!A163</f>
        <v>5655</v>
      </c>
      <c r="B163" s="35" t="str">
        <f>'A) Base RI'!B163</f>
        <v>Yens</v>
      </c>
      <c r="C163" s="10">
        <f>'A) Base RI'!C163+'A) Base RI'!D163</f>
        <v>5287424.9899999993</v>
      </c>
      <c r="D163" s="10">
        <f>'A) Base RI'!AO163</f>
        <v>-16979.07</v>
      </c>
      <c r="E163" s="34">
        <f>'A) Base RI'!AP163</f>
        <v>0</v>
      </c>
      <c r="F163" s="34">
        <f>'A) Base RI'!AQ163</f>
        <v>-872.03</v>
      </c>
      <c r="G163" s="2">
        <f t="shared" si="12"/>
        <v>5269573.8899999987</v>
      </c>
      <c r="H163" s="10">
        <f>'A) Base RI'!E163</f>
        <v>0</v>
      </c>
      <c r="I163" s="10">
        <f>'A) Base RI'!F163</f>
        <v>0</v>
      </c>
      <c r="J163" s="10">
        <f>'A) Base RI'!G163+'A) Base RI'!H163</f>
        <v>250693.44999999998</v>
      </c>
      <c r="K163" s="10">
        <f>'A) Base RI'!I163</f>
        <v>61299.01</v>
      </c>
      <c r="L163" s="10">
        <f>'A) Base RI'!J163</f>
        <v>51791.519999999997</v>
      </c>
      <c r="M163" s="10">
        <f>'A) Base RI'!K163</f>
        <v>5513.5</v>
      </c>
      <c r="N163" s="10">
        <f>'A) Base RI'!Q163</f>
        <v>5725.36</v>
      </c>
      <c r="O163" s="10">
        <f t="shared" si="13"/>
        <v>456784.45</v>
      </c>
      <c r="P163" s="10">
        <f>'A) Base RI'!L163</f>
        <v>456784.45</v>
      </c>
      <c r="Q163" s="37">
        <f>'A) Base RI'!AR163</f>
        <v>1</v>
      </c>
      <c r="R163" s="2">
        <f t="shared" si="14"/>
        <v>6101381.1799999988</v>
      </c>
      <c r="S163" s="36">
        <f>'A) Base RI'!AM163</f>
        <v>73</v>
      </c>
      <c r="T163" s="2">
        <f t="shared" si="15"/>
        <v>5639083.2299999986</v>
      </c>
      <c r="U163" s="2">
        <f t="shared" si="16"/>
        <v>83580.564109589031</v>
      </c>
      <c r="V163" s="10">
        <f>'A) Base RI'!O163</f>
        <v>4143</v>
      </c>
      <c r="W163" s="10">
        <f>'A) Base RI'!P163</f>
        <v>90982.15</v>
      </c>
      <c r="X163" s="10">
        <f>'A) Base RI'!R163</f>
        <v>104074.2</v>
      </c>
      <c r="Y163" s="2">
        <f t="shared" si="17"/>
        <v>199199.34999999998</v>
      </c>
      <c r="Z163" s="10">
        <f>'A) Base RI'!N163</f>
        <v>67540.800000000003</v>
      </c>
      <c r="AA163" s="10">
        <f>'A) Base RI'!S163+'A) Base RI'!T163</f>
        <v>1050</v>
      </c>
      <c r="AB163" s="10">
        <f>+'A) Base RI'!U163</f>
        <v>7800</v>
      </c>
      <c r="AC163" s="10">
        <f>'A) Base RI'!V163</f>
        <v>1600</v>
      </c>
      <c r="AD163" s="10">
        <f>+'A) Base RI'!W163</f>
        <v>0</v>
      </c>
      <c r="AE163" s="10">
        <f>'A) Base RI'!Y163</f>
        <v>68495</v>
      </c>
      <c r="AF163" s="10">
        <f>'A) Base RI'!Z163</f>
        <v>0</v>
      </c>
      <c r="AG163" s="10">
        <f>'A) Base RI'!AA163</f>
        <v>182868.2</v>
      </c>
      <c r="AH163" s="10">
        <f>'A) Base RI'!AB163</f>
        <v>0</v>
      </c>
      <c r="AI163" s="10">
        <f>'A) Base RI'!AC163</f>
        <v>72383.5</v>
      </c>
      <c r="AJ163" s="10">
        <f>'A) Base RI'!AD163</f>
        <v>105936.4</v>
      </c>
      <c r="AK163" s="10">
        <f>'A) Base RI'!AE163</f>
        <v>0</v>
      </c>
      <c r="AL163" s="10">
        <f>'A) Base RI'!AF163</f>
        <v>0</v>
      </c>
      <c r="AM163" s="10">
        <f>'A) Base RI'!AG163</f>
        <v>0</v>
      </c>
      <c r="AN163" s="10">
        <f>'A) Base RI'!AH163</f>
        <v>0</v>
      </c>
      <c r="AO163" s="10">
        <f>'A) Base RI'!AI163</f>
        <v>0</v>
      </c>
      <c r="AP163" s="10">
        <f>'A) Base RI'!AJ163</f>
        <v>0</v>
      </c>
      <c r="AQ163" s="10">
        <f>'A) Base RI'!AK163</f>
        <v>0</v>
      </c>
      <c r="AR163" s="10">
        <f>'A) Base RI'!AN163</f>
        <v>1388</v>
      </c>
    </row>
    <row r="164" spans="1:44" x14ac:dyDescent="0.25">
      <c r="A164" s="8">
        <f>'A) Base RI'!A164</f>
        <v>5661</v>
      </c>
      <c r="B164" s="35" t="str">
        <f>'A) Base RI'!B164</f>
        <v>Boulens</v>
      </c>
      <c r="C164" s="10">
        <f>'A) Base RI'!C164+'A) Base RI'!D164</f>
        <v>670519.48</v>
      </c>
      <c r="D164" s="10">
        <f>'A) Base RI'!AO164</f>
        <v>0</v>
      </c>
      <c r="E164" s="34">
        <f>'A) Base RI'!AP164</f>
        <v>0</v>
      </c>
      <c r="F164" s="34">
        <f>'A) Base RI'!AQ164</f>
        <v>0</v>
      </c>
      <c r="G164" s="2">
        <f t="shared" si="12"/>
        <v>670519.48</v>
      </c>
      <c r="H164" s="10">
        <f>'A) Base RI'!E164</f>
        <v>0</v>
      </c>
      <c r="I164" s="10">
        <f>'A) Base RI'!F164</f>
        <v>1800</v>
      </c>
      <c r="J164" s="10">
        <f>'A) Base RI'!G164+'A) Base RI'!H164</f>
        <v>43518.719999999994</v>
      </c>
      <c r="K164" s="10">
        <f>'A) Base RI'!I164</f>
        <v>0</v>
      </c>
      <c r="L164" s="10">
        <f>'A) Base RI'!J164</f>
        <v>1490.82</v>
      </c>
      <c r="M164" s="10">
        <f>'A) Base RI'!K164</f>
        <v>317.5</v>
      </c>
      <c r="N164" s="10">
        <f>'A) Base RI'!Q164</f>
        <v>148.44999999999999</v>
      </c>
      <c r="O164" s="10">
        <f t="shared" si="13"/>
        <v>40049.75</v>
      </c>
      <c r="P164" s="10">
        <f>'A) Base RI'!L164</f>
        <v>40049.75</v>
      </c>
      <c r="Q164" s="37">
        <f>'A) Base RI'!AR164</f>
        <v>1</v>
      </c>
      <c r="R164" s="2">
        <f t="shared" si="14"/>
        <v>757844.71999999986</v>
      </c>
      <c r="S164" s="36">
        <f>'A) Base RI'!AM164</f>
        <v>79</v>
      </c>
      <c r="T164" s="2">
        <f t="shared" si="15"/>
        <v>715677.46999999986</v>
      </c>
      <c r="U164" s="2">
        <f t="shared" si="16"/>
        <v>9592.9711392405043</v>
      </c>
      <c r="V164" s="10">
        <f>'A) Base RI'!O164</f>
        <v>0</v>
      </c>
      <c r="W164" s="10">
        <f>'A) Base RI'!P164</f>
        <v>33333.199999999997</v>
      </c>
      <c r="X164" s="10">
        <f>'A) Base RI'!R164</f>
        <v>6125</v>
      </c>
      <c r="Y164" s="2">
        <f t="shared" si="17"/>
        <v>39458.199999999997</v>
      </c>
      <c r="Z164" s="10">
        <f>'A) Base RI'!N164</f>
        <v>13441.35</v>
      </c>
      <c r="AA164" s="10">
        <f>'A) Base RI'!S164+'A) Base RI'!T164</f>
        <v>0</v>
      </c>
      <c r="AB164" s="10">
        <f>+'A) Base RI'!U164</f>
        <v>4000</v>
      </c>
      <c r="AC164" s="10">
        <f>'A) Base RI'!V164</f>
        <v>0</v>
      </c>
      <c r="AD164" s="10">
        <f>+'A) Base RI'!W164</f>
        <v>0</v>
      </c>
      <c r="AE164" s="10">
        <f>'A) Base RI'!Y164</f>
        <v>27000</v>
      </c>
      <c r="AF164" s="10">
        <f>'A) Base RI'!Z164</f>
        <v>0</v>
      </c>
      <c r="AG164" s="10">
        <f>'A) Base RI'!AA164</f>
        <v>32734</v>
      </c>
      <c r="AH164" s="10">
        <f>'A) Base RI'!AB164</f>
        <v>0</v>
      </c>
      <c r="AI164" s="10">
        <f>'A) Base RI'!AC164</f>
        <v>24941</v>
      </c>
      <c r="AJ164" s="10">
        <f>'A) Base RI'!AD164</f>
        <v>0</v>
      </c>
      <c r="AK164" s="10">
        <f>'A) Base RI'!AE164</f>
        <v>0</v>
      </c>
      <c r="AL164" s="10">
        <f>'A) Base RI'!AF164</f>
        <v>0</v>
      </c>
      <c r="AM164" s="10">
        <f>'A) Base RI'!AG164</f>
        <v>0</v>
      </c>
      <c r="AN164" s="10">
        <f>'A) Base RI'!AH164</f>
        <v>0</v>
      </c>
      <c r="AO164" s="10">
        <f>'A) Base RI'!AI164</f>
        <v>0</v>
      </c>
      <c r="AP164" s="10">
        <f>'A) Base RI'!AJ164</f>
        <v>0</v>
      </c>
      <c r="AQ164" s="10">
        <f>'A) Base RI'!AK164</f>
        <v>0</v>
      </c>
      <c r="AR164" s="10">
        <f>'A) Base RI'!AN164</f>
        <v>368</v>
      </c>
    </row>
    <row r="165" spans="1:44" x14ac:dyDescent="0.25">
      <c r="A165" s="8">
        <f>'A) Base RI'!A165</f>
        <v>5662</v>
      </c>
      <c r="B165" s="35" t="str">
        <f>'A) Base RI'!B165</f>
        <v>Brenles</v>
      </c>
      <c r="C165" s="10">
        <f>'A) Base RI'!C165+'A) Base RI'!D165</f>
        <v>386644.63</v>
      </c>
      <c r="D165" s="10">
        <f>'A) Base RI'!AO165</f>
        <v>-9276.25</v>
      </c>
      <c r="E165" s="34">
        <f>'A) Base RI'!AP165</f>
        <v>0</v>
      </c>
      <c r="F165" s="34">
        <f>'A) Base RI'!AQ165</f>
        <v>0</v>
      </c>
      <c r="G165" s="2">
        <f t="shared" si="12"/>
        <v>377368.38</v>
      </c>
      <c r="H165" s="10">
        <f>'A) Base RI'!E165</f>
        <v>0</v>
      </c>
      <c r="I165" s="10">
        <f>'A) Base RI'!F165</f>
        <v>0</v>
      </c>
      <c r="J165" s="10">
        <f>'A) Base RI'!G165+'A) Base RI'!H165</f>
        <v>2825.3</v>
      </c>
      <c r="K165" s="10">
        <f>'A) Base RI'!I165</f>
        <v>0</v>
      </c>
      <c r="L165" s="10">
        <f>'A) Base RI'!J165</f>
        <v>436.33</v>
      </c>
      <c r="M165" s="10">
        <f>'A) Base RI'!K165</f>
        <v>0</v>
      </c>
      <c r="N165" s="10">
        <f>'A) Base RI'!Q165</f>
        <v>0</v>
      </c>
      <c r="O165" s="10">
        <f t="shared" si="13"/>
        <v>19203.333333333332</v>
      </c>
      <c r="P165" s="10">
        <f>'A) Base RI'!L165</f>
        <v>17283</v>
      </c>
      <c r="Q165" s="37">
        <f>'A) Base RI'!AR165</f>
        <v>0.9</v>
      </c>
      <c r="R165" s="2">
        <f t="shared" si="14"/>
        <v>399833.34333333332</v>
      </c>
      <c r="S165" s="36">
        <f>'A) Base RI'!AM165</f>
        <v>78</v>
      </c>
      <c r="T165" s="2">
        <f t="shared" si="15"/>
        <v>380630.01</v>
      </c>
      <c r="U165" s="2">
        <f t="shared" si="16"/>
        <v>5126.068504273504</v>
      </c>
      <c r="V165" s="10">
        <f>'A) Base RI'!O165</f>
        <v>1145.5</v>
      </c>
      <c r="W165" s="10">
        <f>'A) Base RI'!P165</f>
        <v>12774.05</v>
      </c>
      <c r="X165" s="10">
        <f>'A) Base RI'!R165</f>
        <v>35647.199999999997</v>
      </c>
      <c r="Y165" s="2">
        <f t="shared" si="17"/>
        <v>49566.75</v>
      </c>
      <c r="Z165" s="10">
        <f>'A) Base RI'!N165</f>
        <v>0</v>
      </c>
      <c r="AA165" s="10">
        <f>'A) Base RI'!S165+'A) Base RI'!T165</f>
        <v>0</v>
      </c>
      <c r="AB165" s="10">
        <f>+'A) Base RI'!U165</f>
        <v>600</v>
      </c>
      <c r="AC165" s="10">
        <f>'A) Base RI'!V165</f>
        <v>0</v>
      </c>
      <c r="AD165" s="10">
        <f>+'A) Base RI'!W165</f>
        <v>0</v>
      </c>
      <c r="AE165" s="10">
        <f>'A) Base RI'!Y165</f>
        <v>0</v>
      </c>
      <c r="AF165" s="10">
        <f>'A) Base RI'!Z165</f>
        <v>0</v>
      </c>
      <c r="AG165" s="10">
        <f>'A) Base RI'!AA165</f>
        <v>20622</v>
      </c>
      <c r="AH165" s="10">
        <f>'A) Base RI'!AB165</f>
        <v>0</v>
      </c>
      <c r="AI165" s="10">
        <f>'A) Base RI'!AC165</f>
        <v>10592.4</v>
      </c>
      <c r="AJ165" s="10">
        <f>'A) Base RI'!AD165</f>
        <v>0</v>
      </c>
      <c r="AK165" s="10">
        <f>'A) Base RI'!AE165</f>
        <v>0</v>
      </c>
      <c r="AL165" s="10">
        <f>'A) Base RI'!AF165</f>
        <v>0</v>
      </c>
      <c r="AM165" s="10">
        <f>'A) Base RI'!AG165</f>
        <v>0</v>
      </c>
      <c r="AN165" s="10">
        <f>'A) Base RI'!AH165</f>
        <v>0</v>
      </c>
      <c r="AO165" s="10">
        <f>'A) Base RI'!AI165</f>
        <v>0</v>
      </c>
      <c r="AP165" s="10">
        <f>'A) Base RI'!AJ165</f>
        <v>0</v>
      </c>
      <c r="AQ165" s="10">
        <f>'A) Base RI'!AK165</f>
        <v>0</v>
      </c>
      <c r="AR165" s="10">
        <f>'A) Base RI'!AN165</f>
        <v>138</v>
      </c>
    </row>
    <row r="166" spans="1:44" x14ac:dyDescent="0.25">
      <c r="A166" s="8">
        <f>'A) Base RI'!A166</f>
        <v>5663</v>
      </c>
      <c r="B166" s="35" t="str">
        <f>'A) Base RI'!B166</f>
        <v>Bussy-sur-Moudon</v>
      </c>
      <c r="C166" s="10">
        <f>'A) Base RI'!C166+'A) Base RI'!D166</f>
        <v>386173.12</v>
      </c>
      <c r="D166" s="10">
        <f>'A) Base RI'!AO166</f>
        <v>-10445.549999999999</v>
      </c>
      <c r="E166" s="34">
        <f>'A) Base RI'!AP166</f>
        <v>0</v>
      </c>
      <c r="F166" s="34">
        <f>'A) Base RI'!AQ166</f>
        <v>-1.76</v>
      </c>
      <c r="G166" s="2">
        <f t="shared" si="12"/>
        <v>375725.81</v>
      </c>
      <c r="H166" s="10">
        <f>'A) Base RI'!E166</f>
        <v>0</v>
      </c>
      <c r="I166" s="10">
        <f>'A) Base RI'!F166</f>
        <v>1290</v>
      </c>
      <c r="J166" s="10">
        <f>'A) Base RI'!G166+'A) Base RI'!H166</f>
        <v>27928.2</v>
      </c>
      <c r="K166" s="10">
        <f>'A) Base RI'!I166</f>
        <v>0</v>
      </c>
      <c r="L166" s="10">
        <f>'A) Base RI'!J166</f>
        <v>4027.44</v>
      </c>
      <c r="M166" s="10">
        <f>'A) Base RI'!K166</f>
        <v>460.5</v>
      </c>
      <c r="N166" s="10">
        <f>'A) Base RI'!Q166</f>
        <v>108.81</v>
      </c>
      <c r="O166" s="10">
        <f t="shared" si="13"/>
        <v>27932.3</v>
      </c>
      <c r="P166" s="10">
        <f>'A) Base RI'!L166</f>
        <v>27932.3</v>
      </c>
      <c r="Q166" s="37">
        <f>'A) Base RI'!AR166</f>
        <v>1</v>
      </c>
      <c r="R166" s="2">
        <f t="shared" si="14"/>
        <v>437473.06</v>
      </c>
      <c r="S166" s="36">
        <f>'A) Base RI'!AM166</f>
        <v>80</v>
      </c>
      <c r="T166" s="2">
        <f t="shared" si="15"/>
        <v>407790.26</v>
      </c>
      <c r="U166" s="2">
        <f t="shared" si="16"/>
        <v>5468.4132499999996</v>
      </c>
      <c r="V166" s="10">
        <f>'A) Base RI'!O166</f>
        <v>0</v>
      </c>
      <c r="W166" s="10">
        <f>'A) Base RI'!P166</f>
        <v>9625</v>
      </c>
      <c r="X166" s="10">
        <f>'A) Base RI'!R166</f>
        <v>11074.7</v>
      </c>
      <c r="Y166" s="2">
        <f t="shared" si="17"/>
        <v>20699.7</v>
      </c>
      <c r="Z166" s="10">
        <f>'A) Base RI'!N166</f>
        <v>0</v>
      </c>
      <c r="AA166" s="10">
        <f>'A) Base RI'!S166+'A) Base RI'!T166</f>
        <v>0</v>
      </c>
      <c r="AB166" s="10">
        <f>+'A) Base RI'!U166</f>
        <v>1680</v>
      </c>
      <c r="AC166" s="10">
        <f>'A) Base RI'!V166</f>
        <v>0</v>
      </c>
      <c r="AD166" s="10">
        <f>+'A) Base RI'!W166</f>
        <v>0</v>
      </c>
      <c r="AE166" s="10">
        <f>'A) Base RI'!Y166</f>
        <v>6655.4</v>
      </c>
      <c r="AF166" s="10">
        <f>'A) Base RI'!Z166</f>
        <v>0</v>
      </c>
      <c r="AG166" s="10">
        <f>'A) Base RI'!AA166</f>
        <v>25843.25</v>
      </c>
      <c r="AH166" s="10">
        <f>'A) Base RI'!AB166</f>
        <v>0</v>
      </c>
      <c r="AI166" s="10">
        <f>'A) Base RI'!AC166</f>
        <v>18286</v>
      </c>
      <c r="AJ166" s="10">
        <f>'A) Base RI'!AD166</f>
        <v>0</v>
      </c>
      <c r="AK166" s="10">
        <f>'A) Base RI'!AE166</f>
        <v>0</v>
      </c>
      <c r="AL166" s="10">
        <f>'A) Base RI'!AF166</f>
        <v>0</v>
      </c>
      <c r="AM166" s="10">
        <f>'A) Base RI'!AG166</f>
        <v>0</v>
      </c>
      <c r="AN166" s="10">
        <f>'A) Base RI'!AH166</f>
        <v>0</v>
      </c>
      <c r="AO166" s="10">
        <f>'A) Base RI'!AI166</f>
        <v>0</v>
      </c>
      <c r="AP166" s="10">
        <f>'A) Base RI'!AJ166</f>
        <v>0</v>
      </c>
      <c r="AQ166" s="10">
        <f>'A) Base RI'!AK166</f>
        <v>0</v>
      </c>
      <c r="AR166" s="10">
        <f>'A) Base RI'!AN166</f>
        <v>208</v>
      </c>
    </row>
    <row r="167" spans="1:44" x14ac:dyDescent="0.25">
      <c r="A167" s="8">
        <f>'A) Base RI'!A167</f>
        <v>5665</v>
      </c>
      <c r="B167" s="35" t="str">
        <f>'A) Base RI'!B167</f>
        <v>Chavannes-sur-Moudon</v>
      </c>
      <c r="C167" s="10">
        <f>'A) Base RI'!C167+'A) Base RI'!D167</f>
        <v>332732.52999999997</v>
      </c>
      <c r="D167" s="10">
        <f>'A) Base RI'!AO167</f>
        <v>-1198.19</v>
      </c>
      <c r="E167" s="34">
        <f>'A) Base RI'!AP167</f>
        <v>0</v>
      </c>
      <c r="F167" s="34">
        <f>'A) Base RI'!AQ167</f>
        <v>0</v>
      </c>
      <c r="G167" s="2">
        <f t="shared" si="12"/>
        <v>331534.33999999997</v>
      </c>
      <c r="H167" s="10">
        <f>'A) Base RI'!E167</f>
        <v>0</v>
      </c>
      <c r="I167" s="10">
        <f>'A) Base RI'!F167</f>
        <v>0</v>
      </c>
      <c r="J167" s="10">
        <f>'A) Base RI'!G167+'A) Base RI'!H167</f>
        <v>6664.55</v>
      </c>
      <c r="K167" s="10">
        <f>'A) Base RI'!I167</f>
        <v>0</v>
      </c>
      <c r="L167" s="10">
        <f>'A) Base RI'!J167</f>
        <v>1566.97</v>
      </c>
      <c r="M167" s="10">
        <f>'A) Base RI'!K167</f>
        <v>4.5</v>
      </c>
      <c r="N167" s="10">
        <f>'A) Base RI'!Q167</f>
        <v>426.01</v>
      </c>
      <c r="O167" s="10">
        <f t="shared" si="13"/>
        <v>23553.8</v>
      </c>
      <c r="P167" s="10">
        <f>'A) Base RI'!L167</f>
        <v>23553.8</v>
      </c>
      <c r="Q167" s="37">
        <f>'A) Base RI'!AR167</f>
        <v>1</v>
      </c>
      <c r="R167" s="2">
        <f t="shared" si="14"/>
        <v>363750.16999999993</v>
      </c>
      <c r="S167" s="36">
        <f>'A) Base RI'!AM167</f>
        <v>73</v>
      </c>
      <c r="T167" s="2">
        <f t="shared" si="15"/>
        <v>340191.86999999994</v>
      </c>
      <c r="U167" s="2">
        <f t="shared" si="16"/>
        <v>4982.8790410958891</v>
      </c>
      <c r="V167" s="10">
        <f>'A) Base RI'!O167</f>
        <v>0</v>
      </c>
      <c r="W167" s="10">
        <f>'A) Base RI'!P167</f>
        <v>2420</v>
      </c>
      <c r="X167" s="10">
        <f>'A) Base RI'!R167</f>
        <v>0</v>
      </c>
      <c r="Y167" s="2">
        <f t="shared" si="17"/>
        <v>2420</v>
      </c>
      <c r="Z167" s="10">
        <f>'A) Base RI'!N167</f>
        <v>0</v>
      </c>
      <c r="AA167" s="10">
        <f>'A) Base RI'!S167+'A) Base RI'!T167</f>
        <v>300</v>
      </c>
      <c r="AB167" s="10">
        <f>+'A) Base RI'!U167</f>
        <v>720</v>
      </c>
      <c r="AC167" s="10">
        <f>'A) Base RI'!V167</f>
        <v>0</v>
      </c>
      <c r="AD167" s="10">
        <f>+'A) Base RI'!W167</f>
        <v>0</v>
      </c>
      <c r="AE167" s="10">
        <f>'A) Base RI'!Y167</f>
        <v>0</v>
      </c>
      <c r="AF167" s="10">
        <f>'A) Base RI'!Z167</f>
        <v>0</v>
      </c>
      <c r="AG167" s="10">
        <f>'A) Base RI'!AA167</f>
        <v>14163.15</v>
      </c>
      <c r="AH167" s="10">
        <f>'A) Base RI'!AB167</f>
        <v>0</v>
      </c>
      <c r="AI167" s="10">
        <f>'A) Base RI'!AC167</f>
        <v>20415.900000000001</v>
      </c>
      <c r="AJ167" s="10">
        <f>'A) Base RI'!AD167</f>
        <v>0</v>
      </c>
      <c r="AK167" s="10">
        <f>'A) Base RI'!AE167</f>
        <v>0</v>
      </c>
      <c r="AL167" s="10">
        <f>'A) Base RI'!AF167</f>
        <v>0</v>
      </c>
      <c r="AM167" s="10">
        <f>'A) Base RI'!AG167</f>
        <v>0</v>
      </c>
      <c r="AN167" s="10">
        <f>'A) Base RI'!AH167</f>
        <v>0</v>
      </c>
      <c r="AO167" s="10">
        <f>'A) Base RI'!AI167</f>
        <v>0</v>
      </c>
      <c r="AP167" s="10">
        <f>'A) Base RI'!AJ167</f>
        <v>0</v>
      </c>
      <c r="AQ167" s="10">
        <f>'A) Base RI'!AK167</f>
        <v>0</v>
      </c>
      <c r="AR167" s="10">
        <f>'A) Base RI'!AN167</f>
        <v>224</v>
      </c>
    </row>
    <row r="168" spans="1:44" x14ac:dyDescent="0.25">
      <c r="A168" s="8">
        <f>'A) Base RI'!A168</f>
        <v>5666</v>
      </c>
      <c r="B168" s="35" t="str">
        <f>'A) Base RI'!B168</f>
        <v>Chesalles-sur-Moudon</v>
      </c>
      <c r="C168" s="10">
        <f>'A) Base RI'!C168+'A) Base RI'!D168</f>
        <v>238930.91</v>
      </c>
      <c r="D168" s="10">
        <f>'A) Base RI'!AO168</f>
        <v>-635.96</v>
      </c>
      <c r="E168" s="34">
        <f>'A) Base RI'!AP168</f>
        <v>0</v>
      </c>
      <c r="F168" s="34">
        <f>'A) Base RI'!AQ168</f>
        <v>0</v>
      </c>
      <c r="G168" s="2">
        <f t="shared" si="12"/>
        <v>238294.95</v>
      </c>
      <c r="H168" s="10">
        <f>'A) Base RI'!E168</f>
        <v>0</v>
      </c>
      <c r="I168" s="10">
        <f>'A) Base RI'!F168</f>
        <v>0</v>
      </c>
      <c r="J168" s="10">
        <f>'A) Base RI'!G168+'A) Base RI'!H168</f>
        <v>2030.3</v>
      </c>
      <c r="K168" s="10">
        <f>'A) Base RI'!I168</f>
        <v>0</v>
      </c>
      <c r="L168" s="10">
        <f>'A) Base RI'!J168</f>
        <v>5747.92</v>
      </c>
      <c r="M168" s="10">
        <f>'A) Base RI'!K168</f>
        <v>663</v>
      </c>
      <c r="N168" s="10">
        <f>'A) Base RI'!Q168</f>
        <v>10204.14</v>
      </c>
      <c r="O168" s="10">
        <f t="shared" si="13"/>
        <v>27838.68</v>
      </c>
      <c r="P168" s="10">
        <f>'A) Base RI'!L168</f>
        <v>34798.35</v>
      </c>
      <c r="Q168" s="37">
        <f>'A) Base RI'!AR168</f>
        <v>1.25</v>
      </c>
      <c r="R168" s="2">
        <f t="shared" si="14"/>
        <v>284778.99</v>
      </c>
      <c r="S168" s="36">
        <f>'A) Base RI'!AM168</f>
        <v>75</v>
      </c>
      <c r="T168" s="2">
        <f t="shared" si="15"/>
        <v>256277.31</v>
      </c>
      <c r="U168" s="2">
        <f t="shared" si="16"/>
        <v>3797.0531999999998</v>
      </c>
      <c r="V168" s="10">
        <f>'A) Base RI'!O168</f>
        <v>0</v>
      </c>
      <c r="W168" s="10">
        <f>'A) Base RI'!P168</f>
        <v>0</v>
      </c>
      <c r="X168" s="10">
        <f>'A) Base RI'!R168</f>
        <v>0</v>
      </c>
      <c r="Y168" s="2">
        <f t="shared" si="17"/>
        <v>0</v>
      </c>
      <c r="Z168" s="10">
        <f>'A) Base RI'!N168</f>
        <v>0</v>
      </c>
      <c r="AA168" s="10">
        <f>'A) Base RI'!S168+'A) Base RI'!T168</f>
        <v>0</v>
      </c>
      <c r="AB168" s="10">
        <f>+'A) Base RI'!U168</f>
        <v>2100</v>
      </c>
      <c r="AC168" s="10">
        <f>'A) Base RI'!V168</f>
        <v>0</v>
      </c>
      <c r="AD168" s="10">
        <f>+'A) Base RI'!W168</f>
        <v>0</v>
      </c>
      <c r="AE168" s="10">
        <f>'A) Base RI'!Y168</f>
        <v>0</v>
      </c>
      <c r="AF168" s="10">
        <f>'A) Base RI'!Z168</f>
        <v>0</v>
      </c>
      <c r="AG168" s="10">
        <f>'A) Base RI'!AA168</f>
        <v>19270.900000000001</v>
      </c>
      <c r="AH168" s="10">
        <f>'A) Base RI'!AB168</f>
        <v>0</v>
      </c>
      <c r="AI168" s="10">
        <f>'A) Base RI'!AC168</f>
        <v>15030.25</v>
      </c>
      <c r="AJ168" s="10">
        <f>'A) Base RI'!AD168</f>
        <v>0</v>
      </c>
      <c r="AK168" s="10">
        <f>'A) Base RI'!AE168</f>
        <v>0</v>
      </c>
      <c r="AL168" s="10">
        <f>'A) Base RI'!AF168</f>
        <v>0</v>
      </c>
      <c r="AM168" s="10">
        <f>'A) Base RI'!AG168</f>
        <v>0</v>
      </c>
      <c r="AN168" s="10">
        <f>'A) Base RI'!AH168</f>
        <v>0</v>
      </c>
      <c r="AO168" s="10">
        <f>'A) Base RI'!AI168</f>
        <v>0</v>
      </c>
      <c r="AP168" s="10">
        <f>'A) Base RI'!AJ168</f>
        <v>0</v>
      </c>
      <c r="AQ168" s="10">
        <f>'A) Base RI'!AK168</f>
        <v>0</v>
      </c>
      <c r="AR168" s="10">
        <f>'A) Base RI'!AN168</f>
        <v>196</v>
      </c>
    </row>
    <row r="169" spans="1:44" x14ac:dyDescent="0.25">
      <c r="A169" s="8">
        <f>'A) Base RI'!A169</f>
        <v>5668</v>
      </c>
      <c r="B169" s="35" t="str">
        <f>'A) Base RI'!B169</f>
        <v>Cremin</v>
      </c>
      <c r="C169" s="10">
        <f>'A) Base RI'!C169+'A) Base RI'!D169</f>
        <v>72012.14</v>
      </c>
      <c r="D169" s="10">
        <f>'A) Base RI'!AO169</f>
        <v>-33.56</v>
      </c>
      <c r="E169" s="34">
        <f>'A) Base RI'!AP169</f>
        <v>0</v>
      </c>
      <c r="F169" s="34">
        <f>'A) Base RI'!AQ169</f>
        <v>0</v>
      </c>
      <c r="G169" s="2">
        <f t="shared" si="12"/>
        <v>71978.58</v>
      </c>
      <c r="H169" s="10">
        <f>'A) Base RI'!E169</f>
        <v>0</v>
      </c>
      <c r="I169" s="10">
        <f>'A) Base RI'!F169</f>
        <v>0</v>
      </c>
      <c r="J169" s="10">
        <f>'A) Base RI'!G169+'A) Base RI'!H169</f>
        <v>153.85</v>
      </c>
      <c r="K169" s="10">
        <f>'A) Base RI'!I169</f>
        <v>0</v>
      </c>
      <c r="L169" s="10">
        <f>'A) Base RI'!J169</f>
        <v>183.35</v>
      </c>
      <c r="M169" s="10">
        <f>'A) Base RI'!K169</f>
        <v>20</v>
      </c>
      <c r="N169" s="10">
        <f>'A) Base RI'!Q169</f>
        <v>0</v>
      </c>
      <c r="O169" s="10">
        <f t="shared" si="13"/>
        <v>5921.55</v>
      </c>
      <c r="P169" s="10">
        <f>'A) Base RI'!L169</f>
        <v>5921.55</v>
      </c>
      <c r="Q169" s="37">
        <f>'A) Base RI'!AR169</f>
        <v>1</v>
      </c>
      <c r="R169" s="2">
        <f t="shared" si="14"/>
        <v>78257.330000000016</v>
      </c>
      <c r="S169" s="36">
        <f>'A) Base RI'!AM169</f>
        <v>77</v>
      </c>
      <c r="T169" s="2">
        <f t="shared" si="15"/>
        <v>72315.780000000013</v>
      </c>
      <c r="U169" s="2">
        <f t="shared" si="16"/>
        <v>1016.3289610389612</v>
      </c>
      <c r="V169" s="10">
        <f>'A) Base RI'!O169</f>
        <v>0</v>
      </c>
      <c r="W169" s="10">
        <f>'A) Base RI'!P169</f>
        <v>5658.85</v>
      </c>
      <c r="X169" s="10">
        <f>'A) Base RI'!R169</f>
        <v>0</v>
      </c>
      <c r="Y169" s="2">
        <f t="shared" si="17"/>
        <v>5658.85</v>
      </c>
      <c r="Z169" s="10">
        <f>'A) Base RI'!N169</f>
        <v>0</v>
      </c>
      <c r="AA169" s="10">
        <f>'A) Base RI'!S169+'A) Base RI'!T169</f>
        <v>0</v>
      </c>
      <c r="AB169" s="10">
        <f>+'A) Base RI'!U169</f>
        <v>300</v>
      </c>
      <c r="AC169" s="10">
        <f>'A) Base RI'!V169</f>
        <v>0</v>
      </c>
      <c r="AD169" s="10">
        <f>+'A) Base RI'!W169</f>
        <v>0</v>
      </c>
      <c r="AE169" s="10">
        <f>'A) Base RI'!Y169</f>
        <v>0</v>
      </c>
      <c r="AF169" s="10">
        <f>'A) Base RI'!Z169</f>
        <v>0</v>
      </c>
      <c r="AG169" s="10">
        <f>'A) Base RI'!AA169</f>
        <v>3214.4</v>
      </c>
      <c r="AH169" s="10">
        <f>'A) Base RI'!AB169</f>
        <v>0</v>
      </c>
      <c r="AI169" s="10">
        <f>'A) Base RI'!AC169</f>
        <v>7087.5</v>
      </c>
      <c r="AJ169" s="10">
        <f>'A) Base RI'!AD169</f>
        <v>0</v>
      </c>
      <c r="AK169" s="10">
        <f>'A) Base RI'!AE169</f>
        <v>0</v>
      </c>
      <c r="AL169" s="10">
        <f>'A) Base RI'!AF169</f>
        <v>0</v>
      </c>
      <c r="AM169" s="10">
        <f>'A) Base RI'!AG169</f>
        <v>0</v>
      </c>
      <c r="AN169" s="10">
        <f>'A) Base RI'!AH169</f>
        <v>1587.45</v>
      </c>
      <c r="AO169" s="10">
        <f>'A) Base RI'!AI169</f>
        <v>0</v>
      </c>
      <c r="AP169" s="10">
        <f>'A) Base RI'!AJ169</f>
        <v>0</v>
      </c>
      <c r="AQ169" s="10">
        <f>'A) Base RI'!AK169</f>
        <v>0</v>
      </c>
      <c r="AR169" s="10">
        <f>'A) Base RI'!AN169</f>
        <v>59</v>
      </c>
    </row>
    <row r="170" spans="1:44" x14ac:dyDescent="0.25">
      <c r="A170" s="8">
        <f>'A) Base RI'!A170</f>
        <v>5669</v>
      </c>
      <c r="B170" s="35" t="str">
        <f>'A) Base RI'!B170</f>
        <v>Curtilles</v>
      </c>
      <c r="C170" s="10">
        <f>'A) Base RI'!C170+'A) Base RI'!D170</f>
        <v>525094.30000000005</v>
      </c>
      <c r="D170" s="10">
        <f>'A) Base RI'!AO170</f>
        <v>-14651.18</v>
      </c>
      <c r="E170" s="34">
        <f>'A) Base RI'!AP170</f>
        <v>0</v>
      </c>
      <c r="F170" s="34">
        <f>'A) Base RI'!AQ170</f>
        <v>-0.12</v>
      </c>
      <c r="G170" s="2">
        <f t="shared" si="12"/>
        <v>510443.00000000006</v>
      </c>
      <c r="H170" s="10">
        <f>'A) Base RI'!E170</f>
        <v>0</v>
      </c>
      <c r="I170" s="10">
        <f>'A) Base RI'!F170</f>
        <v>0</v>
      </c>
      <c r="J170" s="10">
        <f>'A) Base RI'!G170+'A) Base RI'!H170</f>
        <v>29472.949999999997</v>
      </c>
      <c r="K170" s="10">
        <f>'A) Base RI'!I170</f>
        <v>0</v>
      </c>
      <c r="L170" s="10">
        <f>'A) Base RI'!J170</f>
        <v>12607.58</v>
      </c>
      <c r="M170" s="10">
        <f>'A) Base RI'!K170</f>
        <v>337</v>
      </c>
      <c r="N170" s="10">
        <f>'A) Base RI'!Q170</f>
        <v>0</v>
      </c>
      <c r="O170" s="10">
        <f t="shared" si="13"/>
        <v>43240</v>
      </c>
      <c r="P170" s="10">
        <f>'A) Base RI'!L170</f>
        <v>21620</v>
      </c>
      <c r="Q170" s="37">
        <f>'A) Base RI'!AR170</f>
        <v>0.5</v>
      </c>
      <c r="R170" s="2">
        <f t="shared" si="14"/>
        <v>596100.53</v>
      </c>
      <c r="S170" s="36">
        <f>'A) Base RI'!AM170</f>
        <v>72</v>
      </c>
      <c r="T170" s="2">
        <f t="shared" si="15"/>
        <v>552523.53</v>
      </c>
      <c r="U170" s="2">
        <f t="shared" si="16"/>
        <v>8279.174027777779</v>
      </c>
      <c r="V170" s="10">
        <f>'A) Base RI'!O170</f>
        <v>184.7</v>
      </c>
      <c r="W170" s="10">
        <f>'A) Base RI'!P170</f>
        <v>5881.7</v>
      </c>
      <c r="X170" s="10">
        <f>'A) Base RI'!R170</f>
        <v>0</v>
      </c>
      <c r="Y170" s="2">
        <f t="shared" si="17"/>
        <v>6066.4</v>
      </c>
      <c r="Z170" s="10">
        <f>'A) Base RI'!N170</f>
        <v>0</v>
      </c>
      <c r="AA170" s="10">
        <f>'A) Base RI'!S170+'A) Base RI'!T170</f>
        <v>85</v>
      </c>
      <c r="AB170" s="10">
        <f>+'A) Base RI'!U170</f>
        <v>3600</v>
      </c>
      <c r="AC170" s="10">
        <f>'A) Base RI'!V170</f>
        <v>0</v>
      </c>
      <c r="AD170" s="10">
        <f>+'A) Base RI'!W170</f>
        <v>0</v>
      </c>
      <c r="AE170" s="10">
        <f>'A) Base RI'!Y170</f>
        <v>4500</v>
      </c>
      <c r="AF170" s="10">
        <f>'A) Base RI'!Z170</f>
        <v>0</v>
      </c>
      <c r="AG170" s="10">
        <f>'A) Base RI'!AA170</f>
        <v>20793.349999999999</v>
      </c>
      <c r="AH170" s="10">
        <f>'A) Base RI'!AB170</f>
        <v>0</v>
      </c>
      <c r="AI170" s="10">
        <f>'A) Base RI'!AC170</f>
        <v>29339.8</v>
      </c>
      <c r="AJ170" s="10">
        <f>'A) Base RI'!AD170</f>
        <v>0</v>
      </c>
      <c r="AK170" s="10">
        <f>'A) Base RI'!AE170</f>
        <v>0</v>
      </c>
      <c r="AL170" s="10">
        <f>'A) Base RI'!AF170</f>
        <v>0</v>
      </c>
      <c r="AM170" s="10">
        <f>'A) Base RI'!AG170</f>
        <v>0</v>
      </c>
      <c r="AN170" s="10">
        <f>'A) Base RI'!AH170</f>
        <v>0</v>
      </c>
      <c r="AO170" s="10">
        <f>'A) Base RI'!AI170</f>
        <v>0</v>
      </c>
      <c r="AP170" s="10">
        <f>'A) Base RI'!AJ170</f>
        <v>0</v>
      </c>
      <c r="AQ170" s="10">
        <f>'A) Base RI'!AK170</f>
        <v>0</v>
      </c>
      <c r="AR170" s="10">
        <f>'A) Base RI'!AN170</f>
        <v>309</v>
      </c>
    </row>
    <row r="171" spans="1:44" x14ac:dyDescent="0.25">
      <c r="A171" s="8">
        <f>'A) Base RI'!A171</f>
        <v>5671</v>
      </c>
      <c r="B171" s="35" t="str">
        <f>'A) Base RI'!B171</f>
        <v>Dompierre</v>
      </c>
      <c r="C171" s="10">
        <f>'A) Base RI'!C171+'A) Base RI'!D171</f>
        <v>458731.22000000003</v>
      </c>
      <c r="D171" s="10">
        <f>'A) Base RI'!AO171</f>
        <v>-271.35000000000002</v>
      </c>
      <c r="E171" s="34">
        <f>'A) Base RI'!AP171</f>
        <v>0</v>
      </c>
      <c r="F171" s="34">
        <f>'A) Base RI'!AQ171</f>
        <v>0</v>
      </c>
      <c r="G171" s="2">
        <f t="shared" si="12"/>
        <v>458459.87000000005</v>
      </c>
      <c r="H171" s="10">
        <f>'A) Base RI'!E171</f>
        <v>0</v>
      </c>
      <c r="I171" s="10">
        <f>'A) Base RI'!F171</f>
        <v>1580</v>
      </c>
      <c r="J171" s="10">
        <f>'A) Base RI'!G171+'A) Base RI'!H171</f>
        <v>17367.650000000001</v>
      </c>
      <c r="K171" s="10">
        <f>'A) Base RI'!I171</f>
        <v>0</v>
      </c>
      <c r="L171" s="10">
        <f>'A) Base RI'!J171</f>
        <v>22427.35</v>
      </c>
      <c r="M171" s="10">
        <f>'A) Base RI'!K171</f>
        <v>223.5</v>
      </c>
      <c r="N171" s="10">
        <f>'A) Base RI'!Q171</f>
        <v>0</v>
      </c>
      <c r="O171" s="10">
        <f t="shared" si="13"/>
        <v>33765.4</v>
      </c>
      <c r="P171" s="10">
        <f>'A) Base RI'!L171</f>
        <v>33765.4</v>
      </c>
      <c r="Q171" s="37">
        <f>'A) Base RI'!AR171</f>
        <v>1</v>
      </c>
      <c r="R171" s="2">
        <f t="shared" si="14"/>
        <v>533823.77</v>
      </c>
      <c r="S171" s="36">
        <f>'A) Base RI'!AM171</f>
        <v>80</v>
      </c>
      <c r="T171" s="2">
        <f t="shared" si="15"/>
        <v>498254.87000000005</v>
      </c>
      <c r="U171" s="2">
        <f t="shared" si="16"/>
        <v>6672.7971250000001</v>
      </c>
      <c r="V171" s="10">
        <f>'A) Base RI'!O171</f>
        <v>0</v>
      </c>
      <c r="W171" s="10">
        <f>'A) Base RI'!P171</f>
        <v>0</v>
      </c>
      <c r="X171" s="10">
        <f>'A) Base RI'!R171</f>
        <v>0</v>
      </c>
      <c r="Y171" s="2">
        <f t="shared" si="17"/>
        <v>0</v>
      </c>
      <c r="Z171" s="10">
        <f>'A) Base RI'!N171</f>
        <v>0</v>
      </c>
      <c r="AA171" s="10">
        <f>'A) Base RI'!S171+'A) Base RI'!T171</f>
        <v>200</v>
      </c>
      <c r="AB171" s="10">
        <f>+'A) Base RI'!U171</f>
        <v>2520</v>
      </c>
      <c r="AC171" s="10">
        <f>'A) Base RI'!V171</f>
        <v>0</v>
      </c>
      <c r="AD171" s="10">
        <f>+'A) Base RI'!W171</f>
        <v>0</v>
      </c>
      <c r="AE171" s="10">
        <f>'A) Base RI'!Y171</f>
        <v>0</v>
      </c>
      <c r="AF171" s="10">
        <f>'A) Base RI'!Z171</f>
        <v>0</v>
      </c>
      <c r="AG171" s="10">
        <f>'A) Base RI'!AA171</f>
        <v>15114.2</v>
      </c>
      <c r="AH171" s="10">
        <f>'A) Base RI'!AB171</f>
        <v>0</v>
      </c>
      <c r="AI171" s="10">
        <f>'A) Base RI'!AC171</f>
        <v>17274.2</v>
      </c>
      <c r="AJ171" s="10">
        <f>'A) Base RI'!AD171</f>
        <v>0</v>
      </c>
      <c r="AK171" s="10">
        <f>'A) Base RI'!AE171</f>
        <v>0</v>
      </c>
      <c r="AL171" s="10">
        <f>'A) Base RI'!AF171</f>
        <v>0</v>
      </c>
      <c r="AM171" s="10">
        <f>'A) Base RI'!AG171</f>
        <v>0</v>
      </c>
      <c r="AN171" s="10">
        <f>'A) Base RI'!AH171</f>
        <v>0</v>
      </c>
      <c r="AO171" s="10">
        <f>'A) Base RI'!AI171</f>
        <v>0</v>
      </c>
      <c r="AP171" s="10">
        <f>'A) Base RI'!AJ171</f>
        <v>0</v>
      </c>
      <c r="AQ171" s="10">
        <f>'A) Base RI'!AK171</f>
        <v>0</v>
      </c>
      <c r="AR171" s="10">
        <f>'A) Base RI'!AN171</f>
        <v>242</v>
      </c>
    </row>
    <row r="172" spans="1:44" x14ac:dyDescent="0.25">
      <c r="A172" s="8">
        <f>'A) Base RI'!A172</f>
        <v>5672</v>
      </c>
      <c r="B172" s="35" t="str">
        <f>'A) Base RI'!B172</f>
        <v>Forel-sur-Lucens</v>
      </c>
      <c r="C172" s="10">
        <f>'A) Base RI'!C172+'A) Base RI'!D172</f>
        <v>284491.34999999998</v>
      </c>
      <c r="D172" s="10">
        <f>'A) Base RI'!AO172</f>
        <v>-9702.68</v>
      </c>
      <c r="E172" s="34">
        <f>'A) Base RI'!AP172</f>
        <v>0</v>
      </c>
      <c r="F172" s="34">
        <f>'A) Base RI'!AQ172</f>
        <v>-0.37</v>
      </c>
      <c r="G172" s="2">
        <f t="shared" si="12"/>
        <v>274788.3</v>
      </c>
      <c r="H172" s="10">
        <f>'A) Base RI'!E172</f>
        <v>0</v>
      </c>
      <c r="I172" s="10">
        <f>'A) Base RI'!F172</f>
        <v>0</v>
      </c>
      <c r="J172" s="10">
        <f>'A) Base RI'!G172+'A) Base RI'!H172</f>
        <v>8037.25</v>
      </c>
      <c r="K172" s="10">
        <f>'A) Base RI'!I172</f>
        <v>0</v>
      </c>
      <c r="L172" s="10">
        <f>'A) Base RI'!J172</f>
        <v>4522.57</v>
      </c>
      <c r="M172" s="10">
        <f>'A) Base RI'!K172</f>
        <v>0</v>
      </c>
      <c r="N172" s="10">
        <f>'A) Base RI'!Q172</f>
        <v>3534.78</v>
      </c>
      <c r="O172" s="10">
        <f t="shared" si="13"/>
        <v>16344.8125</v>
      </c>
      <c r="P172" s="10">
        <f>'A) Base RI'!L172</f>
        <v>13075.85</v>
      </c>
      <c r="Q172" s="37">
        <f>'A) Base RI'!AR172</f>
        <v>0.8</v>
      </c>
      <c r="R172" s="2">
        <f t="shared" si="14"/>
        <v>307227.71250000002</v>
      </c>
      <c r="S172" s="36">
        <f>'A) Base RI'!AM172</f>
        <v>75</v>
      </c>
      <c r="T172" s="2">
        <f t="shared" si="15"/>
        <v>290882.90000000002</v>
      </c>
      <c r="U172" s="2">
        <f t="shared" si="16"/>
        <v>4096.3695000000007</v>
      </c>
      <c r="V172" s="10">
        <f>'A) Base RI'!O172</f>
        <v>0</v>
      </c>
      <c r="W172" s="10">
        <f>'A) Base RI'!P172</f>
        <v>2200</v>
      </c>
      <c r="X172" s="10">
        <f>'A) Base RI'!R172</f>
        <v>0</v>
      </c>
      <c r="Y172" s="2">
        <f t="shared" si="17"/>
        <v>2200</v>
      </c>
      <c r="Z172" s="10">
        <f>'A) Base RI'!N172</f>
        <v>0</v>
      </c>
      <c r="AA172" s="10">
        <f>'A) Base RI'!S172+'A) Base RI'!T172</f>
        <v>0</v>
      </c>
      <c r="AB172" s="10">
        <f>+'A) Base RI'!U172</f>
        <v>1012.5</v>
      </c>
      <c r="AC172" s="10">
        <f>'A) Base RI'!V172</f>
        <v>0</v>
      </c>
      <c r="AD172" s="10">
        <f>+'A) Base RI'!W172</f>
        <v>0</v>
      </c>
      <c r="AE172" s="10">
        <f>'A) Base RI'!Y172</f>
        <v>0</v>
      </c>
      <c r="AF172" s="10">
        <f>'A) Base RI'!Z172</f>
        <v>0</v>
      </c>
      <c r="AG172" s="10">
        <f>'A) Base RI'!AA172</f>
        <v>4620</v>
      </c>
      <c r="AH172" s="10">
        <f>'A) Base RI'!AB172</f>
        <v>0</v>
      </c>
      <c r="AI172" s="10">
        <f>'A) Base RI'!AC172</f>
        <v>6510</v>
      </c>
      <c r="AJ172" s="10">
        <f>'A) Base RI'!AD172</f>
        <v>7200</v>
      </c>
      <c r="AK172" s="10">
        <f>'A) Base RI'!AE172</f>
        <v>0</v>
      </c>
      <c r="AL172" s="10">
        <f>'A) Base RI'!AF172</f>
        <v>0</v>
      </c>
      <c r="AM172" s="10">
        <f>'A) Base RI'!AG172</f>
        <v>0</v>
      </c>
      <c r="AN172" s="10">
        <f>'A) Base RI'!AH172</f>
        <v>0</v>
      </c>
      <c r="AO172" s="10">
        <f>'A) Base RI'!AI172</f>
        <v>0</v>
      </c>
      <c r="AP172" s="10">
        <f>'A) Base RI'!AJ172</f>
        <v>0</v>
      </c>
      <c r="AQ172" s="10">
        <f>'A) Base RI'!AK172</f>
        <v>0</v>
      </c>
      <c r="AR172" s="10">
        <f>'A) Base RI'!AN172</f>
        <v>154</v>
      </c>
    </row>
    <row r="173" spans="1:44" x14ac:dyDescent="0.25">
      <c r="A173" s="8">
        <f>'A) Base RI'!A173</f>
        <v>5673</v>
      </c>
      <c r="B173" s="35" t="str">
        <f>'A) Base RI'!B173</f>
        <v>Hermenches</v>
      </c>
      <c r="C173" s="10">
        <f>'A) Base RI'!C173+'A) Base RI'!D173</f>
        <v>548671.70000000007</v>
      </c>
      <c r="D173" s="10">
        <f>'A) Base RI'!AO173</f>
        <v>-29358.080000000002</v>
      </c>
      <c r="E173" s="34">
        <f>'A) Base RI'!AP173</f>
        <v>0</v>
      </c>
      <c r="F173" s="34">
        <f>'A) Base RI'!AQ173</f>
        <v>-23.39</v>
      </c>
      <c r="G173" s="2">
        <f t="shared" si="12"/>
        <v>519290.23000000004</v>
      </c>
      <c r="H173" s="10">
        <f>'A) Base RI'!E173</f>
        <v>0</v>
      </c>
      <c r="I173" s="10">
        <f>'A) Base RI'!F173</f>
        <v>1960</v>
      </c>
      <c r="J173" s="10">
        <f>'A) Base RI'!G173+'A) Base RI'!H173</f>
        <v>787.5</v>
      </c>
      <c r="K173" s="10">
        <f>'A) Base RI'!I173</f>
        <v>0</v>
      </c>
      <c r="L173" s="10">
        <f>'A) Base RI'!J173</f>
        <v>8666.73</v>
      </c>
      <c r="M173" s="10">
        <f>'A) Base RI'!K173</f>
        <v>7.5</v>
      </c>
      <c r="N173" s="10">
        <f>'A) Base RI'!Q173</f>
        <v>15882.3</v>
      </c>
      <c r="O173" s="10">
        <f t="shared" si="13"/>
        <v>43905.666666666672</v>
      </c>
      <c r="P173" s="10">
        <f>'A) Base RI'!L173</f>
        <v>26343.4</v>
      </c>
      <c r="Q173" s="37">
        <f>'A) Base RI'!AR173</f>
        <v>0.6</v>
      </c>
      <c r="R173" s="2">
        <f t="shared" si="14"/>
        <v>590499.92666666675</v>
      </c>
      <c r="S173" s="36">
        <f>'A) Base RI'!AM173</f>
        <v>75</v>
      </c>
      <c r="T173" s="2">
        <f t="shared" si="15"/>
        <v>544626.76000000013</v>
      </c>
      <c r="U173" s="2">
        <f t="shared" si="16"/>
        <v>7873.3323555555571</v>
      </c>
      <c r="V173" s="10">
        <f>'A) Base RI'!O173</f>
        <v>0</v>
      </c>
      <c r="W173" s="10">
        <f>'A) Base RI'!P173</f>
        <v>9460</v>
      </c>
      <c r="X173" s="10">
        <f>'A) Base RI'!R173</f>
        <v>5558.15</v>
      </c>
      <c r="Y173" s="2">
        <f t="shared" si="17"/>
        <v>15018.15</v>
      </c>
      <c r="Z173" s="10">
        <f>'A) Base RI'!N173</f>
        <v>17541.400000000001</v>
      </c>
      <c r="AA173" s="10">
        <f>'A) Base RI'!S173+'A) Base RI'!T173</f>
        <v>0</v>
      </c>
      <c r="AB173" s="10">
        <f>+'A) Base RI'!U173</f>
        <v>1400</v>
      </c>
      <c r="AC173" s="10">
        <f>'A) Base RI'!V173</f>
        <v>0</v>
      </c>
      <c r="AD173" s="10">
        <f>+'A) Base RI'!W173</f>
        <v>0</v>
      </c>
      <c r="AE173" s="10">
        <f>'A) Base RI'!Y173</f>
        <v>7000</v>
      </c>
      <c r="AF173" s="10">
        <f>'A) Base RI'!Z173</f>
        <v>0</v>
      </c>
      <c r="AG173" s="10">
        <f>'A) Base RI'!AA173</f>
        <v>63966.65</v>
      </c>
      <c r="AH173" s="10">
        <f>'A) Base RI'!AB173</f>
        <v>0</v>
      </c>
      <c r="AI173" s="10">
        <f>'A) Base RI'!AC173</f>
        <v>23129.15</v>
      </c>
      <c r="AJ173" s="10">
        <f>'A) Base RI'!AD173</f>
        <v>5920</v>
      </c>
      <c r="AK173" s="10">
        <f>'A) Base RI'!AE173</f>
        <v>591.45000000000005</v>
      </c>
      <c r="AL173" s="10">
        <f>'A) Base RI'!AF173</f>
        <v>0</v>
      </c>
      <c r="AM173" s="10">
        <f>'A) Base RI'!AG173</f>
        <v>0</v>
      </c>
      <c r="AN173" s="10">
        <f>'A) Base RI'!AH173</f>
        <v>0</v>
      </c>
      <c r="AO173" s="10">
        <f>'A) Base RI'!AI173</f>
        <v>0</v>
      </c>
      <c r="AP173" s="10">
        <f>'A) Base RI'!AJ173</f>
        <v>0</v>
      </c>
      <c r="AQ173" s="10">
        <f>'A) Base RI'!AK173</f>
        <v>0</v>
      </c>
      <c r="AR173" s="10">
        <f>'A) Base RI'!AN173</f>
        <v>379</v>
      </c>
    </row>
    <row r="174" spans="1:44" x14ac:dyDescent="0.25">
      <c r="A174" s="8">
        <f>'A) Base RI'!A174</f>
        <v>5674</v>
      </c>
      <c r="B174" s="35" t="str">
        <f>'A) Base RI'!B174</f>
        <v>Lovatens</v>
      </c>
      <c r="C174" s="10">
        <f>'A) Base RI'!C174+'A) Base RI'!D174</f>
        <v>274628.15000000002</v>
      </c>
      <c r="D174" s="10">
        <f>'A) Base RI'!AO174</f>
        <v>0</v>
      </c>
      <c r="E174" s="34">
        <f>'A) Base RI'!AP174</f>
        <v>-12974.5</v>
      </c>
      <c r="F174" s="34">
        <f>'A) Base RI'!AQ174</f>
        <v>0</v>
      </c>
      <c r="G174" s="2">
        <f t="shared" si="12"/>
        <v>261653.65000000002</v>
      </c>
      <c r="H174" s="10">
        <f>'A) Base RI'!E174</f>
        <v>0</v>
      </c>
      <c r="I174" s="10">
        <f>'A) Base RI'!F174</f>
        <v>0</v>
      </c>
      <c r="J174" s="10">
        <f>'A) Base RI'!G174+'A) Base RI'!H174</f>
        <v>2237.35</v>
      </c>
      <c r="K174" s="10">
        <f>'A) Base RI'!I174</f>
        <v>0</v>
      </c>
      <c r="L174" s="10">
        <f>'A) Base RI'!J174</f>
        <v>3084.51</v>
      </c>
      <c r="M174" s="10">
        <f>'A) Base RI'!K174</f>
        <v>0</v>
      </c>
      <c r="N174" s="10">
        <f>'A) Base RI'!Q174</f>
        <v>0</v>
      </c>
      <c r="O174" s="10">
        <f t="shared" si="13"/>
        <v>16287.428571428574</v>
      </c>
      <c r="P174" s="10">
        <f>'A) Base RI'!L174</f>
        <v>11401.2</v>
      </c>
      <c r="Q174" s="37">
        <f>'A) Base RI'!AR174</f>
        <v>0.7</v>
      </c>
      <c r="R174" s="2">
        <f t="shared" si="14"/>
        <v>283262.93857142859</v>
      </c>
      <c r="S174" s="36">
        <f>'A) Base RI'!AM174</f>
        <v>75</v>
      </c>
      <c r="T174" s="2">
        <f t="shared" si="15"/>
        <v>266975.51</v>
      </c>
      <c r="U174" s="2">
        <f t="shared" si="16"/>
        <v>3776.8391809523814</v>
      </c>
      <c r="V174" s="10">
        <f>'A) Base RI'!O174</f>
        <v>55216.3</v>
      </c>
      <c r="W174" s="10">
        <f>'A) Base RI'!P174</f>
        <v>0</v>
      </c>
      <c r="X174" s="10">
        <f>'A) Base RI'!R174</f>
        <v>0</v>
      </c>
      <c r="Y174" s="2">
        <f t="shared" si="17"/>
        <v>55216.3</v>
      </c>
      <c r="Z174" s="10">
        <f>'A) Base RI'!N174</f>
        <v>0</v>
      </c>
      <c r="AA174" s="10">
        <f>'A) Base RI'!S174+'A) Base RI'!T174</f>
        <v>0</v>
      </c>
      <c r="AB174" s="10">
        <f>+'A) Base RI'!U174</f>
        <v>940</v>
      </c>
      <c r="AC174" s="10">
        <f>'A) Base RI'!V174</f>
        <v>151.44999999999999</v>
      </c>
      <c r="AD174" s="10">
        <f>+'A) Base RI'!W174</f>
        <v>0</v>
      </c>
      <c r="AE174" s="10">
        <f>'A) Base RI'!Y174</f>
        <v>0</v>
      </c>
      <c r="AF174" s="10">
        <f>'A) Base RI'!Z174</f>
        <v>7931.3</v>
      </c>
      <c r="AG174" s="10">
        <f>'A) Base RI'!AA174</f>
        <v>0</v>
      </c>
      <c r="AH174" s="10">
        <f>'A) Base RI'!AB174</f>
        <v>11346.4</v>
      </c>
      <c r="AI174" s="10">
        <f>'A) Base RI'!AC174</f>
        <v>0</v>
      </c>
      <c r="AJ174" s="10">
        <f>'A) Base RI'!AD174</f>
        <v>0</v>
      </c>
      <c r="AK174" s="10">
        <f>'A) Base RI'!AE174</f>
        <v>0</v>
      </c>
      <c r="AL174" s="10">
        <f>'A) Base RI'!AF174</f>
        <v>0</v>
      </c>
      <c r="AM174" s="10">
        <f>'A) Base RI'!AG174</f>
        <v>0</v>
      </c>
      <c r="AN174" s="10">
        <f>'A) Base RI'!AH174</f>
        <v>3452.35</v>
      </c>
      <c r="AO174" s="10">
        <f>'A) Base RI'!AI174</f>
        <v>0</v>
      </c>
      <c r="AP174" s="10">
        <f>'A) Base RI'!AJ174</f>
        <v>0</v>
      </c>
      <c r="AQ174" s="10">
        <f>'A) Base RI'!AK174</f>
        <v>0</v>
      </c>
      <c r="AR174" s="10">
        <f>'A) Base RI'!AN174</f>
        <v>143</v>
      </c>
    </row>
    <row r="175" spans="1:44" x14ac:dyDescent="0.25">
      <c r="A175" s="8">
        <f>'A) Base RI'!A175</f>
        <v>5675</v>
      </c>
      <c r="B175" s="35" t="str">
        <f>'A) Base RI'!B175</f>
        <v>Lucens</v>
      </c>
      <c r="C175" s="10">
        <f>'A) Base RI'!C175+'A) Base RI'!D175</f>
        <v>3796681.45</v>
      </c>
      <c r="D175" s="10">
        <f>'A) Base RI'!AO175</f>
        <v>-206215.88</v>
      </c>
      <c r="E175" s="34">
        <f>'A) Base RI'!AP175</f>
        <v>0</v>
      </c>
      <c r="F175" s="34">
        <f>'A) Base RI'!AQ175</f>
        <v>-565.05999999999995</v>
      </c>
      <c r="G175" s="2">
        <f t="shared" si="12"/>
        <v>3589900.5100000002</v>
      </c>
      <c r="H175" s="10">
        <f>'A) Base RI'!E175</f>
        <v>0</v>
      </c>
      <c r="I175" s="10">
        <f>'A) Base RI'!F175</f>
        <v>0</v>
      </c>
      <c r="J175" s="10">
        <f>'A) Base RI'!G175+'A) Base RI'!H175</f>
        <v>706351.4</v>
      </c>
      <c r="K175" s="10">
        <f>'A) Base RI'!I175</f>
        <v>0</v>
      </c>
      <c r="L175" s="10">
        <f>'A) Base RI'!J175</f>
        <v>289852.40000000002</v>
      </c>
      <c r="M175" s="10">
        <f>'A) Base RI'!K175</f>
        <v>18872.5</v>
      </c>
      <c r="N175" s="10">
        <f>'A) Base RI'!Q175</f>
        <v>31675.55</v>
      </c>
      <c r="O175" s="10">
        <f t="shared" si="13"/>
        <v>477007.63636363635</v>
      </c>
      <c r="P175" s="10">
        <f>'A) Base RI'!L175</f>
        <v>524708.4</v>
      </c>
      <c r="Q175" s="37">
        <f>'A) Base RI'!AR175</f>
        <v>1.1000000000000001</v>
      </c>
      <c r="R175" s="2">
        <f t="shared" si="14"/>
        <v>5113659.996363637</v>
      </c>
      <c r="S175" s="36">
        <f>'A) Base RI'!AM175</f>
        <v>66</v>
      </c>
      <c r="T175" s="2">
        <f t="shared" si="15"/>
        <v>4617779.8600000003</v>
      </c>
      <c r="U175" s="2">
        <f t="shared" si="16"/>
        <v>77479.696914600558</v>
      </c>
      <c r="V175" s="10">
        <f>'A) Base RI'!O175</f>
        <v>37641.300000000003</v>
      </c>
      <c r="W175" s="10">
        <f>'A) Base RI'!P175</f>
        <v>188260.65</v>
      </c>
      <c r="X175" s="10">
        <f>'A) Base RI'!R175</f>
        <v>125606.85</v>
      </c>
      <c r="Y175" s="2">
        <f t="shared" si="17"/>
        <v>351508.80000000005</v>
      </c>
      <c r="Z175" s="10">
        <f>'A) Base RI'!N175</f>
        <v>31958.400000000001</v>
      </c>
      <c r="AA175" s="10">
        <f>'A) Base RI'!S175+'A) Base RI'!T175</f>
        <v>15196.55</v>
      </c>
      <c r="AB175" s="10">
        <f>+'A) Base RI'!U175</f>
        <v>22200</v>
      </c>
      <c r="AC175" s="10">
        <f>'A) Base RI'!V175</f>
        <v>425</v>
      </c>
      <c r="AD175" s="10">
        <f>+'A) Base RI'!W175</f>
        <v>0</v>
      </c>
      <c r="AE175" s="10">
        <f>'A) Base RI'!Y175</f>
        <v>188030.85</v>
      </c>
      <c r="AF175" s="10">
        <f>'A) Base RI'!Z175</f>
        <v>0</v>
      </c>
      <c r="AG175" s="10">
        <f>'A) Base RI'!AA175</f>
        <v>226204.45</v>
      </c>
      <c r="AH175" s="10">
        <f>'A) Base RI'!AB175</f>
        <v>0</v>
      </c>
      <c r="AI175" s="10">
        <f>'A) Base RI'!AC175</f>
        <v>349288.56</v>
      </c>
      <c r="AJ175" s="10">
        <f>'A) Base RI'!AD175</f>
        <v>113334.05</v>
      </c>
      <c r="AK175" s="10">
        <f>'A) Base RI'!AE175</f>
        <v>0</v>
      </c>
      <c r="AL175" s="10">
        <f>'A) Base RI'!AF175</f>
        <v>0</v>
      </c>
      <c r="AM175" s="10">
        <f>'A) Base RI'!AG175</f>
        <v>0</v>
      </c>
      <c r="AN175" s="10">
        <f>'A) Base RI'!AH175</f>
        <v>381100</v>
      </c>
      <c r="AO175" s="10">
        <f>'A) Base RI'!AI175</f>
        <v>0</v>
      </c>
      <c r="AP175" s="10">
        <f>'A) Base RI'!AJ175</f>
        <v>0</v>
      </c>
      <c r="AQ175" s="10">
        <f>'A) Base RI'!AK175</f>
        <v>0</v>
      </c>
      <c r="AR175" s="10">
        <f>'A) Base RI'!AN175</f>
        <v>3380</v>
      </c>
    </row>
    <row r="176" spans="1:44" x14ac:dyDescent="0.25">
      <c r="A176" s="8">
        <f>'A) Base RI'!A176</f>
        <v>5678</v>
      </c>
      <c r="B176" s="35" t="str">
        <f>'A) Base RI'!B176</f>
        <v>Moudon</v>
      </c>
      <c r="C176" s="10">
        <f>'A) Base RI'!C176+'A) Base RI'!D176</f>
        <v>7345659.0199999996</v>
      </c>
      <c r="D176" s="10">
        <f>'A) Base RI'!AO176</f>
        <v>-433206.72</v>
      </c>
      <c r="E176" s="34">
        <f>'A) Base RI'!AP176</f>
        <v>0</v>
      </c>
      <c r="F176" s="34">
        <f>'A) Base RI'!AQ176</f>
        <v>-287.72000000000003</v>
      </c>
      <c r="G176" s="2">
        <f t="shared" si="12"/>
        <v>6912164.5800000001</v>
      </c>
      <c r="H176" s="10">
        <f>'A) Base RI'!E176</f>
        <v>0</v>
      </c>
      <c r="I176" s="10">
        <f>'A) Base RI'!F176</f>
        <v>31651.95</v>
      </c>
      <c r="J176" s="10">
        <f>'A) Base RI'!G176+'A) Base RI'!H176</f>
        <v>891239.54999999993</v>
      </c>
      <c r="K176" s="10">
        <f>'A) Base RI'!I176</f>
        <v>0</v>
      </c>
      <c r="L176" s="10">
        <f>'A) Base RI'!J176</f>
        <v>539477.31999999995</v>
      </c>
      <c r="M176" s="10">
        <f>'A) Base RI'!K176</f>
        <v>43408.5</v>
      </c>
      <c r="N176" s="10">
        <f>'A) Base RI'!Q176</f>
        <v>92575.84</v>
      </c>
      <c r="O176" s="10">
        <f t="shared" si="13"/>
        <v>723218.05</v>
      </c>
      <c r="P176" s="10">
        <f>'A) Base RI'!L176</f>
        <v>723218.05</v>
      </c>
      <c r="Q176" s="37">
        <f>'A) Base RI'!AR176</f>
        <v>1</v>
      </c>
      <c r="R176" s="2">
        <f t="shared" si="14"/>
        <v>9233735.790000001</v>
      </c>
      <c r="S176" s="36">
        <f>'A) Base RI'!AM176</f>
        <v>75</v>
      </c>
      <c r="T176" s="2">
        <f t="shared" si="15"/>
        <v>8435457.290000001</v>
      </c>
      <c r="U176" s="2">
        <f t="shared" si="16"/>
        <v>123116.47720000001</v>
      </c>
      <c r="V176" s="10">
        <f>'A) Base RI'!O176</f>
        <v>164003.4</v>
      </c>
      <c r="W176" s="10">
        <f>'A) Base RI'!P176</f>
        <v>354202.6</v>
      </c>
      <c r="X176" s="10">
        <f>'A) Base RI'!R176</f>
        <v>180094.4</v>
      </c>
      <c r="Y176" s="2">
        <f t="shared" si="17"/>
        <v>698300.4</v>
      </c>
      <c r="Z176" s="10">
        <f>'A) Base RI'!N176</f>
        <v>174981.1</v>
      </c>
      <c r="AA176" s="10">
        <f>'A) Base RI'!S176+'A) Base RI'!T176</f>
        <v>58972.95</v>
      </c>
      <c r="AB176" s="10">
        <f>+'A) Base RI'!U176</f>
        <v>51420</v>
      </c>
      <c r="AC176" s="10">
        <f>'A) Base RI'!V176</f>
        <v>42803.65</v>
      </c>
      <c r="AD176" s="10">
        <f>+'A) Base RI'!W176</f>
        <v>2379</v>
      </c>
      <c r="AE176" s="10">
        <f>'A) Base RI'!Y176</f>
        <v>108317.4</v>
      </c>
      <c r="AF176" s="10">
        <f>'A) Base RI'!Z176</f>
        <v>0</v>
      </c>
      <c r="AG176" s="10">
        <f>'A) Base RI'!AA176</f>
        <v>872232.35</v>
      </c>
      <c r="AH176" s="10">
        <f>'A) Base RI'!AB176</f>
        <v>0</v>
      </c>
      <c r="AI176" s="10">
        <f>'A) Base RI'!AC176</f>
        <v>622870.9</v>
      </c>
      <c r="AJ176" s="10">
        <f>'A) Base RI'!AD176</f>
        <v>54896.7</v>
      </c>
      <c r="AK176" s="10">
        <f>'A) Base RI'!AE176</f>
        <v>0</v>
      </c>
      <c r="AL176" s="10">
        <f>'A) Base RI'!AF176</f>
        <v>0</v>
      </c>
      <c r="AM176" s="10">
        <f>'A) Base RI'!AG176</f>
        <v>5399.8</v>
      </c>
      <c r="AN176" s="10">
        <f>'A) Base RI'!AH176</f>
        <v>213893.6</v>
      </c>
      <c r="AO176" s="10">
        <f>'A) Base RI'!AI176</f>
        <v>0</v>
      </c>
      <c r="AP176" s="10">
        <f>'A) Base RI'!AJ176</f>
        <v>0</v>
      </c>
      <c r="AQ176" s="10">
        <f>'A) Base RI'!AK176</f>
        <v>0</v>
      </c>
      <c r="AR176" s="10">
        <f>'A) Base RI'!AN176</f>
        <v>6003</v>
      </c>
    </row>
    <row r="177" spans="1:44" x14ac:dyDescent="0.25">
      <c r="A177" s="8">
        <f>'A) Base RI'!A177</f>
        <v>5680</v>
      </c>
      <c r="B177" s="35" t="str">
        <f>'A) Base RI'!B177</f>
        <v>Ogens</v>
      </c>
      <c r="C177" s="10">
        <f>'A) Base RI'!C177+'A) Base RI'!D177</f>
        <v>609381.82000000007</v>
      </c>
      <c r="D177" s="10">
        <f>'A) Base RI'!AO177</f>
        <v>-82.1</v>
      </c>
      <c r="E177" s="34">
        <f>'A) Base RI'!AP177</f>
        <v>0</v>
      </c>
      <c r="F177" s="34">
        <f>'A) Base RI'!AQ177</f>
        <v>-2.56</v>
      </c>
      <c r="G177" s="2">
        <f t="shared" si="12"/>
        <v>609297.16</v>
      </c>
      <c r="H177" s="10">
        <f>'A) Base RI'!E177</f>
        <v>0</v>
      </c>
      <c r="I177" s="10">
        <f>'A) Base RI'!F177</f>
        <v>0</v>
      </c>
      <c r="J177" s="10">
        <f>'A) Base RI'!G177+'A) Base RI'!H177</f>
        <v>8692.9500000000007</v>
      </c>
      <c r="K177" s="10">
        <f>'A) Base RI'!I177</f>
        <v>0</v>
      </c>
      <c r="L177" s="10">
        <f>'A) Base RI'!J177</f>
        <v>8369.33</v>
      </c>
      <c r="M177" s="10">
        <f>'A) Base RI'!K177</f>
        <v>55</v>
      </c>
      <c r="N177" s="10">
        <f>'A) Base RI'!Q177</f>
        <v>0</v>
      </c>
      <c r="O177" s="10">
        <f t="shared" si="13"/>
        <v>36924.76666666667</v>
      </c>
      <c r="P177" s="10">
        <f>'A) Base RI'!L177</f>
        <v>55387.15</v>
      </c>
      <c r="Q177" s="37">
        <f>'A) Base RI'!AR177</f>
        <v>1.5</v>
      </c>
      <c r="R177" s="2">
        <f t="shared" si="14"/>
        <v>663339.20666666667</v>
      </c>
      <c r="S177" s="36">
        <f>'A) Base RI'!AM177</f>
        <v>78</v>
      </c>
      <c r="T177" s="2">
        <f t="shared" si="15"/>
        <v>626359.43999999994</v>
      </c>
      <c r="U177" s="2">
        <f t="shared" si="16"/>
        <v>8504.3488034188031</v>
      </c>
      <c r="V177" s="10">
        <f>'A) Base RI'!O177</f>
        <v>1500</v>
      </c>
      <c r="W177" s="10">
        <f>'A) Base RI'!P177</f>
        <v>15439.9</v>
      </c>
      <c r="X177" s="10">
        <f>'A) Base RI'!R177</f>
        <v>22530.05</v>
      </c>
      <c r="Y177" s="2">
        <f t="shared" si="17"/>
        <v>39469.949999999997</v>
      </c>
      <c r="Z177" s="10">
        <f>'A) Base RI'!N177</f>
        <v>0</v>
      </c>
      <c r="AA177" s="10">
        <f>'A) Base RI'!S177+'A) Base RI'!T177</f>
        <v>30</v>
      </c>
      <c r="AB177" s="10">
        <f>+'A) Base RI'!U177</f>
        <v>2300</v>
      </c>
      <c r="AC177" s="10">
        <f>'A) Base RI'!V177</f>
        <v>0</v>
      </c>
      <c r="AD177" s="10">
        <f>+'A) Base RI'!W177</f>
        <v>0</v>
      </c>
      <c r="AE177" s="10">
        <f>'A) Base RI'!Y177</f>
        <v>27000</v>
      </c>
      <c r="AF177" s="10">
        <f>'A) Base RI'!Z177</f>
        <v>0</v>
      </c>
      <c r="AG177" s="10">
        <f>'A) Base RI'!AA177</f>
        <v>34189.949999999997</v>
      </c>
      <c r="AH177" s="10">
        <f>'A) Base RI'!AB177</f>
        <v>0</v>
      </c>
      <c r="AI177" s="10">
        <f>'A) Base RI'!AC177</f>
        <v>13256.5</v>
      </c>
      <c r="AJ177" s="10">
        <f>'A) Base RI'!AD177</f>
        <v>10000</v>
      </c>
      <c r="AK177" s="10">
        <f>'A) Base RI'!AE177</f>
        <v>0</v>
      </c>
      <c r="AL177" s="10">
        <f>'A) Base RI'!AF177</f>
        <v>0</v>
      </c>
      <c r="AM177" s="10">
        <f>'A) Base RI'!AG177</f>
        <v>0</v>
      </c>
      <c r="AN177" s="10">
        <f>'A) Base RI'!AH177</f>
        <v>6389.5</v>
      </c>
      <c r="AO177" s="10">
        <f>'A) Base RI'!AI177</f>
        <v>0</v>
      </c>
      <c r="AP177" s="10">
        <f>'A) Base RI'!AJ177</f>
        <v>0</v>
      </c>
      <c r="AQ177" s="10">
        <f>'A) Base RI'!AK177</f>
        <v>0</v>
      </c>
      <c r="AR177" s="10">
        <f>'A) Base RI'!AN177</f>
        <v>296</v>
      </c>
    </row>
    <row r="178" spans="1:44" x14ac:dyDescent="0.25">
      <c r="A178" s="8">
        <f>'A) Base RI'!A178</f>
        <v>5683</v>
      </c>
      <c r="B178" s="35" t="str">
        <f>'A) Base RI'!B178</f>
        <v>Prévonloup</v>
      </c>
      <c r="C178" s="10">
        <f>'A) Base RI'!C178+'A) Base RI'!D178</f>
        <v>239620.28999999998</v>
      </c>
      <c r="D178" s="10">
        <f>'A) Base RI'!AO178</f>
        <v>-8505.93</v>
      </c>
      <c r="E178" s="34">
        <f>'A) Base RI'!AP178</f>
        <v>0</v>
      </c>
      <c r="F178" s="34">
        <f>'A) Base RI'!AQ178</f>
        <v>0</v>
      </c>
      <c r="G178" s="2">
        <f t="shared" si="12"/>
        <v>231114.36</v>
      </c>
      <c r="H178" s="10">
        <f>'A) Base RI'!E178</f>
        <v>0</v>
      </c>
      <c r="I178" s="10">
        <f>'A) Base RI'!F178</f>
        <v>0</v>
      </c>
      <c r="J178" s="10">
        <f>'A) Base RI'!G178+'A) Base RI'!H178</f>
        <v>32581.7</v>
      </c>
      <c r="K178" s="10">
        <f>'A) Base RI'!I178</f>
        <v>0</v>
      </c>
      <c r="L178" s="10">
        <f>'A) Base RI'!J178</f>
        <v>16591.48</v>
      </c>
      <c r="M178" s="10">
        <f>'A) Base RI'!K178</f>
        <v>93</v>
      </c>
      <c r="N178" s="10">
        <f>'A) Base RI'!Q178</f>
        <v>2938.48</v>
      </c>
      <c r="O178" s="10">
        <f t="shared" si="13"/>
        <v>22195.05</v>
      </c>
      <c r="P178" s="10">
        <f>'A) Base RI'!L178</f>
        <v>22195.05</v>
      </c>
      <c r="Q178" s="37">
        <f>'A) Base RI'!AR178</f>
        <v>1</v>
      </c>
      <c r="R178" s="2">
        <f t="shared" si="14"/>
        <v>305514.06999999995</v>
      </c>
      <c r="S178" s="36">
        <f>'A) Base RI'!AM178</f>
        <v>74</v>
      </c>
      <c r="T178" s="2">
        <f t="shared" si="15"/>
        <v>283226.01999999996</v>
      </c>
      <c r="U178" s="2">
        <f t="shared" si="16"/>
        <v>4128.5685135135127</v>
      </c>
      <c r="V178" s="10">
        <f>'A) Base RI'!O178</f>
        <v>0</v>
      </c>
      <c r="W178" s="10">
        <f>'A) Base RI'!P178</f>
        <v>0</v>
      </c>
      <c r="X178" s="10">
        <f>'A) Base RI'!R178</f>
        <v>0</v>
      </c>
      <c r="Y178" s="2">
        <f t="shared" si="17"/>
        <v>0</v>
      </c>
      <c r="Z178" s="10">
        <f>'A) Base RI'!N178</f>
        <v>0</v>
      </c>
      <c r="AA178" s="10">
        <f>'A) Base RI'!S178+'A) Base RI'!T178</f>
        <v>0</v>
      </c>
      <c r="AB178" s="10">
        <f>+'A) Base RI'!U178</f>
        <v>1200</v>
      </c>
      <c r="AC178" s="10">
        <f>'A) Base RI'!V178</f>
        <v>0</v>
      </c>
      <c r="AD178" s="10">
        <f>+'A) Base RI'!W178</f>
        <v>0</v>
      </c>
      <c r="AE178" s="10">
        <f>'A) Base RI'!Y178</f>
        <v>7500</v>
      </c>
      <c r="AF178" s="10">
        <f>'A) Base RI'!Z178</f>
        <v>0</v>
      </c>
      <c r="AG178" s="10">
        <f>'A) Base RI'!AA178</f>
        <v>9690.4</v>
      </c>
      <c r="AH178" s="10">
        <f>'A) Base RI'!AB178</f>
        <v>0</v>
      </c>
      <c r="AI178" s="10">
        <f>'A) Base RI'!AC178</f>
        <v>14525.75</v>
      </c>
      <c r="AJ178" s="10">
        <f>'A) Base RI'!AD178</f>
        <v>0</v>
      </c>
      <c r="AK178" s="10">
        <f>'A) Base RI'!AE178</f>
        <v>0</v>
      </c>
      <c r="AL178" s="10">
        <f>'A) Base RI'!AF178</f>
        <v>0</v>
      </c>
      <c r="AM178" s="10">
        <f>'A) Base RI'!AG178</f>
        <v>0</v>
      </c>
      <c r="AN178" s="10">
        <f>'A) Base RI'!AH178</f>
        <v>0</v>
      </c>
      <c r="AO178" s="10">
        <f>'A) Base RI'!AI178</f>
        <v>0</v>
      </c>
      <c r="AP178" s="10">
        <f>'A) Base RI'!AJ178</f>
        <v>0</v>
      </c>
      <c r="AQ178" s="10">
        <f>'A) Base RI'!AK178</f>
        <v>0</v>
      </c>
      <c r="AR178" s="10">
        <f>'A) Base RI'!AN178</f>
        <v>166</v>
      </c>
    </row>
    <row r="179" spans="1:44" x14ac:dyDescent="0.25">
      <c r="A179" s="8">
        <f>'A) Base RI'!A179</f>
        <v>5684</v>
      </c>
      <c r="B179" s="35" t="str">
        <f>'A) Base RI'!B179</f>
        <v>Rossenges</v>
      </c>
      <c r="C179" s="10">
        <f>'A) Base RI'!C179+'A) Base RI'!D179</f>
        <v>125614.25</v>
      </c>
      <c r="D179" s="10">
        <f>'A) Base RI'!AO179</f>
        <v>-5592.4</v>
      </c>
      <c r="E179" s="34">
        <f>'A) Base RI'!AP179</f>
        <v>0</v>
      </c>
      <c r="F179" s="34">
        <f>'A) Base RI'!AQ179</f>
        <v>-0.13</v>
      </c>
      <c r="G179" s="2">
        <f t="shared" si="12"/>
        <v>120021.72</v>
      </c>
      <c r="H179" s="10">
        <f>'A) Base RI'!E179</f>
        <v>0</v>
      </c>
      <c r="I179" s="10">
        <f>'A) Base RI'!F179</f>
        <v>0</v>
      </c>
      <c r="J179" s="10">
        <f>'A) Base RI'!G179+'A) Base RI'!H179</f>
        <v>-1557.1000000000001</v>
      </c>
      <c r="K179" s="10">
        <f>'A) Base RI'!I179</f>
        <v>0</v>
      </c>
      <c r="L179" s="10">
        <f>'A) Base RI'!J179</f>
        <v>0</v>
      </c>
      <c r="M179" s="10">
        <f>'A) Base RI'!K179</f>
        <v>0</v>
      </c>
      <c r="N179" s="10">
        <f>'A) Base RI'!Q179</f>
        <v>0</v>
      </c>
      <c r="O179" s="10">
        <f t="shared" si="13"/>
        <v>8732.5</v>
      </c>
      <c r="P179" s="10">
        <f>'A) Base RI'!L179</f>
        <v>6986</v>
      </c>
      <c r="Q179" s="37">
        <f>'A) Base RI'!AR179</f>
        <v>0.8</v>
      </c>
      <c r="R179" s="2">
        <f t="shared" si="14"/>
        <v>127197.12</v>
      </c>
      <c r="S179" s="36">
        <f>'A) Base RI'!AM179</f>
        <v>60</v>
      </c>
      <c r="T179" s="2">
        <f t="shared" si="15"/>
        <v>118464.62</v>
      </c>
      <c r="U179" s="2">
        <f t="shared" si="16"/>
        <v>2119.9519999999998</v>
      </c>
      <c r="V179" s="10">
        <f>'A) Base RI'!O179</f>
        <v>0</v>
      </c>
      <c r="W179" s="10">
        <f>'A) Base RI'!P179</f>
        <v>0</v>
      </c>
      <c r="X179" s="10">
        <f>'A) Base RI'!R179</f>
        <v>0</v>
      </c>
      <c r="Y179" s="2">
        <f t="shared" si="17"/>
        <v>0</v>
      </c>
      <c r="Z179" s="10">
        <f>'A) Base RI'!N179</f>
        <v>0</v>
      </c>
      <c r="AA179" s="10">
        <f>'A) Base RI'!S179+'A) Base RI'!T179</f>
        <v>0</v>
      </c>
      <c r="AB179" s="10">
        <f>+'A) Base RI'!U179</f>
        <v>0</v>
      </c>
      <c r="AC179" s="10">
        <f>'A) Base RI'!V179</f>
        <v>0</v>
      </c>
      <c r="AD179" s="10">
        <f>+'A) Base RI'!W179</f>
        <v>0</v>
      </c>
      <c r="AE179" s="10">
        <f>'A) Base RI'!Y179</f>
        <v>0</v>
      </c>
      <c r="AF179" s="10">
        <f>'A) Base RI'!Z179</f>
        <v>0</v>
      </c>
      <c r="AG179" s="10">
        <f>'A) Base RI'!AA179</f>
        <v>3497</v>
      </c>
      <c r="AH179" s="10">
        <f>'A) Base RI'!AB179</f>
        <v>0</v>
      </c>
      <c r="AI179" s="10">
        <f>'A) Base RI'!AC179</f>
        <v>0</v>
      </c>
      <c r="AJ179" s="10">
        <f>'A) Base RI'!AD179</f>
        <v>0</v>
      </c>
      <c r="AK179" s="10">
        <f>'A) Base RI'!AE179</f>
        <v>0</v>
      </c>
      <c r="AL179" s="10">
        <f>'A) Base RI'!AF179</f>
        <v>0</v>
      </c>
      <c r="AM179" s="10">
        <f>'A) Base RI'!AG179</f>
        <v>0</v>
      </c>
      <c r="AN179" s="10">
        <f>'A) Base RI'!AH179</f>
        <v>0</v>
      </c>
      <c r="AO179" s="10">
        <f>'A) Base RI'!AI179</f>
        <v>0</v>
      </c>
      <c r="AP179" s="10">
        <f>'A) Base RI'!AJ179</f>
        <v>0</v>
      </c>
      <c r="AQ179" s="10">
        <f>'A) Base RI'!AK179</f>
        <v>0</v>
      </c>
      <c r="AR179" s="10">
        <f>'A) Base RI'!AN179</f>
        <v>60</v>
      </c>
    </row>
    <row r="180" spans="1:44" x14ac:dyDescent="0.25">
      <c r="A180" s="8">
        <f>'A) Base RI'!A180</f>
        <v>5686</v>
      </c>
      <c r="B180" s="35" t="str">
        <f>'A) Base RI'!B180</f>
        <v>Sarzens</v>
      </c>
      <c r="C180" s="10">
        <f>'A) Base RI'!C180+'A) Base RI'!D180</f>
        <v>178361.2</v>
      </c>
      <c r="D180" s="10">
        <f>'A) Base RI'!AO180</f>
        <v>-73809.05</v>
      </c>
      <c r="E180" s="34">
        <f>'A) Base RI'!AP180</f>
        <v>0</v>
      </c>
      <c r="F180" s="34">
        <f>'A) Base RI'!AQ180</f>
        <v>0</v>
      </c>
      <c r="G180" s="2">
        <f t="shared" si="12"/>
        <v>104552.15000000001</v>
      </c>
      <c r="H180" s="10">
        <f>'A) Base RI'!E180</f>
        <v>0</v>
      </c>
      <c r="I180" s="10">
        <f>'A) Base RI'!F180</f>
        <v>0</v>
      </c>
      <c r="J180" s="10">
        <f>'A) Base RI'!G180+'A) Base RI'!H180</f>
        <v>8459.5</v>
      </c>
      <c r="K180" s="10">
        <f>'A) Base RI'!I180</f>
        <v>0</v>
      </c>
      <c r="L180" s="10">
        <f>'A) Base RI'!J180</f>
        <v>457.51</v>
      </c>
      <c r="M180" s="10">
        <f>'A) Base RI'!K180</f>
        <v>0</v>
      </c>
      <c r="N180" s="10">
        <f>'A) Base RI'!Q180</f>
        <v>0</v>
      </c>
      <c r="O180" s="10">
        <f t="shared" si="13"/>
        <v>10725.75</v>
      </c>
      <c r="P180" s="10">
        <f>'A) Base RI'!L180</f>
        <v>10725.75</v>
      </c>
      <c r="Q180" s="37">
        <f>'A) Base RI'!AR180</f>
        <v>1</v>
      </c>
      <c r="R180" s="2">
        <f t="shared" si="14"/>
        <v>124194.91</v>
      </c>
      <c r="S180" s="36">
        <f>'A) Base RI'!AM180</f>
        <v>74</v>
      </c>
      <c r="T180" s="2">
        <f t="shared" si="15"/>
        <v>113469.16</v>
      </c>
      <c r="U180" s="2">
        <f t="shared" si="16"/>
        <v>1678.3095945945947</v>
      </c>
      <c r="V180" s="10">
        <f>'A) Base RI'!O180</f>
        <v>0</v>
      </c>
      <c r="W180" s="10">
        <f>'A) Base RI'!P180</f>
        <v>12326.9</v>
      </c>
      <c r="X180" s="10">
        <f>'A) Base RI'!R180</f>
        <v>0</v>
      </c>
      <c r="Y180" s="2">
        <f t="shared" si="17"/>
        <v>12326.9</v>
      </c>
      <c r="Z180" s="10">
        <f>'A) Base RI'!N180</f>
        <v>0</v>
      </c>
      <c r="AA180" s="10">
        <f>'A) Base RI'!S180+'A) Base RI'!T180</f>
        <v>0</v>
      </c>
      <c r="AB180" s="10">
        <f>+'A) Base RI'!U180</f>
        <v>125</v>
      </c>
      <c r="AC180" s="10">
        <f>'A) Base RI'!V180</f>
        <v>0</v>
      </c>
      <c r="AD180" s="10">
        <f>+'A) Base RI'!W180</f>
        <v>0</v>
      </c>
      <c r="AE180" s="10">
        <f>'A) Base RI'!Y180</f>
        <v>0</v>
      </c>
      <c r="AF180" s="10">
        <f>'A) Base RI'!Z180</f>
        <v>0</v>
      </c>
      <c r="AG180" s="10">
        <f>'A) Base RI'!AA180</f>
        <v>3710.2</v>
      </c>
      <c r="AH180" s="10">
        <f>'A) Base RI'!AB180</f>
        <v>0</v>
      </c>
      <c r="AI180" s="10">
        <f>'A) Base RI'!AC180</f>
        <v>7806.55</v>
      </c>
      <c r="AJ180" s="10">
        <f>'A) Base RI'!AD180</f>
        <v>0</v>
      </c>
      <c r="AK180" s="10">
        <f>'A) Base RI'!AE180</f>
        <v>0</v>
      </c>
      <c r="AL180" s="10">
        <f>'A) Base RI'!AF180</f>
        <v>0</v>
      </c>
      <c r="AM180" s="10">
        <f>'A) Base RI'!AG180</f>
        <v>0</v>
      </c>
      <c r="AN180" s="10">
        <f>'A) Base RI'!AH180</f>
        <v>2463.35</v>
      </c>
      <c r="AO180" s="10">
        <f>'A) Base RI'!AI180</f>
        <v>0</v>
      </c>
      <c r="AP180" s="10">
        <f>'A) Base RI'!AJ180</f>
        <v>0</v>
      </c>
      <c r="AQ180" s="10">
        <f>'A) Base RI'!AK180</f>
        <v>0</v>
      </c>
      <c r="AR180" s="10">
        <f>'A) Base RI'!AN180</f>
        <v>82</v>
      </c>
    </row>
    <row r="181" spans="1:44" x14ac:dyDescent="0.25">
      <c r="A181" s="8">
        <f>'A) Base RI'!A181</f>
        <v>5688</v>
      </c>
      <c r="B181" s="35" t="str">
        <f>'A) Base RI'!B181</f>
        <v>Syens</v>
      </c>
      <c r="C181" s="10">
        <f>'A) Base RI'!C181+'A) Base RI'!D181</f>
        <v>340285.44</v>
      </c>
      <c r="D181" s="10">
        <f>'A) Base RI'!AO181</f>
        <v>-2149.25</v>
      </c>
      <c r="E181" s="34">
        <f>'A) Base RI'!AP181</f>
        <v>0</v>
      </c>
      <c r="F181" s="34">
        <f>'A) Base RI'!AQ181</f>
        <v>0</v>
      </c>
      <c r="G181" s="2">
        <f t="shared" si="12"/>
        <v>338136.19</v>
      </c>
      <c r="H181" s="10">
        <f>'A) Base RI'!E181</f>
        <v>0</v>
      </c>
      <c r="I181" s="10">
        <f>'A) Base RI'!F181</f>
        <v>0</v>
      </c>
      <c r="J181" s="10">
        <f>'A) Base RI'!G181+'A) Base RI'!H181</f>
        <v>-5534.75</v>
      </c>
      <c r="K181" s="10">
        <f>'A) Base RI'!I181</f>
        <v>0</v>
      </c>
      <c r="L181" s="10">
        <f>'A) Base RI'!J181</f>
        <v>12693.46</v>
      </c>
      <c r="M181" s="10">
        <f>'A) Base RI'!K181</f>
        <v>0</v>
      </c>
      <c r="N181" s="10">
        <f>'A) Base RI'!Q181</f>
        <v>0</v>
      </c>
      <c r="O181" s="10">
        <f t="shared" si="13"/>
        <v>21017.4</v>
      </c>
      <c r="P181" s="10">
        <f>'A) Base RI'!L181</f>
        <v>21017.4</v>
      </c>
      <c r="Q181" s="37">
        <f>'A) Base RI'!AR181</f>
        <v>1</v>
      </c>
      <c r="R181" s="2">
        <f t="shared" si="14"/>
        <v>366312.30000000005</v>
      </c>
      <c r="S181" s="36">
        <f>'A) Base RI'!AM181</f>
        <v>75.599999999999994</v>
      </c>
      <c r="T181" s="2">
        <f t="shared" si="15"/>
        <v>345294.9</v>
      </c>
      <c r="U181" s="2">
        <f t="shared" si="16"/>
        <v>4845.4007936507942</v>
      </c>
      <c r="V181" s="10">
        <f>'A) Base RI'!O181</f>
        <v>238.2</v>
      </c>
      <c r="W181" s="10">
        <f>'A) Base RI'!P181</f>
        <v>42282.75</v>
      </c>
      <c r="X181" s="10">
        <f>'A) Base RI'!R181</f>
        <v>515.79999999999995</v>
      </c>
      <c r="Y181" s="2">
        <f t="shared" si="17"/>
        <v>43036.75</v>
      </c>
      <c r="Z181" s="10">
        <f>'A) Base RI'!N181</f>
        <v>115.75</v>
      </c>
      <c r="AA181" s="10">
        <f>'A) Base RI'!S181+'A) Base RI'!T181</f>
        <v>0</v>
      </c>
      <c r="AB181" s="10">
        <f>+'A) Base RI'!U181</f>
        <v>460</v>
      </c>
      <c r="AC181" s="10">
        <f>'A) Base RI'!V181</f>
        <v>0</v>
      </c>
      <c r="AD181" s="10">
        <f>+'A) Base RI'!W181</f>
        <v>0</v>
      </c>
      <c r="AE181" s="10">
        <f>'A) Base RI'!Y181</f>
        <v>14800</v>
      </c>
      <c r="AF181" s="10">
        <f>'A) Base RI'!Z181</f>
        <v>0</v>
      </c>
      <c r="AG181" s="10">
        <f>'A) Base RI'!AA181</f>
        <v>7722</v>
      </c>
      <c r="AH181" s="10">
        <f>'A) Base RI'!AB181</f>
        <v>0</v>
      </c>
      <c r="AI181" s="10">
        <f>'A) Base RI'!AC181</f>
        <v>14401</v>
      </c>
      <c r="AJ181" s="10">
        <f>'A) Base RI'!AD181</f>
        <v>0</v>
      </c>
      <c r="AK181" s="10">
        <f>'A) Base RI'!AE181</f>
        <v>0</v>
      </c>
      <c r="AL181" s="10">
        <f>'A) Base RI'!AF181</f>
        <v>0</v>
      </c>
      <c r="AM181" s="10">
        <f>'A) Base RI'!AG181</f>
        <v>0</v>
      </c>
      <c r="AN181" s="10">
        <f>'A) Base RI'!AH181</f>
        <v>0</v>
      </c>
      <c r="AO181" s="10">
        <f>'A) Base RI'!AI181</f>
        <v>0</v>
      </c>
      <c r="AP181" s="10">
        <f>'A) Base RI'!AJ181</f>
        <v>0</v>
      </c>
      <c r="AQ181" s="10">
        <f>'A) Base RI'!AK181</f>
        <v>0</v>
      </c>
      <c r="AR181" s="10">
        <f>'A) Base RI'!AN181</f>
        <v>145</v>
      </c>
    </row>
    <row r="182" spans="1:44" x14ac:dyDescent="0.25">
      <c r="A182" s="8">
        <f>'A) Base RI'!A182</f>
        <v>5690</v>
      </c>
      <c r="B182" s="35" t="str">
        <f>'A) Base RI'!B182</f>
        <v>Villars-le-Comte</v>
      </c>
      <c r="C182" s="10">
        <f>'A) Base RI'!C182+'A) Base RI'!D182</f>
        <v>229836.87999999998</v>
      </c>
      <c r="D182" s="10">
        <f>'A) Base RI'!AO182</f>
        <v>-3631.78</v>
      </c>
      <c r="E182" s="34">
        <f>'A) Base RI'!AP182</f>
        <v>0</v>
      </c>
      <c r="F182" s="34">
        <f>'A) Base RI'!AQ182</f>
        <v>0</v>
      </c>
      <c r="G182" s="2">
        <f t="shared" si="12"/>
        <v>226205.09999999998</v>
      </c>
      <c r="H182" s="10">
        <f>'A) Base RI'!E182</f>
        <v>0</v>
      </c>
      <c r="I182" s="10">
        <f>'A) Base RI'!F182</f>
        <v>900</v>
      </c>
      <c r="J182" s="10">
        <f>'A) Base RI'!G182+'A) Base RI'!H182</f>
        <v>1017.75</v>
      </c>
      <c r="K182" s="10">
        <f>'A) Base RI'!I182</f>
        <v>0</v>
      </c>
      <c r="L182" s="10">
        <f>'A) Base RI'!J182</f>
        <v>8.02</v>
      </c>
      <c r="M182" s="10">
        <f>'A) Base RI'!K182</f>
        <v>184</v>
      </c>
      <c r="N182" s="10">
        <f>'A) Base RI'!Q182</f>
        <v>0</v>
      </c>
      <c r="O182" s="10">
        <f t="shared" si="13"/>
        <v>18858.8</v>
      </c>
      <c r="P182" s="10">
        <f>'A) Base RI'!L182</f>
        <v>28288.2</v>
      </c>
      <c r="Q182" s="37">
        <f>'A) Base RI'!AR182</f>
        <v>1.5</v>
      </c>
      <c r="R182" s="2">
        <f t="shared" si="14"/>
        <v>247173.66999999995</v>
      </c>
      <c r="S182" s="36">
        <f>'A) Base RI'!AM182</f>
        <v>76</v>
      </c>
      <c r="T182" s="2">
        <f t="shared" si="15"/>
        <v>227230.86999999997</v>
      </c>
      <c r="U182" s="2">
        <f t="shared" si="16"/>
        <v>3252.2851315789467</v>
      </c>
      <c r="V182" s="10">
        <f>'A) Base RI'!O182</f>
        <v>0</v>
      </c>
      <c r="W182" s="10">
        <f>'A) Base RI'!P182</f>
        <v>1017.3</v>
      </c>
      <c r="X182" s="10">
        <f>'A) Base RI'!R182</f>
        <v>1728.95</v>
      </c>
      <c r="Y182" s="2">
        <f t="shared" si="17"/>
        <v>2746.25</v>
      </c>
      <c r="Z182" s="10">
        <f>'A) Base RI'!N182</f>
        <v>0</v>
      </c>
      <c r="AA182" s="10">
        <f>'A) Base RI'!S182+'A) Base RI'!T182</f>
        <v>0</v>
      </c>
      <c r="AB182" s="10">
        <f>+'A) Base RI'!U182</f>
        <v>575</v>
      </c>
      <c r="AC182" s="10">
        <f>'A) Base RI'!V182</f>
        <v>0</v>
      </c>
      <c r="AD182" s="10">
        <f>+'A) Base RI'!W182</f>
        <v>0</v>
      </c>
      <c r="AE182" s="10">
        <f>'A) Base RI'!Y182</f>
        <v>2620</v>
      </c>
      <c r="AF182" s="10">
        <f>'A) Base RI'!Z182</f>
        <v>0</v>
      </c>
      <c r="AG182" s="10">
        <f>'A) Base RI'!AA182</f>
        <v>24777.200000000001</v>
      </c>
      <c r="AH182" s="10">
        <f>'A) Base RI'!AB182</f>
        <v>0</v>
      </c>
      <c r="AI182" s="10">
        <f>'A) Base RI'!AC182</f>
        <v>15093.6</v>
      </c>
      <c r="AJ182" s="10">
        <f>'A) Base RI'!AD182</f>
        <v>0</v>
      </c>
      <c r="AK182" s="10">
        <f>'A) Base RI'!AE182</f>
        <v>0</v>
      </c>
      <c r="AL182" s="10">
        <f>'A) Base RI'!AF182</f>
        <v>0</v>
      </c>
      <c r="AM182" s="10">
        <f>'A) Base RI'!AG182</f>
        <v>0</v>
      </c>
      <c r="AN182" s="10">
        <f>'A) Base RI'!AH182</f>
        <v>0</v>
      </c>
      <c r="AO182" s="10">
        <f>'A) Base RI'!AI182</f>
        <v>0</v>
      </c>
      <c r="AP182" s="10">
        <f>'A) Base RI'!AJ182</f>
        <v>0</v>
      </c>
      <c r="AQ182" s="10">
        <f>'A) Base RI'!AK182</f>
        <v>0</v>
      </c>
      <c r="AR182" s="10">
        <f>'A) Base RI'!AN182</f>
        <v>143</v>
      </c>
    </row>
    <row r="183" spans="1:44" x14ac:dyDescent="0.25">
      <c r="A183" s="8">
        <f>'A) Base RI'!A183</f>
        <v>5692</v>
      </c>
      <c r="B183" s="35" t="str">
        <f>'A) Base RI'!B183</f>
        <v>Vucherens</v>
      </c>
      <c r="C183" s="10">
        <f>'A) Base RI'!C183+'A) Base RI'!D183</f>
        <v>1234959.6000000001</v>
      </c>
      <c r="D183" s="10">
        <f>'A) Base RI'!AO183</f>
        <v>-11052.96</v>
      </c>
      <c r="E183" s="34">
        <f>'A) Base RI'!AP183</f>
        <v>0</v>
      </c>
      <c r="F183" s="34">
        <f>'A) Base RI'!AQ183</f>
        <v>0</v>
      </c>
      <c r="G183" s="2">
        <f t="shared" si="12"/>
        <v>1223906.6400000001</v>
      </c>
      <c r="H183" s="10">
        <f>'A) Base RI'!E183</f>
        <v>0</v>
      </c>
      <c r="I183" s="10">
        <f>'A) Base RI'!F183</f>
        <v>0</v>
      </c>
      <c r="J183" s="10">
        <f>'A) Base RI'!G183+'A) Base RI'!H183</f>
        <v>16167.55</v>
      </c>
      <c r="K183" s="10">
        <f>'A) Base RI'!I183</f>
        <v>0</v>
      </c>
      <c r="L183" s="10">
        <f>'A) Base RI'!J183</f>
        <v>6440.13</v>
      </c>
      <c r="M183" s="10">
        <f>'A) Base RI'!K183</f>
        <v>427.5</v>
      </c>
      <c r="N183" s="10">
        <f>'A) Base RI'!Q183</f>
        <v>10085.540000000001</v>
      </c>
      <c r="O183" s="10">
        <f t="shared" si="13"/>
        <v>85438</v>
      </c>
      <c r="P183" s="10">
        <f>'A) Base RI'!L183</f>
        <v>85438</v>
      </c>
      <c r="Q183" s="37">
        <f>'A) Base RI'!AR183</f>
        <v>1</v>
      </c>
      <c r="R183" s="2">
        <f t="shared" si="14"/>
        <v>1342465.36</v>
      </c>
      <c r="S183" s="36">
        <f>'A) Base RI'!AM183</f>
        <v>79</v>
      </c>
      <c r="T183" s="2">
        <f t="shared" si="15"/>
        <v>1256599.8600000001</v>
      </c>
      <c r="U183" s="2">
        <f t="shared" si="16"/>
        <v>16993.232405063292</v>
      </c>
      <c r="V183" s="10">
        <f>'A) Base RI'!O183</f>
        <v>109142.39999999999</v>
      </c>
      <c r="W183" s="10">
        <f>'A) Base RI'!P183</f>
        <v>17542.5</v>
      </c>
      <c r="X183" s="10">
        <f>'A) Base RI'!R183</f>
        <v>9543.15</v>
      </c>
      <c r="Y183" s="2">
        <f t="shared" si="17"/>
        <v>136228.04999999999</v>
      </c>
      <c r="Z183" s="10">
        <f>'A) Base RI'!N183</f>
        <v>5328.7</v>
      </c>
      <c r="AA183" s="10">
        <f>'A) Base RI'!S183+'A) Base RI'!T183</f>
        <v>555</v>
      </c>
      <c r="AB183" s="10">
        <f>+'A) Base RI'!U183</f>
        <v>5600</v>
      </c>
      <c r="AC183" s="10">
        <f>'A) Base RI'!V183</f>
        <v>0</v>
      </c>
      <c r="AD183" s="10">
        <f>+'A) Base RI'!W183</f>
        <v>0</v>
      </c>
      <c r="AE183" s="10">
        <f>'A) Base RI'!Y183</f>
        <v>43518</v>
      </c>
      <c r="AF183" s="10">
        <f>'A) Base RI'!Z183</f>
        <v>0</v>
      </c>
      <c r="AG183" s="10">
        <f>'A) Base RI'!AA183</f>
        <v>73823.399999999994</v>
      </c>
      <c r="AH183" s="10">
        <f>'A) Base RI'!AB183</f>
        <v>0</v>
      </c>
      <c r="AI183" s="10">
        <f>'A) Base RI'!AC183</f>
        <v>34113.199999999997</v>
      </c>
      <c r="AJ183" s="10">
        <f>'A) Base RI'!AD183</f>
        <v>37009.85</v>
      </c>
      <c r="AK183" s="10">
        <f>'A) Base RI'!AE183</f>
        <v>0</v>
      </c>
      <c r="AL183" s="10">
        <f>'A) Base RI'!AF183</f>
        <v>0</v>
      </c>
      <c r="AM183" s="10">
        <f>'A) Base RI'!AG183</f>
        <v>0</v>
      </c>
      <c r="AN183" s="10">
        <f>'A) Base RI'!AH183</f>
        <v>0</v>
      </c>
      <c r="AO183" s="10">
        <f>'A) Base RI'!AI183</f>
        <v>0</v>
      </c>
      <c r="AP183" s="10">
        <f>'A) Base RI'!AJ183</f>
        <v>9635.85</v>
      </c>
      <c r="AQ183" s="10">
        <f>'A) Base RI'!AK183</f>
        <v>0</v>
      </c>
      <c r="AR183" s="10">
        <f>'A) Base RI'!AN183</f>
        <v>557</v>
      </c>
    </row>
    <row r="184" spans="1:44" x14ac:dyDescent="0.25">
      <c r="A184" s="8">
        <f>'A) Base RI'!A184</f>
        <v>5693</v>
      </c>
      <c r="B184" s="35" t="str">
        <f>'A) Base RI'!B184</f>
        <v>Montanaire</v>
      </c>
      <c r="C184" s="10">
        <f>'A) Base RI'!C184+'A) Base RI'!D184</f>
        <v>4039374.1300000004</v>
      </c>
      <c r="D184" s="10">
        <f>'A) Base RI'!AO184</f>
        <v>-98426.97</v>
      </c>
      <c r="E184" s="34">
        <f>'A) Base RI'!AP184</f>
        <v>0</v>
      </c>
      <c r="F184" s="34">
        <f>'A) Base RI'!AQ184</f>
        <v>-154.87</v>
      </c>
      <c r="G184" s="2">
        <f t="shared" si="12"/>
        <v>3940792.29</v>
      </c>
      <c r="H184" s="10">
        <f>'A) Base RI'!E184</f>
        <v>0</v>
      </c>
      <c r="I184" s="10">
        <f>'A) Base RI'!F184</f>
        <v>0</v>
      </c>
      <c r="J184" s="10">
        <f>'A) Base RI'!G184+'A) Base RI'!H184</f>
        <v>208856.95</v>
      </c>
      <c r="K184" s="10">
        <f>'A) Base RI'!I184</f>
        <v>0</v>
      </c>
      <c r="L184" s="10">
        <f>'A) Base RI'!J184</f>
        <v>100735.82</v>
      </c>
      <c r="M184" s="10">
        <f>'A) Base RI'!K184</f>
        <v>2802</v>
      </c>
      <c r="N184" s="10">
        <f>'A) Base RI'!Q184</f>
        <v>5911.01</v>
      </c>
      <c r="O184" s="10">
        <f t="shared" si="13"/>
        <v>319027.8</v>
      </c>
      <c r="P184" s="10">
        <f>'A) Base RI'!L184</f>
        <v>319027.8</v>
      </c>
      <c r="Q184" s="37">
        <f>'A) Base RI'!AR184</f>
        <v>1</v>
      </c>
      <c r="R184" s="2">
        <f t="shared" si="14"/>
        <v>4578125.87</v>
      </c>
      <c r="S184" s="36">
        <f>'A) Base RI'!AM184</f>
        <v>72</v>
      </c>
      <c r="T184" s="2">
        <f t="shared" si="15"/>
        <v>4256296.07</v>
      </c>
      <c r="U184" s="2">
        <f t="shared" si="16"/>
        <v>63585.08152777778</v>
      </c>
      <c r="V184" s="10">
        <f>'A) Base RI'!O184</f>
        <v>53951.1</v>
      </c>
      <c r="W184" s="10">
        <f>'A) Base RI'!P184</f>
        <v>126289.05</v>
      </c>
      <c r="X184" s="10">
        <f>'A) Base RI'!R184</f>
        <v>106443.45</v>
      </c>
      <c r="Y184" s="2">
        <f t="shared" si="17"/>
        <v>286683.59999999998</v>
      </c>
      <c r="Z184" s="10">
        <f>'A) Base RI'!N184</f>
        <v>11101.4</v>
      </c>
      <c r="AA184" s="10">
        <f>'A) Base RI'!S184+'A) Base RI'!T184</f>
        <v>0</v>
      </c>
      <c r="AB184" s="10">
        <f>+'A) Base RI'!U184</f>
        <v>13530</v>
      </c>
      <c r="AC184" s="10">
        <f>'A) Base RI'!V184</f>
        <v>0</v>
      </c>
      <c r="AD184" s="10">
        <f>+'A) Base RI'!W184</f>
        <v>0</v>
      </c>
      <c r="AE184" s="10">
        <f>'A) Base RI'!Y184</f>
        <v>110085.85</v>
      </c>
      <c r="AF184" s="10">
        <f>'A) Base RI'!Z184</f>
        <v>0</v>
      </c>
      <c r="AG184" s="10">
        <f>'A) Base RI'!AA184</f>
        <v>296821.3</v>
      </c>
      <c r="AH184" s="10">
        <f>'A) Base RI'!AB184</f>
        <v>0</v>
      </c>
      <c r="AI184" s="10">
        <f>'A) Base RI'!AC184</f>
        <v>281554.65000000002</v>
      </c>
      <c r="AJ184" s="10">
        <f>'A) Base RI'!AD184</f>
        <v>39970</v>
      </c>
      <c r="AK184" s="10">
        <f>'A) Base RI'!AE184</f>
        <v>0</v>
      </c>
      <c r="AL184" s="10">
        <f>'A) Base RI'!AF184</f>
        <v>0</v>
      </c>
      <c r="AM184" s="10">
        <f>'A) Base RI'!AG184</f>
        <v>0</v>
      </c>
      <c r="AN184" s="10">
        <f>'A) Base RI'!AH184</f>
        <v>64793.7</v>
      </c>
      <c r="AO184" s="10">
        <f>'A) Base RI'!AI184</f>
        <v>0</v>
      </c>
      <c r="AP184" s="10">
        <f>'A) Base RI'!AJ184</f>
        <v>0</v>
      </c>
      <c r="AQ184" s="10">
        <f>'A) Base RI'!AK184</f>
        <v>0</v>
      </c>
      <c r="AR184" s="10">
        <f>'A) Base RI'!AN184</f>
        <v>2500</v>
      </c>
    </row>
    <row r="185" spans="1:44" x14ac:dyDescent="0.25">
      <c r="A185" s="8">
        <f>'A) Base RI'!A185</f>
        <v>5701</v>
      </c>
      <c r="B185" s="35" t="str">
        <f>'A) Base RI'!B185</f>
        <v>Arnex-sur-Nyon</v>
      </c>
      <c r="C185" s="10">
        <f>'A) Base RI'!C185+'A) Base RI'!D185</f>
        <v>932223.08</v>
      </c>
      <c r="D185" s="10">
        <f>'A) Base RI'!AO185</f>
        <v>-15399.91</v>
      </c>
      <c r="E185" s="34">
        <f>'A) Base RI'!AP185</f>
        <v>0</v>
      </c>
      <c r="F185" s="34">
        <f>'A) Base RI'!AQ185</f>
        <v>0</v>
      </c>
      <c r="G185" s="2">
        <f t="shared" si="12"/>
        <v>916823.16999999993</v>
      </c>
      <c r="H185" s="10">
        <f>'A) Base RI'!E185</f>
        <v>0</v>
      </c>
      <c r="I185" s="10">
        <f>'A) Base RI'!F185</f>
        <v>0</v>
      </c>
      <c r="J185" s="10">
        <f>'A) Base RI'!G185+'A) Base RI'!H185</f>
        <v>11101.6</v>
      </c>
      <c r="K185" s="10">
        <f>'A) Base RI'!I185</f>
        <v>62884.15</v>
      </c>
      <c r="L185" s="10">
        <f>'A) Base RI'!J185</f>
        <v>12671.43</v>
      </c>
      <c r="M185" s="10">
        <f>'A) Base RI'!K185</f>
        <v>16</v>
      </c>
      <c r="N185" s="10">
        <f>'A) Base RI'!Q185</f>
        <v>0</v>
      </c>
      <c r="O185" s="10">
        <f t="shared" si="13"/>
        <v>65446.400000000001</v>
      </c>
      <c r="P185" s="10">
        <f>'A) Base RI'!L185</f>
        <v>65446.400000000001</v>
      </c>
      <c r="Q185" s="37">
        <f>'A) Base RI'!AR185</f>
        <v>1</v>
      </c>
      <c r="R185" s="2">
        <f t="shared" si="14"/>
        <v>1068942.75</v>
      </c>
      <c r="S185" s="36">
        <f>'A) Base RI'!AM185</f>
        <v>70</v>
      </c>
      <c r="T185" s="2">
        <f t="shared" si="15"/>
        <v>1003480.35</v>
      </c>
      <c r="U185" s="2">
        <f t="shared" si="16"/>
        <v>15270.610714285714</v>
      </c>
      <c r="V185" s="10">
        <f>'A) Base RI'!O185</f>
        <v>0</v>
      </c>
      <c r="W185" s="10">
        <f>'A) Base RI'!P185</f>
        <v>36300</v>
      </c>
      <c r="X185" s="10">
        <f>'A) Base RI'!R185</f>
        <v>77532.350000000006</v>
      </c>
      <c r="Y185" s="2">
        <f t="shared" si="17"/>
        <v>113832.35</v>
      </c>
      <c r="Z185" s="10">
        <f>'A) Base RI'!N185</f>
        <v>0</v>
      </c>
      <c r="AA185" s="10">
        <f>'A) Base RI'!S185+'A) Base RI'!T185</f>
        <v>0</v>
      </c>
      <c r="AB185" s="10">
        <f>+'A) Base RI'!U185</f>
        <v>900</v>
      </c>
      <c r="AC185" s="10">
        <f>'A) Base RI'!V185</f>
        <v>0</v>
      </c>
      <c r="AD185" s="10">
        <f>+'A) Base RI'!W185</f>
        <v>0</v>
      </c>
      <c r="AE185" s="10">
        <f>'A) Base RI'!Y185</f>
        <v>23164.9</v>
      </c>
      <c r="AF185" s="10">
        <f>'A) Base RI'!Z185</f>
        <v>0</v>
      </c>
      <c r="AG185" s="10">
        <f>'A) Base RI'!AA185</f>
        <v>27306.29</v>
      </c>
      <c r="AH185" s="10">
        <f>'A) Base RI'!AB185</f>
        <v>0</v>
      </c>
      <c r="AI185" s="10">
        <f>'A) Base RI'!AC185</f>
        <v>15794.7</v>
      </c>
      <c r="AJ185" s="10">
        <f>'A) Base RI'!AD185</f>
        <v>350</v>
      </c>
      <c r="AK185" s="10">
        <f>'A) Base RI'!AE185</f>
        <v>0</v>
      </c>
      <c r="AL185" s="10">
        <f>'A) Base RI'!AF185</f>
        <v>0</v>
      </c>
      <c r="AM185" s="10">
        <f>'A) Base RI'!AG185</f>
        <v>102</v>
      </c>
      <c r="AN185" s="10">
        <f>'A) Base RI'!AH185</f>
        <v>0</v>
      </c>
      <c r="AO185" s="10">
        <f>'A) Base RI'!AI185</f>
        <v>0</v>
      </c>
      <c r="AP185" s="10">
        <f>'A) Base RI'!AJ185</f>
        <v>0</v>
      </c>
      <c r="AQ185" s="10">
        <f>'A) Base RI'!AK185</f>
        <v>0</v>
      </c>
      <c r="AR185" s="10">
        <f>'A) Base RI'!AN185</f>
        <v>214</v>
      </c>
    </row>
    <row r="186" spans="1:44" x14ac:dyDescent="0.25">
      <c r="A186" s="8">
        <f>'A) Base RI'!A186</f>
        <v>5702</v>
      </c>
      <c r="B186" s="35" t="str">
        <f>'A) Base RI'!B186</f>
        <v>Arzier-Le Muids</v>
      </c>
      <c r="C186" s="10">
        <f>'A) Base RI'!C186+'A) Base RI'!D186</f>
        <v>8486632.5800000001</v>
      </c>
      <c r="D186" s="10">
        <f>'A) Base RI'!AO186</f>
        <v>-74728.460000000006</v>
      </c>
      <c r="E186" s="34">
        <f>'A) Base RI'!AP186</f>
        <v>0</v>
      </c>
      <c r="F186" s="34">
        <f>'A) Base RI'!AQ186</f>
        <v>-5046.3999999999996</v>
      </c>
      <c r="G186" s="2">
        <f t="shared" si="12"/>
        <v>8406857.7199999988</v>
      </c>
      <c r="H186" s="10">
        <f>'A) Base RI'!E186</f>
        <v>0</v>
      </c>
      <c r="I186" s="10">
        <f>'A) Base RI'!F186</f>
        <v>0</v>
      </c>
      <c r="J186" s="10">
        <f>'A) Base RI'!G186+'A) Base RI'!H186</f>
        <v>174448.5</v>
      </c>
      <c r="K186" s="10">
        <f>'A) Base RI'!I186</f>
        <v>463597.88</v>
      </c>
      <c r="L186" s="10">
        <f>'A) Base RI'!J186</f>
        <v>95044.33</v>
      </c>
      <c r="M186" s="10">
        <f>'A) Base RI'!K186</f>
        <v>11801.5</v>
      </c>
      <c r="N186" s="10">
        <f>'A) Base RI'!Q186</f>
        <v>13592.12</v>
      </c>
      <c r="O186" s="10">
        <f t="shared" si="13"/>
        <v>682521.9</v>
      </c>
      <c r="P186" s="10">
        <f>'A) Base RI'!L186</f>
        <v>1023782.85</v>
      </c>
      <c r="Q186" s="37">
        <f>'A) Base RI'!AR186</f>
        <v>1.5</v>
      </c>
      <c r="R186" s="2">
        <f t="shared" si="14"/>
        <v>9847863.9499999993</v>
      </c>
      <c r="S186" s="36">
        <f>'A) Base RI'!AM186</f>
        <v>64</v>
      </c>
      <c r="T186" s="2">
        <f t="shared" si="15"/>
        <v>9153540.5499999989</v>
      </c>
      <c r="U186" s="2">
        <f t="shared" si="16"/>
        <v>153872.87421874999</v>
      </c>
      <c r="V186" s="10">
        <f>'A) Base RI'!O186</f>
        <v>136333.6</v>
      </c>
      <c r="W186" s="10">
        <f>'A) Base RI'!P186</f>
        <v>597142.6</v>
      </c>
      <c r="X186" s="10">
        <f>'A) Base RI'!R186</f>
        <v>172600.55</v>
      </c>
      <c r="Y186" s="2">
        <f t="shared" si="17"/>
        <v>906076.75</v>
      </c>
      <c r="Z186" s="10">
        <f>'A) Base RI'!N186</f>
        <v>60340.95</v>
      </c>
      <c r="AA186" s="10">
        <f>'A) Base RI'!S186+'A) Base RI'!T186</f>
        <v>0</v>
      </c>
      <c r="AB186" s="10">
        <f>+'A) Base RI'!U186</f>
        <v>23400</v>
      </c>
      <c r="AC186" s="10">
        <f>'A) Base RI'!V186</f>
        <v>0</v>
      </c>
      <c r="AD186" s="10">
        <f>+'A) Base RI'!W186</f>
        <v>0</v>
      </c>
      <c r="AE186" s="10">
        <f>'A) Base RI'!Y186</f>
        <v>104569.35</v>
      </c>
      <c r="AF186" s="10">
        <f>'A) Base RI'!Z186</f>
        <v>0</v>
      </c>
      <c r="AG186" s="10">
        <f>'A) Base RI'!AA186</f>
        <v>240410.75</v>
      </c>
      <c r="AH186" s="10">
        <f>'A) Base RI'!AB186</f>
        <v>0</v>
      </c>
      <c r="AI186" s="10">
        <f>'A) Base RI'!AC186</f>
        <v>228690</v>
      </c>
      <c r="AJ186" s="10">
        <f>'A) Base RI'!AD186</f>
        <v>195643</v>
      </c>
      <c r="AK186" s="10">
        <f>'A) Base RI'!AE186</f>
        <v>0</v>
      </c>
      <c r="AL186" s="10">
        <f>'A) Base RI'!AF186</f>
        <v>0</v>
      </c>
      <c r="AM186" s="10">
        <f>'A) Base RI'!AG186</f>
        <v>20295.66</v>
      </c>
      <c r="AN186" s="10">
        <f>'A) Base RI'!AH186</f>
        <v>0</v>
      </c>
      <c r="AO186" s="10">
        <f>'A) Base RI'!AI186</f>
        <v>0</v>
      </c>
      <c r="AP186" s="10">
        <f>'A) Base RI'!AJ186</f>
        <v>0</v>
      </c>
      <c r="AQ186" s="10">
        <f>'A) Base RI'!AK186</f>
        <v>0</v>
      </c>
      <c r="AR186" s="10">
        <f>'A) Base RI'!AN186</f>
        <v>2565</v>
      </c>
    </row>
    <row r="187" spans="1:44" x14ac:dyDescent="0.25">
      <c r="A187" s="8">
        <f>'A) Base RI'!A187</f>
        <v>5703</v>
      </c>
      <c r="B187" s="35" t="str">
        <f>'A) Base RI'!B187</f>
        <v>Bassins</v>
      </c>
      <c r="C187" s="10">
        <f>'A) Base RI'!C187+'A) Base RI'!D187</f>
        <v>3326288.73</v>
      </c>
      <c r="D187" s="10">
        <f>'A) Base RI'!AO187</f>
        <v>-28188.720000000001</v>
      </c>
      <c r="E187" s="34">
        <f>'A) Base RI'!AP187</f>
        <v>0</v>
      </c>
      <c r="F187" s="34">
        <f>'A) Base RI'!AQ187</f>
        <v>-510.72</v>
      </c>
      <c r="G187" s="2">
        <f t="shared" si="12"/>
        <v>3297589.2899999996</v>
      </c>
      <c r="H187" s="10">
        <f>'A) Base RI'!E187</f>
        <v>0</v>
      </c>
      <c r="I187" s="10">
        <f>'A) Base RI'!F187</f>
        <v>0</v>
      </c>
      <c r="J187" s="10">
        <f>'A) Base RI'!G187+'A) Base RI'!H187</f>
        <v>72913.099999999991</v>
      </c>
      <c r="K187" s="10">
        <f>'A) Base RI'!I187</f>
        <v>10517.3</v>
      </c>
      <c r="L187" s="10">
        <f>'A) Base RI'!J187</f>
        <v>23533.01</v>
      </c>
      <c r="M187" s="10">
        <f>'A) Base RI'!K187</f>
        <v>185.5</v>
      </c>
      <c r="N187" s="10">
        <f>'A) Base RI'!Q187</f>
        <v>27300.17</v>
      </c>
      <c r="O187" s="10">
        <f t="shared" si="13"/>
        <v>286388.25000000006</v>
      </c>
      <c r="P187" s="10">
        <f>'A) Base RI'!L187</f>
        <v>343665.9</v>
      </c>
      <c r="Q187" s="37">
        <f>'A) Base RI'!AR187</f>
        <v>1.2</v>
      </c>
      <c r="R187" s="2">
        <f t="shared" si="14"/>
        <v>3718426.6199999992</v>
      </c>
      <c r="S187" s="36">
        <f>'A) Base RI'!AM187</f>
        <v>71</v>
      </c>
      <c r="T187" s="2">
        <f t="shared" si="15"/>
        <v>3431852.8699999992</v>
      </c>
      <c r="U187" s="2">
        <f t="shared" si="16"/>
        <v>52372.205915492945</v>
      </c>
      <c r="V187" s="10">
        <f>'A) Base RI'!O187</f>
        <v>6361.8</v>
      </c>
      <c r="W187" s="10">
        <f>'A) Base RI'!P187</f>
        <v>128623.25</v>
      </c>
      <c r="X187" s="10">
        <f>'A) Base RI'!R187</f>
        <v>54970.15</v>
      </c>
      <c r="Y187" s="2">
        <f t="shared" si="17"/>
        <v>189955.19999999998</v>
      </c>
      <c r="Z187" s="10">
        <f>'A) Base RI'!N187</f>
        <v>34704.25</v>
      </c>
      <c r="AA187" s="10">
        <f>'A) Base RI'!S187+'A) Base RI'!T187</f>
        <v>0</v>
      </c>
      <c r="AB187" s="10">
        <f>+'A) Base RI'!U187</f>
        <v>9945</v>
      </c>
      <c r="AC187" s="10">
        <f>'A) Base RI'!V187</f>
        <v>0</v>
      </c>
      <c r="AD187" s="10">
        <f>+'A) Base RI'!W187</f>
        <v>0</v>
      </c>
      <c r="AE187" s="10">
        <f>'A) Base RI'!Y187</f>
        <v>22296.75</v>
      </c>
      <c r="AF187" s="10">
        <f>'A) Base RI'!Z187</f>
        <v>0</v>
      </c>
      <c r="AG187" s="10">
        <f>'A) Base RI'!AA187</f>
        <v>152770</v>
      </c>
      <c r="AH187" s="10">
        <f>'A) Base RI'!AB187</f>
        <v>0</v>
      </c>
      <c r="AI187" s="10">
        <f>'A) Base RI'!AC187</f>
        <v>96407.05</v>
      </c>
      <c r="AJ187" s="10">
        <f>'A) Base RI'!AD187</f>
        <v>27413.35</v>
      </c>
      <c r="AK187" s="10">
        <f>'A) Base RI'!AE187</f>
        <v>0</v>
      </c>
      <c r="AL187" s="10">
        <f>'A) Base RI'!AF187</f>
        <v>0</v>
      </c>
      <c r="AM187" s="10">
        <f>'A) Base RI'!AG187</f>
        <v>0</v>
      </c>
      <c r="AN187" s="10">
        <f>'A) Base RI'!AH187</f>
        <v>0</v>
      </c>
      <c r="AO187" s="10">
        <f>'A) Base RI'!AI187</f>
        <v>0</v>
      </c>
      <c r="AP187" s="10">
        <f>'A) Base RI'!AJ187</f>
        <v>0</v>
      </c>
      <c r="AQ187" s="10">
        <f>'A) Base RI'!AK187</f>
        <v>0</v>
      </c>
      <c r="AR187" s="10">
        <f>'A) Base RI'!AN187</f>
        <v>1311</v>
      </c>
    </row>
    <row r="188" spans="1:44" x14ac:dyDescent="0.25">
      <c r="A188" s="8">
        <f>'A) Base RI'!A188</f>
        <v>5704</v>
      </c>
      <c r="B188" s="35" t="str">
        <f>'A) Base RI'!B188</f>
        <v>Begnins</v>
      </c>
      <c r="C188" s="10">
        <f>'A) Base RI'!C188+'A) Base RI'!D188</f>
        <v>6915838.3700000001</v>
      </c>
      <c r="D188" s="10">
        <f>'A) Base RI'!AO188</f>
        <v>-98455.53</v>
      </c>
      <c r="E188" s="34">
        <f>'A) Base RI'!AP188</f>
        <v>0</v>
      </c>
      <c r="F188" s="34">
        <f>'A) Base RI'!AQ188</f>
        <v>-5155.2299999999996</v>
      </c>
      <c r="G188" s="2">
        <f t="shared" si="12"/>
        <v>6812227.6099999994</v>
      </c>
      <c r="H188" s="10">
        <f>'A) Base RI'!E188</f>
        <v>0</v>
      </c>
      <c r="I188" s="10">
        <f>'A) Base RI'!F188</f>
        <v>0</v>
      </c>
      <c r="J188" s="10">
        <f>'A) Base RI'!G188+'A) Base RI'!H188</f>
        <v>138522.1</v>
      </c>
      <c r="K188" s="10">
        <f>'A) Base RI'!I188</f>
        <v>384651.5</v>
      </c>
      <c r="L188" s="10">
        <f>'A) Base RI'!J188</f>
        <v>142920.94</v>
      </c>
      <c r="M188" s="10">
        <f>'A) Base RI'!K188</f>
        <v>1369.5</v>
      </c>
      <c r="N188" s="10">
        <f>'A) Base RI'!Q188</f>
        <v>-2184.35</v>
      </c>
      <c r="O188" s="10">
        <f t="shared" si="13"/>
        <v>449049.66666666669</v>
      </c>
      <c r="P188" s="10">
        <f>'A) Base RI'!L188</f>
        <v>673574.5</v>
      </c>
      <c r="Q188" s="37">
        <f>'A) Base RI'!AR188</f>
        <v>1.5</v>
      </c>
      <c r="R188" s="2">
        <f t="shared" si="14"/>
        <v>7926556.9666666668</v>
      </c>
      <c r="S188" s="36">
        <f>'A) Base RI'!AM188</f>
        <v>67</v>
      </c>
      <c r="T188" s="2">
        <f t="shared" si="15"/>
        <v>7476137.7999999998</v>
      </c>
      <c r="U188" s="2">
        <f t="shared" si="16"/>
        <v>118306.82039800995</v>
      </c>
      <c r="V188" s="10">
        <f>'A) Base RI'!O188</f>
        <v>104803</v>
      </c>
      <c r="W188" s="10">
        <f>'A) Base RI'!P188</f>
        <v>341186.55</v>
      </c>
      <c r="X188" s="10">
        <f>'A) Base RI'!R188</f>
        <v>261044.95</v>
      </c>
      <c r="Y188" s="2">
        <f t="shared" si="17"/>
        <v>707034.5</v>
      </c>
      <c r="Z188" s="10">
        <f>'A) Base RI'!N188</f>
        <v>52487.1</v>
      </c>
      <c r="AA188" s="10">
        <f>'A) Base RI'!S188+'A) Base RI'!T188</f>
        <v>0</v>
      </c>
      <c r="AB188" s="10">
        <f>+'A) Base RI'!U188</f>
        <v>9350</v>
      </c>
      <c r="AC188" s="10">
        <f>'A) Base RI'!V188</f>
        <v>0</v>
      </c>
      <c r="AD188" s="10">
        <f>+'A) Base RI'!W188</f>
        <v>0</v>
      </c>
      <c r="AE188" s="10">
        <f>'A) Base RI'!Y188</f>
        <v>38757.68</v>
      </c>
      <c r="AF188" s="10">
        <f>'A) Base RI'!Z188</f>
        <v>0</v>
      </c>
      <c r="AG188" s="10">
        <f>'A) Base RI'!AA188</f>
        <v>176724.75</v>
      </c>
      <c r="AH188" s="10">
        <f>'A) Base RI'!AB188</f>
        <v>0</v>
      </c>
      <c r="AI188" s="10">
        <f>'A) Base RI'!AC188</f>
        <v>101650.95</v>
      </c>
      <c r="AJ188" s="10">
        <f>'A) Base RI'!AD188</f>
        <v>31204.67</v>
      </c>
      <c r="AK188" s="10">
        <f>'A) Base RI'!AE188</f>
        <v>0</v>
      </c>
      <c r="AL188" s="10">
        <f>'A) Base RI'!AF188</f>
        <v>0</v>
      </c>
      <c r="AM188" s="10">
        <f>'A) Base RI'!AG188</f>
        <v>8800.7000000000007</v>
      </c>
      <c r="AN188" s="10">
        <f>'A) Base RI'!AH188</f>
        <v>49941.11</v>
      </c>
      <c r="AO188" s="10">
        <f>'A) Base RI'!AI188</f>
        <v>28536.05</v>
      </c>
      <c r="AP188" s="10">
        <f>'A) Base RI'!AJ188</f>
        <v>0</v>
      </c>
      <c r="AQ188" s="10">
        <f>'A) Base RI'!AK188</f>
        <v>0</v>
      </c>
      <c r="AR188" s="10">
        <f>'A) Base RI'!AN188</f>
        <v>1856</v>
      </c>
    </row>
    <row r="189" spans="1:44" x14ac:dyDescent="0.25">
      <c r="A189" s="8">
        <f>'A) Base RI'!A189</f>
        <v>5705</v>
      </c>
      <c r="B189" s="35" t="str">
        <f>'A) Base RI'!B189</f>
        <v>Bogis-Bossey</v>
      </c>
      <c r="C189" s="10">
        <f>'A) Base RI'!C189+'A) Base RI'!D189</f>
        <v>3148220.3899999997</v>
      </c>
      <c r="D189" s="10">
        <f>'A) Base RI'!AO189</f>
        <v>-6225.45</v>
      </c>
      <c r="E189" s="34">
        <f>'A) Base RI'!AP189</f>
        <v>0</v>
      </c>
      <c r="F189" s="34">
        <f>'A) Base RI'!AQ189</f>
        <v>-4456.5</v>
      </c>
      <c r="G189" s="2">
        <f t="shared" si="12"/>
        <v>3137538.4399999995</v>
      </c>
      <c r="H189" s="10">
        <f>'A) Base RI'!E189</f>
        <v>0</v>
      </c>
      <c r="I189" s="10">
        <f>'A) Base RI'!F189</f>
        <v>0</v>
      </c>
      <c r="J189" s="10">
        <f>'A) Base RI'!G189+'A) Base RI'!H189</f>
        <v>30926.7</v>
      </c>
      <c r="K189" s="10">
        <f>'A) Base RI'!I189</f>
        <v>21804.9</v>
      </c>
      <c r="L189" s="10">
        <f>'A) Base RI'!J189</f>
        <v>59299.11</v>
      </c>
      <c r="M189" s="10">
        <f>'A) Base RI'!K189</f>
        <v>9034</v>
      </c>
      <c r="N189" s="10">
        <f>'A) Base RI'!Q189</f>
        <v>4314.8900000000003</v>
      </c>
      <c r="O189" s="10">
        <f t="shared" si="13"/>
        <v>209829.3</v>
      </c>
      <c r="P189" s="10">
        <f>'A) Base RI'!L189</f>
        <v>209829.3</v>
      </c>
      <c r="Q189" s="37">
        <f>'A) Base RI'!AR189</f>
        <v>1</v>
      </c>
      <c r="R189" s="2">
        <f t="shared" si="14"/>
        <v>3472747.3399999994</v>
      </c>
      <c r="S189" s="36">
        <f>'A) Base RI'!AM189</f>
        <v>70</v>
      </c>
      <c r="T189" s="2">
        <f t="shared" si="15"/>
        <v>3253884.0399999996</v>
      </c>
      <c r="U189" s="2">
        <f t="shared" si="16"/>
        <v>49610.676285714275</v>
      </c>
      <c r="V189" s="10">
        <f>'A) Base RI'!O189</f>
        <v>0</v>
      </c>
      <c r="W189" s="10">
        <f>'A) Base RI'!P189</f>
        <v>80330.5</v>
      </c>
      <c r="X189" s="10">
        <f>'A) Base RI'!R189</f>
        <v>55773.8</v>
      </c>
      <c r="Y189" s="2">
        <f t="shared" si="17"/>
        <v>136104.29999999999</v>
      </c>
      <c r="Z189" s="10">
        <f>'A) Base RI'!N189</f>
        <v>30724.95</v>
      </c>
      <c r="AA189" s="10">
        <f>'A) Base RI'!S189+'A) Base RI'!T189</f>
        <v>0</v>
      </c>
      <c r="AB189" s="10">
        <f>+'A) Base RI'!U189</f>
        <v>1860</v>
      </c>
      <c r="AC189" s="10">
        <f>'A) Base RI'!V189</f>
        <v>0</v>
      </c>
      <c r="AD189" s="10">
        <f>+'A) Base RI'!W189</f>
        <v>0</v>
      </c>
      <c r="AE189" s="10">
        <f>'A) Base RI'!Y189</f>
        <v>0</v>
      </c>
      <c r="AF189" s="10">
        <f>'A) Base RI'!Z189</f>
        <v>0</v>
      </c>
      <c r="AG189" s="10">
        <f>'A) Base RI'!AA189</f>
        <v>0</v>
      </c>
      <c r="AH189" s="10">
        <f>'A) Base RI'!AB189</f>
        <v>0</v>
      </c>
      <c r="AI189" s="10">
        <f>'A) Base RI'!AC189</f>
        <v>113532.5</v>
      </c>
      <c r="AJ189" s="10">
        <f>'A) Base RI'!AD189</f>
        <v>0</v>
      </c>
      <c r="AK189" s="10">
        <f>'A) Base RI'!AE189</f>
        <v>0</v>
      </c>
      <c r="AL189" s="10">
        <f>'A) Base RI'!AF189</f>
        <v>0</v>
      </c>
      <c r="AM189" s="10">
        <f>'A) Base RI'!AG189</f>
        <v>0</v>
      </c>
      <c r="AN189" s="10">
        <f>'A) Base RI'!AH189</f>
        <v>0</v>
      </c>
      <c r="AO189" s="10">
        <f>'A) Base RI'!AI189</f>
        <v>0</v>
      </c>
      <c r="AP189" s="10">
        <f>'A) Base RI'!AJ189</f>
        <v>0</v>
      </c>
      <c r="AQ189" s="10">
        <f>'A) Base RI'!AK189</f>
        <v>0</v>
      </c>
      <c r="AR189" s="10">
        <f>'A) Base RI'!AN189</f>
        <v>827</v>
      </c>
    </row>
    <row r="190" spans="1:44" x14ac:dyDescent="0.25">
      <c r="A190" s="8">
        <f>'A) Base RI'!A190</f>
        <v>5706</v>
      </c>
      <c r="B190" s="35" t="str">
        <f>'A) Base RI'!B190</f>
        <v>Borex</v>
      </c>
      <c r="C190" s="10">
        <f>'A) Base RI'!C190+'A) Base RI'!D190</f>
        <v>3406766.66</v>
      </c>
      <c r="D190" s="10">
        <f>'A) Base RI'!AO190</f>
        <v>-2433.25</v>
      </c>
      <c r="E190" s="34">
        <f>'A) Base RI'!AP190</f>
        <v>0</v>
      </c>
      <c r="F190" s="34">
        <f>'A) Base RI'!AQ190</f>
        <v>-3323.14</v>
      </c>
      <c r="G190" s="2">
        <f t="shared" si="12"/>
        <v>3401010.27</v>
      </c>
      <c r="H190" s="10">
        <f>'A) Base RI'!E190</f>
        <v>0</v>
      </c>
      <c r="I190" s="10">
        <f>'A) Base RI'!F190</f>
        <v>0</v>
      </c>
      <c r="J190" s="10">
        <f>'A) Base RI'!G190+'A) Base RI'!H190</f>
        <v>21562.85</v>
      </c>
      <c r="K190" s="10">
        <f>'A) Base RI'!I190</f>
        <v>-17830.45</v>
      </c>
      <c r="L190" s="10">
        <f>'A) Base RI'!J190</f>
        <v>102006.02</v>
      </c>
      <c r="M190" s="10">
        <f>'A) Base RI'!K190</f>
        <v>1957.5</v>
      </c>
      <c r="N190" s="10">
        <f>'A) Base RI'!Q190</f>
        <v>3709.8</v>
      </c>
      <c r="O190" s="10">
        <f t="shared" si="13"/>
        <v>239197.43333333335</v>
      </c>
      <c r="P190" s="10">
        <f>'A) Base RI'!L190</f>
        <v>358796.15</v>
      </c>
      <c r="Q190" s="37">
        <f>'A) Base RI'!AR190</f>
        <v>1.5</v>
      </c>
      <c r="R190" s="2">
        <f t="shared" si="14"/>
        <v>3751613.4233333329</v>
      </c>
      <c r="S190" s="36">
        <f>'A) Base RI'!AM190</f>
        <v>55</v>
      </c>
      <c r="T190" s="2">
        <f t="shared" si="15"/>
        <v>3510458.4899999998</v>
      </c>
      <c r="U190" s="2">
        <f t="shared" si="16"/>
        <v>68211.153151515144</v>
      </c>
      <c r="V190" s="10">
        <f>'A) Base RI'!O190</f>
        <v>9871.7999999999993</v>
      </c>
      <c r="W190" s="10">
        <f>'A) Base RI'!P190</f>
        <v>200483.85</v>
      </c>
      <c r="X190" s="10">
        <f>'A) Base RI'!R190</f>
        <v>210270.5</v>
      </c>
      <c r="Y190" s="2">
        <f t="shared" si="17"/>
        <v>420626.15</v>
      </c>
      <c r="Z190" s="10">
        <f>'A) Base RI'!N190</f>
        <v>7866.85</v>
      </c>
      <c r="AA190" s="10">
        <f>'A) Base RI'!S190+'A) Base RI'!T190</f>
        <v>0</v>
      </c>
      <c r="AB190" s="10">
        <f>+'A) Base RI'!U190</f>
        <v>5625</v>
      </c>
      <c r="AC190" s="10">
        <f>'A) Base RI'!V190</f>
        <v>0</v>
      </c>
      <c r="AD190" s="10">
        <f>+'A) Base RI'!W190</f>
        <v>0</v>
      </c>
      <c r="AE190" s="10">
        <f>'A) Base RI'!Y190</f>
        <v>168808</v>
      </c>
      <c r="AF190" s="10">
        <f>'A) Base RI'!Z190</f>
        <v>0</v>
      </c>
      <c r="AG190" s="10">
        <f>'A) Base RI'!AA190</f>
        <v>160227.09</v>
      </c>
      <c r="AH190" s="10">
        <f>'A) Base RI'!AB190</f>
        <v>0</v>
      </c>
      <c r="AI190" s="10">
        <f>'A) Base RI'!AC190</f>
        <v>79112.5</v>
      </c>
      <c r="AJ190" s="10">
        <f>'A) Base RI'!AD190</f>
        <v>0</v>
      </c>
      <c r="AK190" s="10">
        <f>'A) Base RI'!AE190</f>
        <v>0</v>
      </c>
      <c r="AL190" s="10">
        <f>'A) Base RI'!AF190</f>
        <v>0</v>
      </c>
      <c r="AM190" s="10">
        <f>'A) Base RI'!AG190</f>
        <v>114</v>
      </c>
      <c r="AN190" s="10">
        <f>'A) Base RI'!AH190</f>
        <v>0</v>
      </c>
      <c r="AO190" s="10">
        <f>'A) Base RI'!AI190</f>
        <v>0</v>
      </c>
      <c r="AP190" s="10">
        <f>'A) Base RI'!AJ190</f>
        <v>0</v>
      </c>
      <c r="AQ190" s="10">
        <f>'A) Base RI'!AK190</f>
        <v>0</v>
      </c>
      <c r="AR190" s="10">
        <f>'A) Base RI'!AN190</f>
        <v>1099</v>
      </c>
    </row>
    <row r="191" spans="1:44" x14ac:dyDescent="0.25">
      <c r="A191" s="8">
        <f>'A) Base RI'!A191</f>
        <v>5707</v>
      </c>
      <c r="B191" s="35" t="str">
        <f>'A) Base RI'!B191</f>
        <v>Chavannes-de-Bogis</v>
      </c>
      <c r="C191" s="10">
        <f>'A) Base RI'!C191+'A) Base RI'!D191</f>
        <v>4636861.79</v>
      </c>
      <c r="D191" s="10">
        <f>'A) Base RI'!AO191</f>
        <v>-34928.61</v>
      </c>
      <c r="E191" s="34">
        <f>'A) Base RI'!AP191</f>
        <v>0</v>
      </c>
      <c r="F191" s="34">
        <f>'A) Base RI'!AQ191</f>
        <v>-589.27</v>
      </c>
      <c r="G191" s="2">
        <f t="shared" si="12"/>
        <v>4601343.91</v>
      </c>
      <c r="H191" s="10">
        <f>'A) Base RI'!E191</f>
        <v>0</v>
      </c>
      <c r="I191" s="10">
        <f>'A) Base RI'!F191</f>
        <v>0</v>
      </c>
      <c r="J191" s="10">
        <f>'A) Base RI'!G191+'A) Base RI'!H191</f>
        <v>583958.69999999995</v>
      </c>
      <c r="K191" s="10">
        <f>'A) Base RI'!I191</f>
        <v>97054</v>
      </c>
      <c r="L191" s="10">
        <f>'A) Base RI'!J191</f>
        <v>180783.23</v>
      </c>
      <c r="M191" s="10">
        <f>'A) Base RI'!K191</f>
        <v>57170</v>
      </c>
      <c r="N191" s="10">
        <f>'A) Base RI'!Q191</f>
        <v>2470.46</v>
      </c>
      <c r="O191" s="10">
        <f t="shared" si="13"/>
        <v>451678.26666666666</v>
      </c>
      <c r="P191" s="10">
        <f>'A) Base RI'!L191</f>
        <v>677517.4</v>
      </c>
      <c r="Q191" s="37">
        <f>'A) Base RI'!AR191</f>
        <v>1.5</v>
      </c>
      <c r="R191" s="2">
        <f t="shared" si="14"/>
        <v>5974458.5666666673</v>
      </c>
      <c r="S191" s="36">
        <f>'A) Base RI'!AM191</f>
        <v>59</v>
      </c>
      <c r="T191" s="2">
        <f t="shared" si="15"/>
        <v>5465610.3000000007</v>
      </c>
      <c r="U191" s="2">
        <f t="shared" si="16"/>
        <v>101262.00960451979</v>
      </c>
      <c r="V191" s="10">
        <f>'A) Base RI'!O191</f>
        <v>0</v>
      </c>
      <c r="W191" s="10">
        <f>'A) Base RI'!P191</f>
        <v>243641.8</v>
      </c>
      <c r="X191" s="10">
        <f>'A) Base RI'!R191</f>
        <v>196420.35</v>
      </c>
      <c r="Y191" s="2">
        <f t="shared" si="17"/>
        <v>440062.15</v>
      </c>
      <c r="Z191" s="10">
        <f>'A) Base RI'!N191</f>
        <v>532120.35</v>
      </c>
      <c r="AA191" s="10">
        <f>'A) Base RI'!S191+'A) Base RI'!T191</f>
        <v>39765.35</v>
      </c>
      <c r="AB191" s="10">
        <f>+'A) Base RI'!U191</f>
        <v>3900</v>
      </c>
      <c r="AC191" s="10">
        <f>'A) Base RI'!V191</f>
        <v>0</v>
      </c>
      <c r="AD191" s="10">
        <f>+'A) Base RI'!W191</f>
        <v>0</v>
      </c>
      <c r="AE191" s="10">
        <f>'A) Base RI'!Y191</f>
        <v>0</v>
      </c>
      <c r="AF191" s="10">
        <f>'A) Base RI'!Z191</f>
        <v>0</v>
      </c>
      <c r="AG191" s="10">
        <f>'A) Base RI'!AA191</f>
        <v>0</v>
      </c>
      <c r="AH191" s="10">
        <f>'A) Base RI'!AB191</f>
        <v>0</v>
      </c>
      <c r="AI191" s="10">
        <f>'A) Base RI'!AC191</f>
        <v>130841.15</v>
      </c>
      <c r="AJ191" s="10">
        <f>'A) Base RI'!AD191</f>
        <v>0</v>
      </c>
      <c r="AK191" s="10">
        <f>'A) Base RI'!AE191</f>
        <v>0</v>
      </c>
      <c r="AL191" s="10">
        <f>'A) Base RI'!AF191</f>
        <v>0</v>
      </c>
      <c r="AM191" s="10">
        <f>'A) Base RI'!AG191</f>
        <v>170090</v>
      </c>
      <c r="AN191" s="10">
        <f>'A) Base RI'!AH191</f>
        <v>86997.55</v>
      </c>
      <c r="AO191" s="10">
        <f>'A) Base RI'!AI191</f>
        <v>0</v>
      </c>
      <c r="AP191" s="10">
        <f>'A) Base RI'!AJ191</f>
        <v>0</v>
      </c>
      <c r="AQ191" s="10">
        <f>'A) Base RI'!AK191</f>
        <v>0</v>
      </c>
      <c r="AR191" s="10">
        <f>'A) Base RI'!AN191</f>
        <v>1153</v>
      </c>
    </row>
    <row r="192" spans="1:44" x14ac:dyDescent="0.25">
      <c r="A192" s="8">
        <f>'A) Base RI'!A192</f>
        <v>5708</v>
      </c>
      <c r="B192" s="35" t="str">
        <f>'A) Base RI'!B192</f>
        <v>Chavannes-des-Bois</v>
      </c>
      <c r="C192" s="10">
        <f>'A) Base RI'!C192+'A) Base RI'!D192</f>
        <v>3769864.9400000004</v>
      </c>
      <c r="D192" s="10">
        <f>'A) Base RI'!AO192</f>
        <v>-16731.75</v>
      </c>
      <c r="E192" s="34">
        <f>'A) Base RI'!AP192</f>
        <v>0</v>
      </c>
      <c r="F192" s="34">
        <f>'A) Base RI'!AQ192</f>
        <v>-555.69000000000005</v>
      </c>
      <c r="G192" s="2">
        <f t="shared" si="12"/>
        <v>3752577.5000000005</v>
      </c>
      <c r="H192" s="10">
        <f>'A) Base RI'!E192</f>
        <v>0</v>
      </c>
      <c r="I192" s="10">
        <f>'A) Base RI'!F192</f>
        <v>0</v>
      </c>
      <c r="J192" s="10">
        <f>'A) Base RI'!G192+'A) Base RI'!H192</f>
        <v>30725.35</v>
      </c>
      <c r="K192" s="10">
        <f>'A) Base RI'!I192</f>
        <v>33137.800000000003</v>
      </c>
      <c r="L192" s="10">
        <f>'A) Base RI'!J192</f>
        <v>-51771.15</v>
      </c>
      <c r="M192" s="10">
        <f>'A) Base RI'!K192</f>
        <v>15109.5</v>
      </c>
      <c r="N192" s="10">
        <f>'A) Base RI'!Q192</f>
        <v>3388.34</v>
      </c>
      <c r="O192" s="10">
        <f t="shared" si="13"/>
        <v>247586.86666666667</v>
      </c>
      <c r="P192" s="10">
        <f>'A) Base RI'!L192</f>
        <v>371380.3</v>
      </c>
      <c r="Q192" s="37">
        <f>'A) Base RI'!AR192</f>
        <v>1.5</v>
      </c>
      <c r="R192" s="2">
        <f t="shared" si="14"/>
        <v>4030754.206666667</v>
      </c>
      <c r="S192" s="36">
        <f>'A) Base RI'!AM192</f>
        <v>61</v>
      </c>
      <c r="T192" s="2">
        <f t="shared" si="15"/>
        <v>3768057.8400000003</v>
      </c>
      <c r="U192" s="2">
        <f t="shared" si="16"/>
        <v>66077.93781420766</v>
      </c>
      <c r="V192" s="10">
        <f>'A) Base RI'!O192</f>
        <v>0</v>
      </c>
      <c r="W192" s="10">
        <f>'A) Base RI'!P192</f>
        <v>193672.65</v>
      </c>
      <c r="X192" s="10">
        <f>'A) Base RI'!R192</f>
        <v>92457</v>
      </c>
      <c r="Y192" s="2">
        <f t="shared" si="17"/>
        <v>286129.65000000002</v>
      </c>
      <c r="Z192" s="10">
        <f>'A) Base RI'!N192</f>
        <v>1162.3499999999999</v>
      </c>
      <c r="AA192" s="10">
        <f>'A) Base RI'!S192+'A) Base RI'!T192</f>
        <v>0</v>
      </c>
      <c r="AB192" s="10">
        <f>+'A) Base RI'!U192</f>
        <v>1860</v>
      </c>
      <c r="AC192" s="10">
        <f>'A) Base RI'!V192</f>
        <v>0</v>
      </c>
      <c r="AD192" s="10">
        <f>+'A) Base RI'!W192</f>
        <v>0</v>
      </c>
      <c r="AE192" s="10">
        <f>'A) Base RI'!Y192</f>
        <v>4851.1000000000004</v>
      </c>
      <c r="AF192" s="10">
        <f>'A) Base RI'!Z192</f>
        <v>0</v>
      </c>
      <c r="AG192" s="10">
        <f>'A) Base RI'!AA192</f>
        <v>-86.85</v>
      </c>
      <c r="AH192" s="10">
        <f>'A) Base RI'!AB192</f>
        <v>0</v>
      </c>
      <c r="AI192" s="10">
        <f>'A) Base RI'!AC192</f>
        <v>73791.13</v>
      </c>
      <c r="AJ192" s="10">
        <f>'A) Base RI'!AD192</f>
        <v>0</v>
      </c>
      <c r="AK192" s="10">
        <f>'A) Base RI'!AE192</f>
        <v>0</v>
      </c>
      <c r="AL192" s="10">
        <f>'A) Base RI'!AF192</f>
        <v>0</v>
      </c>
      <c r="AM192" s="10">
        <f>'A) Base RI'!AG192</f>
        <v>0</v>
      </c>
      <c r="AN192" s="10">
        <f>'A) Base RI'!AH192</f>
        <v>0</v>
      </c>
      <c r="AO192" s="10">
        <f>'A) Base RI'!AI192</f>
        <v>0</v>
      </c>
      <c r="AP192" s="10">
        <f>'A) Base RI'!AJ192</f>
        <v>0</v>
      </c>
      <c r="AQ192" s="10">
        <f>'A) Base RI'!AK192</f>
        <v>0</v>
      </c>
      <c r="AR192" s="10">
        <f>'A) Base RI'!AN192</f>
        <v>850</v>
      </c>
    </row>
    <row r="193" spans="1:44" x14ac:dyDescent="0.25">
      <c r="A193" s="8">
        <f>'A) Base RI'!A193</f>
        <v>5709</v>
      </c>
      <c r="B193" s="35" t="str">
        <f>'A) Base RI'!B193</f>
        <v>Chéserex</v>
      </c>
      <c r="C193" s="10">
        <f>'A) Base RI'!C193+'A) Base RI'!D193</f>
        <v>5692137.71</v>
      </c>
      <c r="D193" s="10">
        <f>'A) Base RI'!AO193</f>
        <v>-48437.61</v>
      </c>
      <c r="E193" s="34">
        <f>'A) Base RI'!AP193</f>
        <v>0</v>
      </c>
      <c r="F193" s="34">
        <f>'A) Base RI'!AQ193</f>
        <v>-1598.55</v>
      </c>
      <c r="G193" s="2">
        <f t="shared" si="12"/>
        <v>5642101.5499999998</v>
      </c>
      <c r="H193" s="10">
        <f>'A) Base RI'!E193</f>
        <v>0</v>
      </c>
      <c r="I193" s="10">
        <f>'A) Base RI'!F193</f>
        <v>0</v>
      </c>
      <c r="J193" s="10">
        <f>'A) Base RI'!G193+'A) Base RI'!H193</f>
        <v>1022449.15</v>
      </c>
      <c r="K193" s="10">
        <f>'A) Base RI'!I193</f>
        <v>199591.6</v>
      </c>
      <c r="L193" s="10">
        <f>'A) Base RI'!J193</f>
        <v>151909.82</v>
      </c>
      <c r="M193" s="10">
        <f>'A) Base RI'!K193</f>
        <v>2004.5</v>
      </c>
      <c r="N193" s="10">
        <f>'A) Base RI'!Q193</f>
        <v>0</v>
      </c>
      <c r="O193" s="10">
        <f t="shared" si="13"/>
        <v>349357.7</v>
      </c>
      <c r="P193" s="10">
        <f>'A) Base RI'!L193</f>
        <v>349357.7</v>
      </c>
      <c r="Q193" s="37">
        <f>'A) Base RI'!AR193</f>
        <v>1</v>
      </c>
      <c r="R193" s="2">
        <f t="shared" si="14"/>
        <v>7367414.3200000003</v>
      </c>
      <c r="S193" s="36">
        <f>'A) Base RI'!AM193</f>
        <v>52</v>
      </c>
      <c r="T193" s="2">
        <f t="shared" si="15"/>
        <v>7016052.1200000001</v>
      </c>
      <c r="U193" s="2">
        <f t="shared" si="16"/>
        <v>141681.04461538463</v>
      </c>
      <c r="V193" s="10">
        <f>'A) Base RI'!O193</f>
        <v>307438.8</v>
      </c>
      <c r="W193" s="10">
        <f>'A) Base RI'!P193</f>
        <v>1071483.5</v>
      </c>
      <c r="X193" s="10">
        <f>'A) Base RI'!R193</f>
        <v>219.65</v>
      </c>
      <c r="Y193" s="2">
        <f t="shared" si="17"/>
        <v>1379141.95</v>
      </c>
      <c r="Z193" s="10">
        <f>'A) Base RI'!N193</f>
        <v>25524.7</v>
      </c>
      <c r="AA193" s="10">
        <f>'A) Base RI'!S193+'A) Base RI'!T193</f>
        <v>3223.35</v>
      </c>
      <c r="AB193" s="10">
        <f>+'A) Base RI'!U193</f>
        <v>9850</v>
      </c>
      <c r="AC193" s="10">
        <f>'A) Base RI'!V193</f>
        <v>0</v>
      </c>
      <c r="AD193" s="10">
        <f>+'A) Base RI'!W193</f>
        <v>0</v>
      </c>
      <c r="AE193" s="10">
        <f>'A) Base RI'!Y193</f>
        <v>71302.350000000006</v>
      </c>
      <c r="AF193" s="10">
        <f>'A) Base RI'!Z193</f>
        <v>22258.5</v>
      </c>
      <c r="AG193" s="10">
        <f>'A) Base RI'!AA193</f>
        <v>44907.5</v>
      </c>
      <c r="AH193" s="10">
        <f>'A) Base RI'!AB193</f>
        <v>0</v>
      </c>
      <c r="AI193" s="10">
        <f>'A) Base RI'!AC193</f>
        <v>109595.95</v>
      </c>
      <c r="AJ193" s="10">
        <f>'A) Base RI'!AD193</f>
        <v>0</v>
      </c>
      <c r="AK193" s="10">
        <f>'A) Base RI'!AE193</f>
        <v>0</v>
      </c>
      <c r="AL193" s="10">
        <f>'A) Base RI'!AF193</f>
        <v>0</v>
      </c>
      <c r="AM193" s="10">
        <f>'A) Base RI'!AG193</f>
        <v>12043.7</v>
      </c>
      <c r="AN193" s="10">
        <f>'A) Base RI'!AH193</f>
        <v>0</v>
      </c>
      <c r="AO193" s="10">
        <f>'A) Base RI'!AI193</f>
        <v>0</v>
      </c>
      <c r="AP193" s="10">
        <f>'A) Base RI'!AJ193</f>
        <v>0</v>
      </c>
      <c r="AQ193" s="10">
        <f>'A) Base RI'!AK193</f>
        <v>0</v>
      </c>
      <c r="AR193" s="10">
        <f>'A) Base RI'!AN193</f>
        <v>1222</v>
      </c>
    </row>
    <row r="194" spans="1:44" x14ac:dyDescent="0.25">
      <c r="A194" s="8">
        <f>'A) Base RI'!A194</f>
        <v>5710</v>
      </c>
      <c r="B194" s="35" t="str">
        <f>'A) Base RI'!B194</f>
        <v>Coinsins</v>
      </c>
      <c r="C194" s="10">
        <f>'A) Base RI'!C194+'A) Base RI'!D194</f>
        <v>1329140.67</v>
      </c>
      <c r="D194" s="10">
        <f>'A) Base RI'!AO194</f>
        <v>-5599.43</v>
      </c>
      <c r="E194" s="34">
        <f>'A) Base RI'!AP194</f>
        <v>0</v>
      </c>
      <c r="F194" s="34">
        <f>'A) Base RI'!AQ194</f>
        <v>-4741.79</v>
      </c>
      <c r="G194" s="2">
        <f t="shared" si="12"/>
        <v>1318799.45</v>
      </c>
      <c r="H194" s="10">
        <f>'A) Base RI'!E194</f>
        <v>0</v>
      </c>
      <c r="I194" s="10">
        <f>'A) Base RI'!F194</f>
        <v>0</v>
      </c>
      <c r="J194" s="10">
        <f>'A) Base RI'!G194+'A) Base RI'!H194</f>
        <v>1846746.75</v>
      </c>
      <c r="K194" s="10">
        <f>'A) Base RI'!I194</f>
        <v>133369.45000000001</v>
      </c>
      <c r="L194" s="10">
        <f>'A) Base RI'!J194</f>
        <v>-244309.86</v>
      </c>
      <c r="M194" s="10">
        <f>'A) Base RI'!K194</f>
        <v>5222.7</v>
      </c>
      <c r="N194" s="10">
        <f>'A) Base RI'!Q194</f>
        <v>4608.95</v>
      </c>
      <c r="O194" s="10">
        <f t="shared" si="13"/>
        <v>113984.7</v>
      </c>
      <c r="P194" s="10">
        <f>'A) Base RI'!L194</f>
        <v>113984.7</v>
      </c>
      <c r="Q194" s="37">
        <f>'A) Base RI'!AR194</f>
        <v>1</v>
      </c>
      <c r="R194" s="2">
        <f t="shared" si="14"/>
        <v>3178422.1400000011</v>
      </c>
      <c r="S194" s="36">
        <f>'A) Base RI'!AM194</f>
        <v>41</v>
      </c>
      <c r="T194" s="2">
        <f t="shared" si="15"/>
        <v>3059214.7400000007</v>
      </c>
      <c r="U194" s="2">
        <f t="shared" si="16"/>
        <v>77522.491219512216</v>
      </c>
      <c r="V194" s="10">
        <f>'A) Base RI'!O194</f>
        <v>0</v>
      </c>
      <c r="W194" s="10">
        <f>'A) Base RI'!P194</f>
        <v>61590.7</v>
      </c>
      <c r="X194" s="10">
        <f>'A) Base RI'!R194</f>
        <v>30537.5</v>
      </c>
      <c r="Y194" s="2">
        <f t="shared" si="17"/>
        <v>92128.2</v>
      </c>
      <c r="Z194" s="10">
        <f>'A) Base RI'!N194</f>
        <v>28126.3</v>
      </c>
      <c r="AA194" s="10">
        <f>'A) Base RI'!S194+'A) Base RI'!T194</f>
        <v>0</v>
      </c>
      <c r="AB194" s="10">
        <f>+'A) Base RI'!U194</f>
        <v>0</v>
      </c>
      <c r="AC194" s="10">
        <f>'A) Base RI'!V194</f>
        <v>0</v>
      </c>
      <c r="AD194" s="10">
        <f>+'A) Base RI'!W194</f>
        <v>0</v>
      </c>
      <c r="AE194" s="10">
        <f>'A) Base RI'!Y194</f>
        <v>464.4</v>
      </c>
      <c r="AF194" s="10">
        <f>'A) Base RI'!Z194</f>
        <v>0</v>
      </c>
      <c r="AG194" s="10">
        <f>'A) Base RI'!AA194</f>
        <v>71741.429999999993</v>
      </c>
      <c r="AH194" s="10">
        <f>'A) Base RI'!AB194</f>
        <v>0</v>
      </c>
      <c r="AI194" s="10">
        <f>'A) Base RI'!AC194</f>
        <v>14030.5</v>
      </c>
      <c r="AJ194" s="10">
        <f>'A) Base RI'!AD194</f>
        <v>-9660.6</v>
      </c>
      <c r="AK194" s="10">
        <f>'A) Base RI'!AE194</f>
        <v>0</v>
      </c>
      <c r="AL194" s="10">
        <f>'A) Base RI'!AF194</f>
        <v>0</v>
      </c>
      <c r="AM194" s="10">
        <f>'A) Base RI'!AG194</f>
        <v>9586</v>
      </c>
      <c r="AN194" s="10">
        <f>'A) Base RI'!AH194</f>
        <v>26011.919999999998</v>
      </c>
      <c r="AO194" s="10">
        <f>'A) Base RI'!AI194</f>
        <v>0</v>
      </c>
      <c r="AP194" s="10">
        <f>'A) Base RI'!AJ194</f>
        <v>0</v>
      </c>
      <c r="AQ194" s="10">
        <f>'A) Base RI'!AK194</f>
        <v>0</v>
      </c>
      <c r="AR194" s="10">
        <f>'A) Base RI'!AN194</f>
        <v>490</v>
      </c>
    </row>
    <row r="195" spans="1:44" x14ac:dyDescent="0.25">
      <c r="A195" s="8">
        <f>'A) Base RI'!A195</f>
        <v>5711</v>
      </c>
      <c r="B195" s="35" t="str">
        <f>'A) Base RI'!B195</f>
        <v>Commugny</v>
      </c>
      <c r="C195" s="10">
        <f>'A) Base RI'!C195+'A) Base RI'!D195</f>
        <v>12944775.43</v>
      </c>
      <c r="D195" s="10">
        <f>'A) Base RI'!AO195</f>
        <v>-26042.27</v>
      </c>
      <c r="E195" s="34">
        <f>'A) Base RI'!AP195</f>
        <v>0</v>
      </c>
      <c r="F195" s="34">
        <f>'A) Base RI'!AQ195</f>
        <v>-22496.41</v>
      </c>
      <c r="G195" s="2">
        <f t="shared" si="12"/>
        <v>12896236.75</v>
      </c>
      <c r="H195" s="10">
        <f>'A) Base RI'!E195</f>
        <v>0</v>
      </c>
      <c r="I195" s="10">
        <f>'A) Base RI'!F195</f>
        <v>0</v>
      </c>
      <c r="J195" s="10">
        <f>'A) Base RI'!G195+'A) Base RI'!H195</f>
        <v>57628.950000000004</v>
      </c>
      <c r="K195" s="10">
        <f>'A) Base RI'!I195</f>
        <v>195836.45</v>
      </c>
      <c r="L195" s="10">
        <f>'A) Base RI'!J195</f>
        <v>243744.22</v>
      </c>
      <c r="M195" s="10">
        <f>'A) Base RI'!K195</f>
        <v>15835</v>
      </c>
      <c r="N195" s="10">
        <f>'A) Base RI'!Q195</f>
        <v>16310.84</v>
      </c>
      <c r="O195" s="10">
        <f t="shared" si="13"/>
        <v>802850.53846153838</v>
      </c>
      <c r="P195" s="10">
        <f>'A) Base RI'!L195</f>
        <v>1043705.7</v>
      </c>
      <c r="Q195" s="37">
        <f>'A) Base RI'!AR195</f>
        <v>1.3</v>
      </c>
      <c r="R195" s="2">
        <f t="shared" si="14"/>
        <v>14228442.748461537</v>
      </c>
      <c r="S195" s="36">
        <f>'A) Base RI'!AM195</f>
        <v>57</v>
      </c>
      <c r="T195" s="2">
        <f t="shared" si="15"/>
        <v>13409757.209999999</v>
      </c>
      <c r="U195" s="2">
        <f t="shared" si="16"/>
        <v>249621.80260458836</v>
      </c>
      <c r="V195" s="10">
        <f>'A) Base RI'!O195</f>
        <v>59637</v>
      </c>
      <c r="W195" s="10">
        <f>'A) Base RI'!P195</f>
        <v>538024.4</v>
      </c>
      <c r="X195" s="10">
        <f>'A) Base RI'!R195</f>
        <v>602661.5</v>
      </c>
      <c r="Y195" s="2">
        <f t="shared" si="17"/>
        <v>1200322.8999999999</v>
      </c>
      <c r="Z195" s="10">
        <f>'A) Base RI'!N195</f>
        <v>30020.2</v>
      </c>
      <c r="AA195" s="10">
        <f>'A) Base RI'!S195+'A) Base RI'!T195</f>
        <v>0</v>
      </c>
      <c r="AB195" s="10">
        <f>+'A) Base RI'!U195</f>
        <v>15650</v>
      </c>
      <c r="AC195" s="10">
        <f>'A) Base RI'!V195</f>
        <v>0</v>
      </c>
      <c r="AD195" s="10">
        <f>+'A) Base RI'!W195</f>
        <v>0</v>
      </c>
      <c r="AE195" s="10">
        <f>'A) Base RI'!Y195</f>
        <v>-24626.95</v>
      </c>
      <c r="AF195" s="10">
        <f>'A) Base RI'!Z195</f>
        <v>0</v>
      </c>
      <c r="AG195" s="10">
        <f>'A) Base RI'!AA195</f>
        <v>2551</v>
      </c>
      <c r="AH195" s="10">
        <f>'A) Base RI'!AB195</f>
        <v>0</v>
      </c>
      <c r="AI195" s="10">
        <f>'A) Base RI'!AC195</f>
        <v>253581</v>
      </c>
      <c r="AJ195" s="10">
        <f>'A) Base RI'!AD195</f>
        <v>0</v>
      </c>
      <c r="AK195" s="10">
        <f>'A) Base RI'!AE195</f>
        <v>0</v>
      </c>
      <c r="AL195" s="10">
        <f>'A) Base RI'!AF195</f>
        <v>0</v>
      </c>
      <c r="AM195" s="10">
        <f>'A) Base RI'!AG195</f>
        <v>14114</v>
      </c>
      <c r="AN195" s="10">
        <f>'A) Base RI'!AH195</f>
        <v>0</v>
      </c>
      <c r="AO195" s="10">
        <f>'A) Base RI'!AI195</f>
        <v>0</v>
      </c>
      <c r="AP195" s="10">
        <f>'A) Base RI'!AJ195</f>
        <v>0</v>
      </c>
      <c r="AQ195" s="10">
        <f>'A) Base RI'!AK195</f>
        <v>0</v>
      </c>
      <c r="AR195" s="10">
        <f>'A) Base RI'!AN195</f>
        <v>2561</v>
      </c>
    </row>
    <row r="196" spans="1:44" x14ac:dyDescent="0.25">
      <c r="A196" s="8">
        <f>'A) Base RI'!A196</f>
        <v>5712</v>
      </c>
      <c r="B196" s="35" t="str">
        <f>'A) Base RI'!B196</f>
        <v>Coppet</v>
      </c>
      <c r="C196" s="10">
        <f>'A) Base RI'!C196+'A) Base RI'!D196</f>
        <v>14114517.300000001</v>
      </c>
      <c r="D196" s="10">
        <f>'A) Base RI'!AO196</f>
        <v>-78327.7</v>
      </c>
      <c r="E196" s="34">
        <f>'A) Base RI'!AP196</f>
        <v>0</v>
      </c>
      <c r="F196" s="34">
        <f>'A) Base RI'!AQ196</f>
        <v>-7234.7</v>
      </c>
      <c r="G196" s="2">
        <f t="shared" si="12"/>
        <v>14028954.900000002</v>
      </c>
      <c r="H196" s="10">
        <f>'A) Base RI'!E196</f>
        <v>0</v>
      </c>
      <c r="I196" s="10">
        <f>'A) Base RI'!F196</f>
        <v>0</v>
      </c>
      <c r="J196" s="10">
        <f>'A) Base RI'!G196+'A) Base RI'!H196</f>
        <v>185953.45</v>
      </c>
      <c r="K196" s="10">
        <f>'A) Base RI'!I196</f>
        <v>1339561.8400000001</v>
      </c>
      <c r="L196" s="10">
        <f>'A) Base RI'!J196</f>
        <v>176292.23</v>
      </c>
      <c r="M196" s="10">
        <f>'A) Base RI'!K196</f>
        <v>23166</v>
      </c>
      <c r="N196" s="10">
        <f>'A) Base RI'!Q196</f>
        <v>5853.2</v>
      </c>
      <c r="O196" s="10">
        <f t="shared" si="13"/>
        <v>1034162.4666666667</v>
      </c>
      <c r="P196" s="10">
        <f>'A) Base RI'!L196</f>
        <v>1551243.7</v>
      </c>
      <c r="Q196" s="37">
        <f>'A) Base RI'!AR196</f>
        <v>1.5</v>
      </c>
      <c r="R196" s="2">
        <f t="shared" si="14"/>
        <v>16793944.086666666</v>
      </c>
      <c r="S196" s="36">
        <f>'A) Base RI'!AM196</f>
        <v>53</v>
      </c>
      <c r="T196" s="2">
        <f t="shared" si="15"/>
        <v>15736615.620000001</v>
      </c>
      <c r="U196" s="2">
        <f t="shared" si="16"/>
        <v>316866.86955974839</v>
      </c>
      <c r="V196" s="10">
        <f>'A) Base RI'!O196</f>
        <v>633858</v>
      </c>
      <c r="W196" s="10">
        <f>'A) Base RI'!P196</f>
        <v>945393.65</v>
      </c>
      <c r="X196" s="10">
        <f>'A) Base RI'!R196</f>
        <v>872124.45</v>
      </c>
      <c r="Y196" s="2">
        <f t="shared" si="17"/>
        <v>2451376.0999999996</v>
      </c>
      <c r="Z196" s="10">
        <f>'A) Base RI'!N196</f>
        <v>139072.15</v>
      </c>
      <c r="AA196" s="10">
        <f>'A) Base RI'!S196+'A) Base RI'!T196</f>
        <v>0</v>
      </c>
      <c r="AB196" s="10">
        <f>+'A) Base RI'!U196</f>
        <v>8050</v>
      </c>
      <c r="AC196" s="10">
        <f>'A) Base RI'!V196</f>
        <v>0</v>
      </c>
      <c r="AD196" s="10">
        <f>+'A) Base RI'!W196</f>
        <v>0</v>
      </c>
      <c r="AE196" s="10">
        <f>'A) Base RI'!Y196</f>
        <v>0</v>
      </c>
      <c r="AF196" s="10">
        <f>'A) Base RI'!Z196</f>
        <v>0</v>
      </c>
      <c r="AG196" s="10">
        <f>'A) Base RI'!AA196</f>
        <v>434</v>
      </c>
      <c r="AH196" s="10">
        <f>'A) Base RI'!AB196</f>
        <v>0</v>
      </c>
      <c r="AI196" s="10">
        <f>'A) Base RI'!AC196</f>
        <v>524087.13</v>
      </c>
      <c r="AJ196" s="10">
        <f>'A) Base RI'!AD196</f>
        <v>0</v>
      </c>
      <c r="AK196" s="10">
        <f>'A) Base RI'!AE196</f>
        <v>0</v>
      </c>
      <c r="AL196" s="10">
        <f>'A) Base RI'!AF196</f>
        <v>0</v>
      </c>
      <c r="AM196" s="10">
        <f>'A) Base RI'!AG196</f>
        <v>0</v>
      </c>
      <c r="AN196" s="10">
        <f>'A) Base RI'!AH196</f>
        <v>0</v>
      </c>
      <c r="AO196" s="10">
        <f>'A) Base RI'!AI196</f>
        <v>0</v>
      </c>
      <c r="AP196" s="10">
        <f>'A) Base RI'!AJ196</f>
        <v>0</v>
      </c>
      <c r="AQ196" s="10">
        <f>'A) Base RI'!AK196</f>
        <v>0</v>
      </c>
      <c r="AR196" s="10">
        <f>'A) Base RI'!AN196</f>
        <v>2942</v>
      </c>
    </row>
    <row r="197" spans="1:44" x14ac:dyDescent="0.25">
      <c r="A197" s="8">
        <f>'A) Base RI'!A197</f>
        <v>5713</v>
      </c>
      <c r="B197" s="35" t="str">
        <f>'A) Base RI'!B197</f>
        <v>Crans-près-Céligny</v>
      </c>
      <c r="C197" s="10">
        <f>'A) Base RI'!C197+'A) Base RI'!D197</f>
        <v>10956092.91</v>
      </c>
      <c r="D197" s="10">
        <f>'A) Base RI'!AO197</f>
        <v>-41586.51</v>
      </c>
      <c r="E197" s="34">
        <f>'A) Base RI'!AP197</f>
        <v>0</v>
      </c>
      <c r="F197" s="34">
        <f>'A) Base RI'!AQ197</f>
        <v>-4697.42</v>
      </c>
      <c r="G197" s="2">
        <f t="shared" si="12"/>
        <v>10909808.98</v>
      </c>
      <c r="H197" s="10">
        <f>'A) Base RI'!E197</f>
        <v>0</v>
      </c>
      <c r="I197" s="10">
        <f>'A) Base RI'!F197</f>
        <v>0</v>
      </c>
      <c r="J197" s="10">
        <f>'A) Base RI'!G197+'A) Base RI'!H197</f>
        <v>77038.95</v>
      </c>
      <c r="K197" s="10">
        <f>'A) Base RI'!I197</f>
        <v>437323.1</v>
      </c>
      <c r="L197" s="10">
        <f>'A) Base RI'!J197</f>
        <v>-53695.87</v>
      </c>
      <c r="M197" s="10">
        <f>'A) Base RI'!K197</f>
        <v>9692</v>
      </c>
      <c r="N197" s="10">
        <f>'A) Base RI'!Q197</f>
        <v>13579.85</v>
      </c>
      <c r="O197" s="10">
        <f t="shared" si="13"/>
        <v>758396.55</v>
      </c>
      <c r="P197" s="10">
        <f>'A) Base RI'!L197</f>
        <v>758396.55</v>
      </c>
      <c r="Q197" s="37">
        <f>'A) Base RI'!AR197</f>
        <v>1</v>
      </c>
      <c r="R197" s="2">
        <f t="shared" si="14"/>
        <v>12152143.560000001</v>
      </c>
      <c r="S197" s="36">
        <f>'A) Base RI'!AM197</f>
        <v>53</v>
      </c>
      <c r="T197" s="2">
        <f t="shared" si="15"/>
        <v>11384055.01</v>
      </c>
      <c r="U197" s="2">
        <f t="shared" si="16"/>
        <v>229285.72754716981</v>
      </c>
      <c r="V197" s="10">
        <f>'A) Base RI'!O197</f>
        <v>874993.8</v>
      </c>
      <c r="W197" s="10">
        <f>'A) Base RI'!P197</f>
        <v>424892.25</v>
      </c>
      <c r="X197" s="10">
        <f>'A) Base RI'!R197</f>
        <v>260627</v>
      </c>
      <c r="Y197" s="2">
        <f t="shared" si="17"/>
        <v>1560513.05</v>
      </c>
      <c r="Z197" s="10">
        <f>'A) Base RI'!N197</f>
        <v>31755.65</v>
      </c>
      <c r="AA197" s="10">
        <f>'A) Base RI'!S197+'A) Base RI'!T197</f>
        <v>0</v>
      </c>
      <c r="AB197" s="10">
        <f>+'A) Base RI'!U197</f>
        <v>13750</v>
      </c>
      <c r="AC197" s="10">
        <f>'A) Base RI'!V197</f>
        <v>0</v>
      </c>
      <c r="AD197" s="10">
        <f>+'A) Base RI'!W197</f>
        <v>0</v>
      </c>
      <c r="AE197" s="10">
        <f>'A) Base RI'!Y197</f>
        <v>144535.5</v>
      </c>
      <c r="AF197" s="10">
        <f>'A) Base RI'!Z197</f>
        <v>0</v>
      </c>
      <c r="AG197" s="10">
        <f>'A) Base RI'!AA197</f>
        <v>416863.74</v>
      </c>
      <c r="AH197" s="10">
        <f>'A) Base RI'!AB197</f>
        <v>0</v>
      </c>
      <c r="AI197" s="10">
        <f>'A) Base RI'!AC197</f>
        <v>187719.94</v>
      </c>
      <c r="AJ197" s="10">
        <f>'A) Base RI'!AD197</f>
        <v>0</v>
      </c>
      <c r="AK197" s="10">
        <f>'A) Base RI'!AE197</f>
        <v>0</v>
      </c>
      <c r="AL197" s="10">
        <f>'A) Base RI'!AF197</f>
        <v>0</v>
      </c>
      <c r="AM197" s="10">
        <f>'A) Base RI'!AG197</f>
        <v>8099.1</v>
      </c>
      <c r="AN197" s="10">
        <f>'A) Base RI'!AH197</f>
        <v>79482.95</v>
      </c>
      <c r="AO197" s="10">
        <f>'A) Base RI'!AI197</f>
        <v>0</v>
      </c>
      <c r="AP197" s="10">
        <f>'A) Base RI'!AJ197</f>
        <v>0</v>
      </c>
      <c r="AQ197" s="10">
        <f>'A) Base RI'!AK197</f>
        <v>0</v>
      </c>
      <c r="AR197" s="10">
        <f>'A) Base RI'!AN197</f>
        <v>2059</v>
      </c>
    </row>
    <row r="198" spans="1:44" x14ac:dyDescent="0.25">
      <c r="A198" s="8">
        <f>'A) Base RI'!A198</f>
        <v>5714</v>
      </c>
      <c r="B198" s="35" t="str">
        <f>'A) Base RI'!B198</f>
        <v>Crassier</v>
      </c>
      <c r="C198" s="10">
        <f>'A) Base RI'!C198+'A) Base RI'!D198</f>
        <v>4771176.4399999995</v>
      </c>
      <c r="D198" s="10">
        <f>'A) Base RI'!AO198</f>
        <v>-23134.2</v>
      </c>
      <c r="E198" s="34">
        <f>'A) Base RI'!AP198</f>
        <v>0</v>
      </c>
      <c r="F198" s="34">
        <f>'A) Base RI'!AQ198</f>
        <v>-968.94</v>
      </c>
      <c r="G198" s="2">
        <f t="shared" si="12"/>
        <v>4747073.2999999989</v>
      </c>
      <c r="H198" s="10">
        <f>'A) Base RI'!E198</f>
        <v>0</v>
      </c>
      <c r="I198" s="10">
        <f>'A) Base RI'!F198</f>
        <v>0</v>
      </c>
      <c r="J198" s="10">
        <f>'A) Base RI'!G198+'A) Base RI'!H198</f>
        <v>156491.4</v>
      </c>
      <c r="K198" s="10">
        <f>'A) Base RI'!I198</f>
        <v>27083.03</v>
      </c>
      <c r="L198" s="10">
        <f>'A) Base RI'!J198</f>
        <v>63684.26</v>
      </c>
      <c r="M198" s="10">
        <f>'A) Base RI'!K198</f>
        <v>4902.5</v>
      </c>
      <c r="N198" s="10">
        <f>'A) Base RI'!Q198</f>
        <v>6009.36</v>
      </c>
      <c r="O198" s="10">
        <f t="shared" si="13"/>
        <v>270131.65000000002</v>
      </c>
      <c r="P198" s="10">
        <f>'A) Base RI'!L198</f>
        <v>270131.65000000002</v>
      </c>
      <c r="Q198" s="37">
        <f>'A) Base RI'!AR198</f>
        <v>1</v>
      </c>
      <c r="R198" s="2">
        <f t="shared" si="14"/>
        <v>5275375.5</v>
      </c>
      <c r="S198" s="36">
        <f>'A) Base RI'!AM198</f>
        <v>64</v>
      </c>
      <c r="T198" s="2">
        <f t="shared" si="15"/>
        <v>5000341.3499999996</v>
      </c>
      <c r="U198" s="2">
        <f t="shared" si="16"/>
        <v>82427.7421875</v>
      </c>
      <c r="V198" s="10">
        <f>'A) Base RI'!O198</f>
        <v>117013.2</v>
      </c>
      <c r="W198" s="10">
        <f>'A) Base RI'!P198</f>
        <v>64350</v>
      </c>
      <c r="X198" s="10">
        <f>'A) Base RI'!R198</f>
        <v>106155.45</v>
      </c>
      <c r="Y198" s="2">
        <f t="shared" si="17"/>
        <v>287518.65000000002</v>
      </c>
      <c r="Z198" s="10">
        <f>'A) Base RI'!N198</f>
        <v>77119.850000000006</v>
      </c>
      <c r="AA198" s="10">
        <f>'A) Base RI'!S198+'A) Base RI'!T198</f>
        <v>1108.75</v>
      </c>
      <c r="AB198" s="10">
        <f>+'A) Base RI'!U198</f>
        <v>5190</v>
      </c>
      <c r="AC198" s="10">
        <f>'A) Base RI'!V198</f>
        <v>0</v>
      </c>
      <c r="AD198" s="10">
        <f>+'A) Base RI'!W198</f>
        <v>0</v>
      </c>
      <c r="AE198" s="10">
        <f>'A) Base RI'!Y198</f>
        <v>0</v>
      </c>
      <c r="AF198" s="10">
        <f>'A) Base RI'!Z198</f>
        <v>0</v>
      </c>
      <c r="AG198" s="10">
        <f>'A) Base RI'!AA198</f>
        <v>0</v>
      </c>
      <c r="AH198" s="10">
        <f>'A) Base RI'!AB198</f>
        <v>0</v>
      </c>
      <c r="AI198" s="10">
        <f>'A) Base RI'!AC198</f>
        <v>101007.1</v>
      </c>
      <c r="AJ198" s="10">
        <f>'A) Base RI'!AD198</f>
        <v>0</v>
      </c>
      <c r="AK198" s="10">
        <f>'A) Base RI'!AE198</f>
        <v>0</v>
      </c>
      <c r="AL198" s="10">
        <f>'A) Base RI'!AF198</f>
        <v>0</v>
      </c>
      <c r="AM198" s="10">
        <f>'A) Base RI'!AG198</f>
        <v>724</v>
      </c>
      <c r="AN198" s="10">
        <f>'A) Base RI'!AH198</f>
        <v>0</v>
      </c>
      <c r="AO198" s="10">
        <f>'A) Base RI'!AI198</f>
        <v>0</v>
      </c>
      <c r="AP198" s="10">
        <f>'A) Base RI'!AJ198</f>
        <v>0</v>
      </c>
      <c r="AQ198" s="10">
        <f>'A) Base RI'!AK198</f>
        <v>0</v>
      </c>
      <c r="AR198" s="10">
        <f>'A) Base RI'!AN198</f>
        <v>1172</v>
      </c>
    </row>
    <row r="199" spans="1:44" x14ac:dyDescent="0.25">
      <c r="A199" s="8">
        <f>'A) Base RI'!A199</f>
        <v>5715</v>
      </c>
      <c r="B199" s="35" t="str">
        <f>'A) Base RI'!B199</f>
        <v>Duillier</v>
      </c>
      <c r="C199" s="10">
        <f>'A) Base RI'!C199+'A) Base RI'!D199</f>
        <v>3865447.73</v>
      </c>
      <c r="D199" s="10">
        <f>'A) Base RI'!AO199</f>
        <v>-11583.02</v>
      </c>
      <c r="E199" s="34">
        <f>'A) Base RI'!AP199</f>
        <v>0</v>
      </c>
      <c r="F199" s="34">
        <f>'A) Base RI'!AQ199</f>
        <v>-674.96</v>
      </c>
      <c r="G199" s="2">
        <f t="shared" si="12"/>
        <v>3853189.75</v>
      </c>
      <c r="H199" s="10">
        <f>'A) Base RI'!E199</f>
        <v>0</v>
      </c>
      <c r="I199" s="10">
        <f>'A) Base RI'!F199</f>
        <v>0</v>
      </c>
      <c r="J199" s="10">
        <f>'A) Base RI'!G199+'A) Base RI'!H199</f>
        <v>77015.55</v>
      </c>
      <c r="K199" s="10">
        <f>'A) Base RI'!I199</f>
        <v>63690.75</v>
      </c>
      <c r="L199" s="10">
        <f>'A) Base RI'!J199</f>
        <v>-34143.61</v>
      </c>
      <c r="M199" s="10">
        <f>'A) Base RI'!K199</f>
        <v>4233.5</v>
      </c>
      <c r="N199" s="10">
        <f>'A) Base RI'!Q199</f>
        <v>23796.76</v>
      </c>
      <c r="O199" s="10">
        <f t="shared" si="13"/>
        <v>243632.6</v>
      </c>
      <c r="P199" s="10">
        <f>'A) Base RI'!L199</f>
        <v>243632.6</v>
      </c>
      <c r="Q199" s="37">
        <f>'A) Base RI'!AR199</f>
        <v>1</v>
      </c>
      <c r="R199" s="2">
        <f t="shared" si="14"/>
        <v>4231415.3</v>
      </c>
      <c r="S199" s="36">
        <f>'A) Base RI'!AM199</f>
        <v>66</v>
      </c>
      <c r="T199" s="2">
        <f t="shared" si="15"/>
        <v>3983549.1999999997</v>
      </c>
      <c r="U199" s="2">
        <f t="shared" si="16"/>
        <v>64112.353030303027</v>
      </c>
      <c r="V199" s="10">
        <f>'A) Base RI'!O199</f>
        <v>5741.5</v>
      </c>
      <c r="W199" s="10">
        <f>'A) Base RI'!P199</f>
        <v>194075.05</v>
      </c>
      <c r="X199" s="10">
        <f>'A) Base RI'!R199</f>
        <v>172267.4</v>
      </c>
      <c r="Y199" s="2">
        <f t="shared" si="17"/>
        <v>372083.94999999995</v>
      </c>
      <c r="Z199" s="10">
        <f>'A) Base RI'!N199</f>
        <v>37959.25</v>
      </c>
      <c r="AA199" s="10">
        <f>'A) Base RI'!S199+'A) Base RI'!T199</f>
        <v>0</v>
      </c>
      <c r="AB199" s="10">
        <f>+'A) Base RI'!U199</f>
        <v>6100</v>
      </c>
      <c r="AC199" s="10">
        <f>'A) Base RI'!V199</f>
        <v>0</v>
      </c>
      <c r="AD199" s="10">
        <f>+'A) Base RI'!W199</f>
        <v>0</v>
      </c>
      <c r="AE199" s="10">
        <f>'A) Base RI'!Y199</f>
        <v>0</v>
      </c>
      <c r="AF199" s="10">
        <f>'A) Base RI'!Z199</f>
        <v>0</v>
      </c>
      <c r="AG199" s="10">
        <f>'A) Base RI'!AA199</f>
        <v>104455.31</v>
      </c>
      <c r="AH199" s="10">
        <f>'A) Base RI'!AB199</f>
        <v>0</v>
      </c>
      <c r="AI199" s="10">
        <f>'A) Base RI'!AC199</f>
        <v>101046.62</v>
      </c>
      <c r="AJ199" s="10">
        <f>'A) Base RI'!AD199</f>
        <v>0</v>
      </c>
      <c r="AK199" s="10">
        <f>'A) Base RI'!AE199</f>
        <v>0</v>
      </c>
      <c r="AL199" s="10">
        <f>'A) Base RI'!AF199</f>
        <v>0</v>
      </c>
      <c r="AM199" s="10">
        <f>'A) Base RI'!AG199</f>
        <v>4167</v>
      </c>
      <c r="AN199" s="10">
        <f>'A) Base RI'!AH199</f>
        <v>36281.879999999997</v>
      </c>
      <c r="AO199" s="10">
        <f>'A) Base RI'!AI199</f>
        <v>0</v>
      </c>
      <c r="AP199" s="10">
        <f>'A) Base RI'!AJ199</f>
        <v>0</v>
      </c>
      <c r="AQ199" s="10">
        <f>'A) Base RI'!AK199</f>
        <v>0</v>
      </c>
      <c r="AR199" s="10">
        <f>'A) Base RI'!AN199</f>
        <v>1039</v>
      </c>
    </row>
    <row r="200" spans="1:44" x14ac:dyDescent="0.25">
      <c r="A200" s="8">
        <f>'A) Base RI'!A200</f>
        <v>5716</v>
      </c>
      <c r="B200" s="35" t="str">
        <f>'A) Base RI'!B200</f>
        <v>Eysins</v>
      </c>
      <c r="C200" s="10">
        <f>'A) Base RI'!C200+'A) Base RI'!D200</f>
        <v>3099938.1999999997</v>
      </c>
      <c r="D200" s="10">
        <f>'A) Base RI'!AO200</f>
        <v>-97506.29</v>
      </c>
      <c r="E200" s="34">
        <f>'A) Base RI'!AP200</f>
        <v>0</v>
      </c>
      <c r="F200" s="34">
        <f>'A) Base RI'!AQ200</f>
        <v>-270.68</v>
      </c>
      <c r="G200" s="2">
        <f t="shared" ref="G200:G263" si="18">SUM(C200:F200)</f>
        <v>3002161.2299999995</v>
      </c>
      <c r="H200" s="10">
        <f>'A) Base RI'!E200</f>
        <v>0</v>
      </c>
      <c r="I200" s="10">
        <f>'A) Base RI'!F200</f>
        <v>0</v>
      </c>
      <c r="J200" s="10">
        <f>'A) Base RI'!G200+'A) Base RI'!H200</f>
        <v>1741834.3</v>
      </c>
      <c r="K200" s="10">
        <f>'A) Base RI'!I200</f>
        <v>24162</v>
      </c>
      <c r="L200" s="10">
        <f>'A) Base RI'!J200</f>
        <v>222138.84</v>
      </c>
      <c r="M200" s="10">
        <f>'A) Base RI'!K200</f>
        <v>120810</v>
      </c>
      <c r="N200" s="10">
        <f>'A) Base RI'!Q200</f>
        <v>3104.65</v>
      </c>
      <c r="O200" s="10">
        <f t="shared" ref="O200:O263" si="19">(P200/Q200)*1</f>
        <v>574590.80000000005</v>
      </c>
      <c r="P200" s="10">
        <f>'A) Base RI'!L200</f>
        <v>574590.80000000005</v>
      </c>
      <c r="Q200" s="37">
        <f>'A) Base RI'!AR200</f>
        <v>1</v>
      </c>
      <c r="R200" s="2">
        <f t="shared" ref="R200:R263" si="20">SUM(G200:O200)</f>
        <v>5688801.8199999994</v>
      </c>
      <c r="S200" s="36">
        <f>'A) Base RI'!AM200</f>
        <v>61</v>
      </c>
      <c r="T200" s="2">
        <f t="shared" ref="T200:T263" si="21">(G200+H200+J200+K200+L200+N200)</f>
        <v>4993401.0199999996</v>
      </c>
      <c r="U200" s="2">
        <f t="shared" ref="U200:U263" si="22">R200/S200</f>
        <v>93259.046229508182</v>
      </c>
      <c r="V200" s="10">
        <f>'A) Base RI'!O200</f>
        <v>11053.6</v>
      </c>
      <c r="W200" s="10">
        <f>'A) Base RI'!P200</f>
        <v>886060.15</v>
      </c>
      <c r="X200" s="10">
        <f>'A) Base RI'!R200</f>
        <v>338896.9</v>
      </c>
      <c r="Y200" s="2">
        <f t="shared" ref="Y200:Y263" si="23">SUM(V200:X200)</f>
        <v>1236010.6499999999</v>
      </c>
      <c r="Z200" s="10">
        <f>'A) Base RI'!N200</f>
        <v>454385.3</v>
      </c>
      <c r="AA200" s="10">
        <f>'A) Base RI'!S200+'A) Base RI'!T200</f>
        <v>9165.9</v>
      </c>
      <c r="AB200" s="10">
        <f>+'A) Base RI'!U200</f>
        <v>6350</v>
      </c>
      <c r="AC200" s="10">
        <f>'A) Base RI'!V200</f>
        <v>0</v>
      </c>
      <c r="AD200" s="10">
        <f>+'A) Base RI'!W200</f>
        <v>0</v>
      </c>
      <c r="AE200" s="10">
        <f>'A) Base RI'!Y200</f>
        <v>225521.76</v>
      </c>
      <c r="AF200" s="10">
        <f>'A) Base RI'!Z200</f>
        <v>0</v>
      </c>
      <c r="AG200" s="10">
        <f>'A) Base RI'!AA200</f>
        <v>202238.31</v>
      </c>
      <c r="AH200" s="10">
        <f>'A) Base RI'!AB200</f>
        <v>0</v>
      </c>
      <c r="AI200" s="10">
        <f>'A) Base RI'!AC200</f>
        <v>104449.72</v>
      </c>
      <c r="AJ200" s="10">
        <f>'A) Base RI'!AD200</f>
        <v>0</v>
      </c>
      <c r="AK200" s="10">
        <f>'A) Base RI'!AE200</f>
        <v>0</v>
      </c>
      <c r="AL200" s="10">
        <f>'A) Base RI'!AF200</f>
        <v>0</v>
      </c>
      <c r="AM200" s="10">
        <f>'A) Base RI'!AG200</f>
        <v>0</v>
      </c>
      <c r="AN200" s="10">
        <f>'A) Base RI'!AH200</f>
        <v>60180.1</v>
      </c>
      <c r="AO200" s="10">
        <f>'A) Base RI'!AI200</f>
        <v>0</v>
      </c>
      <c r="AP200" s="10">
        <f>'A) Base RI'!AJ200</f>
        <v>0</v>
      </c>
      <c r="AQ200" s="10">
        <f>'A) Base RI'!AK200</f>
        <v>0</v>
      </c>
      <c r="AR200" s="10">
        <f>'A) Base RI'!AN200</f>
        <v>1482</v>
      </c>
    </row>
    <row r="201" spans="1:44" x14ac:dyDescent="0.25">
      <c r="A201" s="8">
        <f>'A) Base RI'!A201</f>
        <v>5717</v>
      </c>
      <c r="B201" s="35" t="str">
        <f>'A) Base RI'!B201</f>
        <v>Founex</v>
      </c>
      <c r="C201" s="10">
        <f>'A) Base RI'!C201+'A) Base RI'!D201</f>
        <v>17948786.240000002</v>
      </c>
      <c r="D201" s="10">
        <f>'A) Base RI'!AO201</f>
        <v>-41045.94</v>
      </c>
      <c r="E201" s="34">
        <f>'A) Base RI'!AP201</f>
        <v>-30987</v>
      </c>
      <c r="F201" s="34">
        <f>'A) Base RI'!AQ201</f>
        <v>-15729.84</v>
      </c>
      <c r="G201" s="2">
        <f t="shared" si="18"/>
        <v>17861023.460000001</v>
      </c>
      <c r="H201" s="10">
        <f>'A) Base RI'!E201</f>
        <v>0</v>
      </c>
      <c r="I201" s="10">
        <f>'A) Base RI'!F201</f>
        <v>0</v>
      </c>
      <c r="J201" s="10">
        <f>'A) Base RI'!G201+'A) Base RI'!H201</f>
        <v>227896.55</v>
      </c>
      <c r="K201" s="10">
        <f>'A) Base RI'!I201</f>
        <v>975959.76</v>
      </c>
      <c r="L201" s="10">
        <f>'A) Base RI'!J201</f>
        <v>182455.58</v>
      </c>
      <c r="M201" s="10">
        <f>'A) Base RI'!K201</f>
        <v>43071</v>
      </c>
      <c r="N201" s="10">
        <f>'A) Base RI'!Q201</f>
        <v>20057.400000000001</v>
      </c>
      <c r="O201" s="10">
        <f t="shared" si="19"/>
        <v>1191666.8</v>
      </c>
      <c r="P201" s="10">
        <f>'A) Base RI'!L201</f>
        <v>1191666.8</v>
      </c>
      <c r="Q201" s="37">
        <f>'A) Base RI'!AR201</f>
        <v>1</v>
      </c>
      <c r="R201" s="2">
        <f t="shared" si="20"/>
        <v>20502130.550000001</v>
      </c>
      <c r="S201" s="36">
        <f>'A) Base RI'!AM201</f>
        <v>57</v>
      </c>
      <c r="T201" s="2">
        <f t="shared" si="21"/>
        <v>19267392.75</v>
      </c>
      <c r="U201" s="2">
        <f t="shared" si="22"/>
        <v>359686.500877193</v>
      </c>
      <c r="V201" s="10">
        <f>'A) Base RI'!O201</f>
        <v>18986.7</v>
      </c>
      <c r="W201" s="10">
        <f>'A) Base RI'!P201</f>
        <v>898506.7</v>
      </c>
      <c r="X201" s="10">
        <f>'A) Base RI'!R201</f>
        <v>598659.85</v>
      </c>
      <c r="Y201" s="2">
        <f t="shared" si="23"/>
        <v>1516153.25</v>
      </c>
      <c r="Z201" s="10">
        <f>'A) Base RI'!N201</f>
        <v>168707.25</v>
      </c>
      <c r="AA201" s="10">
        <f>'A) Base RI'!S201+'A) Base RI'!T201</f>
        <v>800</v>
      </c>
      <c r="AB201" s="10">
        <f>+'A) Base RI'!U201</f>
        <v>17500</v>
      </c>
      <c r="AC201" s="10">
        <f>'A) Base RI'!V201</f>
        <v>0</v>
      </c>
      <c r="AD201" s="10">
        <f>+'A) Base RI'!W201</f>
        <v>0</v>
      </c>
      <c r="AE201" s="10">
        <f>'A) Base RI'!Y201</f>
        <v>0</v>
      </c>
      <c r="AF201" s="10">
        <f>'A) Base RI'!Z201</f>
        <v>0</v>
      </c>
      <c r="AG201" s="10">
        <f>'A) Base RI'!AA201</f>
        <v>0</v>
      </c>
      <c r="AH201" s="10">
        <f>'A) Base RI'!AB201</f>
        <v>0</v>
      </c>
      <c r="AI201" s="10">
        <f>'A) Base RI'!AC201</f>
        <v>486841.35</v>
      </c>
      <c r="AJ201" s="10">
        <f>'A) Base RI'!AD201</f>
        <v>0</v>
      </c>
      <c r="AK201" s="10">
        <f>'A) Base RI'!AE201</f>
        <v>0</v>
      </c>
      <c r="AL201" s="10">
        <f>'A) Base RI'!AF201</f>
        <v>0</v>
      </c>
      <c r="AM201" s="10">
        <f>'A) Base RI'!AG201</f>
        <v>3582</v>
      </c>
      <c r="AN201" s="10">
        <f>'A) Base RI'!AH201</f>
        <v>0</v>
      </c>
      <c r="AO201" s="10">
        <f>'A) Base RI'!AI201</f>
        <v>0</v>
      </c>
      <c r="AP201" s="10">
        <f>'A) Base RI'!AJ201</f>
        <v>0</v>
      </c>
      <c r="AQ201" s="10">
        <f>'A) Base RI'!AK201</f>
        <v>0</v>
      </c>
      <c r="AR201" s="10">
        <f>'A) Base RI'!AN201</f>
        <v>3410</v>
      </c>
    </row>
    <row r="202" spans="1:44" x14ac:dyDescent="0.25">
      <c r="A202" s="8">
        <f>'A) Base RI'!A202</f>
        <v>5718</v>
      </c>
      <c r="B202" s="35" t="str">
        <f>'A) Base RI'!B202</f>
        <v>Genolier</v>
      </c>
      <c r="C202" s="10">
        <f>'A) Base RI'!C202+'A) Base RI'!D202</f>
        <v>9449692.6099999994</v>
      </c>
      <c r="D202" s="10">
        <f>'A) Base RI'!AO202</f>
        <v>-34065.5</v>
      </c>
      <c r="E202" s="34">
        <f>'A) Base RI'!AP202</f>
        <v>0</v>
      </c>
      <c r="F202" s="34">
        <f>'A) Base RI'!AQ202</f>
        <v>-4607.1899999999996</v>
      </c>
      <c r="G202" s="2">
        <f t="shared" si="18"/>
        <v>9411019.9199999999</v>
      </c>
      <c r="H202" s="10">
        <f>'A) Base RI'!E202</f>
        <v>0</v>
      </c>
      <c r="I202" s="10">
        <f>'A) Base RI'!F202</f>
        <v>0</v>
      </c>
      <c r="J202" s="10">
        <f>'A) Base RI'!G202+'A) Base RI'!H202</f>
        <v>256757.95</v>
      </c>
      <c r="K202" s="10">
        <f>'A) Base RI'!I202</f>
        <v>165839.31</v>
      </c>
      <c r="L202" s="10">
        <f>'A) Base RI'!J202</f>
        <v>210976.68</v>
      </c>
      <c r="M202" s="10">
        <f>'A) Base RI'!K202</f>
        <v>31043</v>
      </c>
      <c r="N202" s="10">
        <f>'A) Base RI'!Q202</f>
        <v>34378.92</v>
      </c>
      <c r="O202" s="10">
        <f t="shared" si="19"/>
        <v>590322.80000000005</v>
      </c>
      <c r="P202" s="10">
        <f>'A) Base RI'!L202</f>
        <v>590322.80000000005</v>
      </c>
      <c r="Q202" s="37">
        <f>'A) Base RI'!AR202</f>
        <v>1</v>
      </c>
      <c r="R202" s="2">
        <f t="shared" si="20"/>
        <v>10700338.58</v>
      </c>
      <c r="S202" s="36">
        <f>'A) Base RI'!AM202</f>
        <v>55</v>
      </c>
      <c r="T202" s="2">
        <f t="shared" si="21"/>
        <v>10078972.779999999</v>
      </c>
      <c r="U202" s="2">
        <f t="shared" si="22"/>
        <v>194551.61054545455</v>
      </c>
      <c r="V202" s="10">
        <f>'A) Base RI'!O202</f>
        <v>21500</v>
      </c>
      <c r="W202" s="10">
        <f>'A) Base RI'!P202</f>
        <v>668482.35</v>
      </c>
      <c r="X202" s="10">
        <f>'A) Base RI'!R202</f>
        <v>372543.45</v>
      </c>
      <c r="Y202" s="2">
        <f t="shared" si="23"/>
        <v>1062525.8</v>
      </c>
      <c r="Z202" s="10">
        <f>'A) Base RI'!N202</f>
        <v>364037.8</v>
      </c>
      <c r="AA202" s="10">
        <f>'A) Base RI'!S202+'A) Base RI'!T202</f>
        <v>0</v>
      </c>
      <c r="AB202" s="10">
        <f>+'A) Base RI'!U202</f>
        <v>5975</v>
      </c>
      <c r="AC202" s="10">
        <f>'A) Base RI'!V202</f>
        <v>0</v>
      </c>
      <c r="AD202" s="10">
        <f>+'A) Base RI'!W202</f>
        <v>0</v>
      </c>
      <c r="AE202" s="10">
        <f>'A) Base RI'!Y202</f>
        <v>57053.7</v>
      </c>
      <c r="AF202" s="10">
        <f>'A) Base RI'!Z202</f>
        <v>0</v>
      </c>
      <c r="AG202" s="10">
        <f>'A) Base RI'!AA202</f>
        <v>225533.65</v>
      </c>
      <c r="AH202" s="10">
        <f>'A) Base RI'!AB202</f>
        <v>0</v>
      </c>
      <c r="AI202" s="10">
        <f>'A) Base RI'!AC202</f>
        <v>173909.6</v>
      </c>
      <c r="AJ202" s="10">
        <f>'A) Base RI'!AD202</f>
        <v>126786</v>
      </c>
      <c r="AK202" s="10">
        <f>'A) Base RI'!AE202</f>
        <v>0</v>
      </c>
      <c r="AL202" s="10">
        <f>'A) Base RI'!AF202</f>
        <v>0</v>
      </c>
      <c r="AM202" s="10">
        <f>'A) Base RI'!AG202</f>
        <v>16918.95</v>
      </c>
      <c r="AN202" s="10">
        <f>'A) Base RI'!AH202</f>
        <v>0</v>
      </c>
      <c r="AO202" s="10">
        <f>'A) Base RI'!AI202</f>
        <v>0</v>
      </c>
      <c r="AP202" s="10">
        <f>'A) Base RI'!AJ202</f>
        <v>0</v>
      </c>
      <c r="AQ202" s="10">
        <f>'A) Base RI'!AK202</f>
        <v>0</v>
      </c>
      <c r="AR202" s="10">
        <f>'A) Base RI'!AN202</f>
        <v>1895</v>
      </c>
    </row>
    <row r="203" spans="1:44" x14ac:dyDescent="0.25">
      <c r="A203" s="8">
        <f>'A) Base RI'!A203</f>
        <v>5719</v>
      </c>
      <c r="B203" s="35" t="str">
        <f>'A) Base RI'!B203</f>
        <v>Gingins</v>
      </c>
      <c r="C203" s="10">
        <f>'A) Base RI'!C203+'A) Base RI'!D203</f>
        <v>4363473.38</v>
      </c>
      <c r="D203" s="10">
        <f>'A) Base RI'!AO203</f>
        <v>-19354.22</v>
      </c>
      <c r="E203" s="34">
        <f>'A) Base RI'!AP203</f>
        <v>0</v>
      </c>
      <c r="F203" s="34">
        <f>'A) Base RI'!AQ203</f>
        <v>-1625.82</v>
      </c>
      <c r="G203" s="2">
        <f t="shared" si="18"/>
        <v>4342493.34</v>
      </c>
      <c r="H203" s="10">
        <f>'A) Base RI'!E203</f>
        <v>0</v>
      </c>
      <c r="I203" s="10">
        <f>'A) Base RI'!F203</f>
        <v>0</v>
      </c>
      <c r="J203" s="10">
        <f>'A) Base RI'!G203+'A) Base RI'!H203</f>
        <v>56989.85</v>
      </c>
      <c r="K203" s="10">
        <f>'A) Base RI'!I203</f>
        <v>248492.38</v>
      </c>
      <c r="L203" s="10">
        <f>'A) Base RI'!J203</f>
        <v>108628.29</v>
      </c>
      <c r="M203" s="10">
        <f>'A) Base RI'!K203</f>
        <v>8173.5</v>
      </c>
      <c r="N203" s="10">
        <f>'A) Base RI'!Q203</f>
        <v>2872.2</v>
      </c>
      <c r="O203" s="10">
        <f t="shared" si="19"/>
        <v>363018</v>
      </c>
      <c r="P203" s="10">
        <f>'A) Base RI'!L203</f>
        <v>217810.8</v>
      </c>
      <c r="Q203" s="37">
        <f>'A) Base RI'!AR203</f>
        <v>0.6</v>
      </c>
      <c r="R203" s="2">
        <f t="shared" si="20"/>
        <v>5130667.5599999996</v>
      </c>
      <c r="S203" s="36">
        <f>'A) Base RI'!AM203</f>
        <v>57</v>
      </c>
      <c r="T203" s="2">
        <f t="shared" si="21"/>
        <v>4759476.0599999996</v>
      </c>
      <c r="U203" s="2">
        <f t="shared" si="22"/>
        <v>90011.711578947361</v>
      </c>
      <c r="V203" s="10">
        <f>'A) Base RI'!O203</f>
        <v>107738</v>
      </c>
      <c r="W203" s="10">
        <f>'A) Base RI'!P203</f>
        <v>309026.15000000002</v>
      </c>
      <c r="X203" s="10">
        <f>'A) Base RI'!R203</f>
        <v>581533.05000000005</v>
      </c>
      <c r="Y203" s="2">
        <f t="shared" si="23"/>
        <v>998297.20000000007</v>
      </c>
      <c r="Z203" s="10">
        <f>'A) Base RI'!N203</f>
        <v>68663.100000000006</v>
      </c>
      <c r="AA203" s="10">
        <f>'A) Base RI'!S203+'A) Base RI'!T203</f>
        <v>0</v>
      </c>
      <c r="AB203" s="10">
        <f>+'A) Base RI'!U203</f>
        <v>13250</v>
      </c>
      <c r="AC203" s="10">
        <f>'A) Base RI'!V203</f>
        <v>0</v>
      </c>
      <c r="AD203" s="10">
        <f>+'A) Base RI'!W203</f>
        <v>0</v>
      </c>
      <c r="AE203" s="10">
        <f>'A) Base RI'!Y203</f>
        <v>94480</v>
      </c>
      <c r="AF203" s="10">
        <f>'A) Base RI'!Z203</f>
        <v>0</v>
      </c>
      <c r="AG203" s="10">
        <f>'A) Base RI'!AA203</f>
        <v>82973</v>
      </c>
      <c r="AH203" s="10">
        <f>'A) Base RI'!AB203</f>
        <v>0</v>
      </c>
      <c r="AI203" s="10">
        <f>'A) Base RI'!AC203</f>
        <v>74575.509999999995</v>
      </c>
      <c r="AJ203" s="10">
        <f>'A) Base RI'!AD203</f>
        <v>115562.5</v>
      </c>
      <c r="AK203" s="10">
        <f>'A) Base RI'!AE203</f>
        <v>0</v>
      </c>
      <c r="AL203" s="10">
        <f>'A) Base RI'!AF203</f>
        <v>0</v>
      </c>
      <c r="AM203" s="10">
        <f>'A) Base RI'!AG203</f>
        <v>0</v>
      </c>
      <c r="AN203" s="10">
        <f>'A) Base RI'!AH203</f>
        <v>0</v>
      </c>
      <c r="AO203" s="10">
        <f>'A) Base RI'!AI203</f>
        <v>0</v>
      </c>
      <c r="AP203" s="10">
        <f>'A) Base RI'!AJ203</f>
        <v>0</v>
      </c>
      <c r="AQ203" s="10">
        <f>'A) Base RI'!AK203</f>
        <v>0</v>
      </c>
      <c r="AR203" s="10">
        <f>'A) Base RI'!AN203</f>
        <v>1195</v>
      </c>
    </row>
    <row r="204" spans="1:44" x14ac:dyDescent="0.25">
      <c r="A204" s="8">
        <f>'A) Base RI'!A204</f>
        <v>5720</v>
      </c>
      <c r="B204" s="35" t="str">
        <f>'A) Base RI'!B204</f>
        <v>Givrins</v>
      </c>
      <c r="C204" s="10">
        <f>'A) Base RI'!C204+'A) Base RI'!D204</f>
        <v>3680507.8600000003</v>
      </c>
      <c r="D204" s="10">
        <f>'A) Base RI'!AO204</f>
        <v>-35111.26</v>
      </c>
      <c r="E204" s="34">
        <f>'A) Base RI'!AP204</f>
        <v>0</v>
      </c>
      <c r="F204" s="34">
        <f>'A) Base RI'!AQ204</f>
        <v>-3403.11</v>
      </c>
      <c r="G204" s="2">
        <f t="shared" si="18"/>
        <v>3641993.4900000007</v>
      </c>
      <c r="H204" s="10">
        <f>'A) Base RI'!E204</f>
        <v>0</v>
      </c>
      <c r="I204" s="10">
        <f>'A) Base RI'!F204</f>
        <v>0</v>
      </c>
      <c r="J204" s="10">
        <f>'A) Base RI'!G204+'A) Base RI'!H204</f>
        <v>122551.04999999999</v>
      </c>
      <c r="K204" s="10">
        <f>'A) Base RI'!I204</f>
        <v>326065.3</v>
      </c>
      <c r="L204" s="10">
        <f>'A) Base RI'!J204</f>
        <v>117959.74</v>
      </c>
      <c r="M204" s="10">
        <f>'A) Base RI'!K204</f>
        <v>0</v>
      </c>
      <c r="N204" s="10">
        <f>'A) Base RI'!Q204</f>
        <v>5224.17</v>
      </c>
      <c r="O204" s="10">
        <f t="shared" si="19"/>
        <v>277714.44444444444</v>
      </c>
      <c r="P204" s="10">
        <f>'A) Base RI'!L204</f>
        <v>249943</v>
      </c>
      <c r="Q204" s="37">
        <f>'A) Base RI'!AR204</f>
        <v>0.9</v>
      </c>
      <c r="R204" s="2">
        <f t="shared" si="20"/>
        <v>4491508.194444444</v>
      </c>
      <c r="S204" s="36">
        <f>'A) Base RI'!AM204</f>
        <v>61</v>
      </c>
      <c r="T204" s="2">
        <f t="shared" si="21"/>
        <v>4213793.75</v>
      </c>
      <c r="U204" s="2">
        <f t="shared" si="22"/>
        <v>73631.281876138426</v>
      </c>
      <c r="V204" s="10">
        <f>'A) Base RI'!O204</f>
        <v>0</v>
      </c>
      <c r="W204" s="10">
        <f>'A) Base RI'!P204</f>
        <v>250676.75</v>
      </c>
      <c r="X204" s="10">
        <f>'A) Base RI'!R204</f>
        <v>17331.400000000001</v>
      </c>
      <c r="Y204" s="2">
        <f t="shared" si="23"/>
        <v>268008.15000000002</v>
      </c>
      <c r="Z204" s="10">
        <f>'A) Base RI'!N204</f>
        <v>22318.35</v>
      </c>
      <c r="AA204" s="10">
        <f>'A) Base RI'!S204+'A) Base RI'!T204</f>
        <v>0</v>
      </c>
      <c r="AB204" s="10">
        <f>+'A) Base RI'!U204</f>
        <v>4320</v>
      </c>
      <c r="AC204" s="10">
        <f>'A) Base RI'!V204</f>
        <v>0</v>
      </c>
      <c r="AD204" s="10">
        <f>+'A) Base RI'!W204</f>
        <v>0</v>
      </c>
      <c r="AE204" s="10">
        <f>'A) Base RI'!Y204</f>
        <v>37640.050000000003</v>
      </c>
      <c r="AF204" s="10">
        <f>'A) Base RI'!Z204</f>
        <v>0</v>
      </c>
      <c r="AG204" s="10">
        <f>'A) Base RI'!AA204</f>
        <v>146969.35</v>
      </c>
      <c r="AH204" s="10">
        <f>'A) Base RI'!AB204</f>
        <v>0</v>
      </c>
      <c r="AI204" s="10">
        <f>'A) Base RI'!AC204</f>
        <v>50876.65</v>
      </c>
      <c r="AJ204" s="10">
        <f>'A) Base RI'!AD204</f>
        <v>16336.1</v>
      </c>
      <c r="AK204" s="10">
        <f>'A) Base RI'!AE204</f>
        <v>0</v>
      </c>
      <c r="AL204" s="10">
        <f>'A) Base RI'!AF204</f>
        <v>0</v>
      </c>
      <c r="AM204" s="10">
        <f>'A) Base RI'!AG204</f>
        <v>3157</v>
      </c>
      <c r="AN204" s="10">
        <f>'A) Base RI'!AH204</f>
        <v>0</v>
      </c>
      <c r="AO204" s="10">
        <f>'A) Base RI'!AI204</f>
        <v>0</v>
      </c>
      <c r="AP204" s="10">
        <f>'A) Base RI'!AJ204</f>
        <v>0</v>
      </c>
      <c r="AQ204" s="10">
        <f>'A) Base RI'!AK204</f>
        <v>0</v>
      </c>
      <c r="AR204" s="10">
        <f>'A) Base RI'!AN204</f>
        <v>1000</v>
      </c>
    </row>
    <row r="205" spans="1:44" x14ac:dyDescent="0.25">
      <c r="A205" s="8">
        <f>'A) Base RI'!A205</f>
        <v>5721</v>
      </c>
      <c r="B205" s="35" t="str">
        <f>'A) Base RI'!B205</f>
        <v>Gland</v>
      </c>
      <c r="C205" s="10">
        <f>'A) Base RI'!C205+'A) Base RI'!D205</f>
        <v>26268988.25</v>
      </c>
      <c r="D205" s="10">
        <f>'A) Base RI'!AO205</f>
        <v>-407988.22</v>
      </c>
      <c r="E205" s="34">
        <f>'A) Base RI'!AP205</f>
        <v>0</v>
      </c>
      <c r="F205" s="34">
        <f>'A) Base RI'!AQ205</f>
        <v>-12174.17</v>
      </c>
      <c r="G205" s="2">
        <f t="shared" si="18"/>
        <v>25848825.859999999</v>
      </c>
      <c r="H205" s="10">
        <f>'A) Base RI'!E205</f>
        <v>0</v>
      </c>
      <c r="I205" s="10">
        <f>'A) Base RI'!F205</f>
        <v>0</v>
      </c>
      <c r="J205" s="10">
        <f>'A) Base RI'!G205+'A) Base RI'!H205</f>
        <v>2912716.3000000003</v>
      </c>
      <c r="K205" s="10">
        <f>'A) Base RI'!I205</f>
        <v>874499.92</v>
      </c>
      <c r="L205" s="10">
        <f>'A) Base RI'!J205</f>
        <v>1231617.8500000001</v>
      </c>
      <c r="M205" s="10">
        <f>'A) Base RI'!K205</f>
        <v>368354.5</v>
      </c>
      <c r="N205" s="10">
        <f>'A) Base RI'!Q205</f>
        <v>107284.29</v>
      </c>
      <c r="O205" s="10">
        <f t="shared" si="19"/>
        <v>2478518.9</v>
      </c>
      <c r="P205" s="10">
        <f>'A) Base RI'!L205</f>
        <v>2478518.9</v>
      </c>
      <c r="Q205" s="37">
        <f>'A) Base RI'!AR205</f>
        <v>1</v>
      </c>
      <c r="R205" s="2">
        <f t="shared" si="20"/>
        <v>33821817.620000005</v>
      </c>
      <c r="S205" s="36">
        <f>'A) Base RI'!AM205</f>
        <v>62.5</v>
      </c>
      <c r="T205" s="2">
        <f t="shared" si="21"/>
        <v>30974944.220000003</v>
      </c>
      <c r="U205" s="2">
        <f t="shared" si="22"/>
        <v>541149.08192000003</v>
      </c>
      <c r="V205" s="10">
        <f>'A) Base RI'!O205</f>
        <v>92780.6</v>
      </c>
      <c r="W205" s="10">
        <f>'A) Base RI'!P205</f>
        <v>1383509.4</v>
      </c>
      <c r="X205" s="10">
        <f>'A) Base RI'!R205</f>
        <v>-1179606.8500000001</v>
      </c>
      <c r="Y205" s="2">
        <f t="shared" si="23"/>
        <v>296683.14999999991</v>
      </c>
      <c r="Z205" s="10">
        <f>'A) Base RI'!N205</f>
        <v>1972526.75</v>
      </c>
      <c r="AA205" s="10">
        <f>'A) Base RI'!S205+'A) Base RI'!T205</f>
        <v>0</v>
      </c>
      <c r="AB205" s="10">
        <f>+'A) Base RI'!U205</f>
        <v>59150</v>
      </c>
      <c r="AC205" s="10">
        <f>'A) Base RI'!V205</f>
        <v>0</v>
      </c>
      <c r="AD205" s="10">
        <f>+'A) Base RI'!W205</f>
        <v>0</v>
      </c>
      <c r="AE205" s="10">
        <f>'A) Base RI'!Y205</f>
        <v>320394.65000000002</v>
      </c>
      <c r="AF205" s="10">
        <f>'A) Base RI'!Z205</f>
        <v>0</v>
      </c>
      <c r="AG205" s="10">
        <f>'A) Base RI'!AA205</f>
        <v>1065770.3999999999</v>
      </c>
      <c r="AH205" s="10">
        <f>'A) Base RI'!AB205</f>
        <v>0</v>
      </c>
      <c r="AI205" s="10">
        <f>'A) Base RI'!AC205</f>
        <v>1526507.2</v>
      </c>
      <c r="AJ205" s="10">
        <f>'A) Base RI'!AD205</f>
        <v>128157.85</v>
      </c>
      <c r="AK205" s="10">
        <f>'A) Base RI'!AE205</f>
        <v>0</v>
      </c>
      <c r="AL205" s="10">
        <f>'A) Base RI'!AF205</f>
        <v>0</v>
      </c>
      <c r="AM205" s="10">
        <f>'A) Base RI'!AG205</f>
        <v>43356</v>
      </c>
      <c r="AN205" s="10">
        <f>'A) Base RI'!AH205</f>
        <v>348994.18</v>
      </c>
      <c r="AO205" s="10">
        <f>'A) Base RI'!AI205</f>
        <v>199399.2</v>
      </c>
      <c r="AP205" s="10">
        <f>'A) Base RI'!AJ205</f>
        <v>349006.18</v>
      </c>
      <c r="AQ205" s="10">
        <f>'A) Base RI'!AK205</f>
        <v>249289.47</v>
      </c>
      <c r="AR205" s="10">
        <f>'A) Base RI'!AN205</f>
        <v>12829</v>
      </c>
    </row>
    <row r="206" spans="1:44" x14ac:dyDescent="0.25">
      <c r="A206" s="8">
        <f>'A) Base RI'!A206</f>
        <v>5722</v>
      </c>
      <c r="B206" s="35" t="str">
        <f>'A) Base RI'!B206</f>
        <v>Grens</v>
      </c>
      <c r="C206" s="10">
        <f>'A) Base RI'!C206+'A) Base RI'!D206</f>
        <v>1140566.3799999999</v>
      </c>
      <c r="D206" s="10">
        <f>'A) Base RI'!AO206</f>
        <v>-126.18</v>
      </c>
      <c r="E206" s="34">
        <f>'A) Base RI'!AP206</f>
        <v>0</v>
      </c>
      <c r="F206" s="34">
        <f>'A) Base RI'!AQ206</f>
        <v>-308.87</v>
      </c>
      <c r="G206" s="2">
        <f t="shared" si="18"/>
        <v>1140131.3299999998</v>
      </c>
      <c r="H206" s="10">
        <f>'A) Base RI'!E206</f>
        <v>0</v>
      </c>
      <c r="I206" s="10">
        <f>'A) Base RI'!F206</f>
        <v>0</v>
      </c>
      <c r="J206" s="10">
        <f>'A) Base RI'!G206+'A) Base RI'!H206</f>
        <v>21607.35</v>
      </c>
      <c r="K206" s="10">
        <f>'A) Base RI'!I206</f>
        <v>0</v>
      </c>
      <c r="L206" s="10">
        <f>'A) Base RI'!J206</f>
        <v>36297.14</v>
      </c>
      <c r="M206" s="10">
        <f>'A) Base RI'!K206</f>
        <v>-6555</v>
      </c>
      <c r="N206" s="10">
        <f>'A) Base RI'!Q206</f>
        <v>0</v>
      </c>
      <c r="O206" s="10">
        <f t="shared" si="19"/>
        <v>79478.399999999994</v>
      </c>
      <c r="P206" s="10">
        <f>'A) Base RI'!L206</f>
        <v>79478.399999999994</v>
      </c>
      <c r="Q206" s="37">
        <f>'A) Base RI'!AR206</f>
        <v>1</v>
      </c>
      <c r="R206" s="2">
        <f t="shared" si="20"/>
        <v>1270959.2199999997</v>
      </c>
      <c r="S206" s="36">
        <f>'A) Base RI'!AM206</f>
        <v>62</v>
      </c>
      <c r="T206" s="2">
        <f t="shared" si="21"/>
        <v>1198035.8199999998</v>
      </c>
      <c r="U206" s="2">
        <f t="shared" si="22"/>
        <v>20499.342258064513</v>
      </c>
      <c r="V206" s="10">
        <f>'A) Base RI'!O206</f>
        <v>0</v>
      </c>
      <c r="W206" s="10">
        <f>'A) Base RI'!P206</f>
        <v>308778.75</v>
      </c>
      <c r="X206" s="10">
        <f>'A) Base RI'!R206</f>
        <v>63027.55</v>
      </c>
      <c r="Y206" s="2">
        <f t="shared" si="23"/>
        <v>371806.3</v>
      </c>
      <c r="Z206" s="10">
        <f>'A) Base RI'!N206</f>
        <v>7421.2</v>
      </c>
      <c r="AA206" s="10">
        <f>'A) Base RI'!S206+'A) Base RI'!T206</f>
        <v>545</v>
      </c>
      <c r="AB206" s="10">
        <f>+'A) Base RI'!U206</f>
        <v>1550</v>
      </c>
      <c r="AC206" s="10">
        <f>'A) Base RI'!V206</f>
        <v>0</v>
      </c>
      <c r="AD206" s="10">
        <f>+'A) Base RI'!W206</f>
        <v>0</v>
      </c>
      <c r="AE206" s="10">
        <f>'A) Base RI'!Y206</f>
        <v>39000</v>
      </c>
      <c r="AF206" s="10">
        <f>'A) Base RI'!Z206</f>
        <v>-605.9</v>
      </c>
      <c r="AG206" s="10">
        <f>'A) Base RI'!AA206</f>
        <v>47414.59</v>
      </c>
      <c r="AH206" s="10">
        <f>'A) Base RI'!AB206</f>
        <v>0</v>
      </c>
      <c r="AI206" s="10">
        <f>'A) Base RI'!AC206</f>
        <v>24900.2</v>
      </c>
      <c r="AJ206" s="10">
        <f>'A) Base RI'!AD206</f>
        <v>0</v>
      </c>
      <c r="AK206" s="10">
        <f>'A) Base RI'!AE206</f>
        <v>0</v>
      </c>
      <c r="AL206" s="10">
        <f>'A) Base RI'!AF206</f>
        <v>0</v>
      </c>
      <c r="AM206" s="10">
        <f>'A) Base RI'!AG206</f>
        <v>1299.5999999999999</v>
      </c>
      <c r="AN206" s="10">
        <f>'A) Base RI'!AH206</f>
        <v>10833.45</v>
      </c>
      <c r="AO206" s="10">
        <f>'A) Base RI'!AI206</f>
        <v>0</v>
      </c>
      <c r="AP206" s="10">
        <f>'A) Base RI'!AJ206</f>
        <v>0</v>
      </c>
      <c r="AQ206" s="10">
        <f>'A) Base RI'!AK206</f>
        <v>0</v>
      </c>
      <c r="AR206" s="10">
        <f>'A) Base RI'!AN206</f>
        <v>377</v>
      </c>
    </row>
    <row r="207" spans="1:44" x14ac:dyDescent="0.25">
      <c r="A207" s="8">
        <f>'A) Base RI'!A207</f>
        <v>5723</v>
      </c>
      <c r="B207" s="35" t="str">
        <f>'A) Base RI'!B207</f>
        <v>Mies</v>
      </c>
      <c r="C207" s="10">
        <f>'A) Base RI'!C207+'A) Base RI'!D207</f>
        <v>28608838.23</v>
      </c>
      <c r="D207" s="10">
        <f>'A) Base RI'!AO207</f>
        <v>-13661.87</v>
      </c>
      <c r="E207" s="34">
        <f>'A) Base RI'!AP207</f>
        <v>0</v>
      </c>
      <c r="F207" s="34">
        <f>'A) Base RI'!AQ207</f>
        <v>-14255.57</v>
      </c>
      <c r="G207" s="2">
        <f t="shared" si="18"/>
        <v>28580920.789999999</v>
      </c>
      <c r="H207" s="10">
        <f>'A) Base RI'!E207</f>
        <v>0</v>
      </c>
      <c r="I207" s="10">
        <f>'A) Base RI'!F207</f>
        <v>0</v>
      </c>
      <c r="J207" s="10">
        <f>'A) Base RI'!G207+'A) Base RI'!H207</f>
        <v>176832.65</v>
      </c>
      <c r="K207" s="10">
        <f>'A) Base RI'!I207</f>
        <v>823292.43</v>
      </c>
      <c r="L207" s="10">
        <f>'A) Base RI'!J207</f>
        <v>81012.95</v>
      </c>
      <c r="M207" s="10">
        <f>'A) Base RI'!K207</f>
        <v>32016</v>
      </c>
      <c r="N207" s="10">
        <f>'A) Base RI'!Q207</f>
        <v>41101.83</v>
      </c>
      <c r="O207" s="10">
        <f t="shared" si="19"/>
        <v>721205.9</v>
      </c>
      <c r="P207" s="10">
        <f>'A) Base RI'!L207</f>
        <v>721205.9</v>
      </c>
      <c r="Q207" s="37">
        <f>'A) Base RI'!AR207</f>
        <v>1</v>
      </c>
      <c r="R207" s="2">
        <f t="shared" si="20"/>
        <v>30456382.549999993</v>
      </c>
      <c r="S207" s="36">
        <f>'A) Base RI'!AM207</f>
        <v>49</v>
      </c>
      <c r="T207" s="2">
        <f t="shared" si="21"/>
        <v>29703160.649999995</v>
      </c>
      <c r="U207" s="2">
        <f t="shared" si="22"/>
        <v>621558.82755102031</v>
      </c>
      <c r="V207" s="10">
        <f>'A) Base RI'!O207</f>
        <v>102650.4</v>
      </c>
      <c r="W207" s="10">
        <f>'A) Base RI'!P207</f>
        <v>799458.9</v>
      </c>
      <c r="X207" s="10">
        <f>'A) Base RI'!R207</f>
        <v>922300.55</v>
      </c>
      <c r="Y207" s="2">
        <f t="shared" si="23"/>
        <v>1824409.85</v>
      </c>
      <c r="Z207" s="10">
        <f>'A) Base RI'!N207</f>
        <v>148394.4</v>
      </c>
      <c r="AA207" s="10">
        <f>'A) Base RI'!S207+'A) Base RI'!T207</f>
        <v>0</v>
      </c>
      <c r="AB207" s="10">
        <f>+'A) Base RI'!U207</f>
        <v>6875</v>
      </c>
      <c r="AC207" s="10">
        <f>'A) Base RI'!V207</f>
        <v>0</v>
      </c>
      <c r="AD207" s="10">
        <f>+'A) Base RI'!W207</f>
        <v>0</v>
      </c>
      <c r="AE207" s="10">
        <f>'A) Base RI'!Y207</f>
        <v>0</v>
      </c>
      <c r="AF207" s="10">
        <f>'A) Base RI'!Z207</f>
        <v>0</v>
      </c>
      <c r="AG207" s="10">
        <f>'A) Base RI'!AA207</f>
        <v>0</v>
      </c>
      <c r="AH207" s="10">
        <f>'A) Base RI'!AB207</f>
        <v>0</v>
      </c>
      <c r="AI207" s="10">
        <f>'A) Base RI'!AC207</f>
        <v>0</v>
      </c>
      <c r="AJ207" s="10">
        <f>'A) Base RI'!AD207</f>
        <v>0</v>
      </c>
      <c r="AK207" s="10">
        <f>'A) Base RI'!AE207</f>
        <v>0</v>
      </c>
      <c r="AL207" s="10">
        <f>'A) Base RI'!AF207</f>
        <v>0</v>
      </c>
      <c r="AM207" s="10">
        <f>'A) Base RI'!AG207</f>
        <v>0</v>
      </c>
      <c r="AN207" s="10">
        <f>'A) Base RI'!AH207</f>
        <v>0</v>
      </c>
      <c r="AO207" s="10">
        <f>'A) Base RI'!AI207</f>
        <v>0</v>
      </c>
      <c r="AP207" s="10">
        <f>'A) Base RI'!AJ207</f>
        <v>0</v>
      </c>
      <c r="AQ207" s="10">
        <f>'A) Base RI'!AK207</f>
        <v>0</v>
      </c>
      <c r="AR207" s="10">
        <f>'A) Base RI'!AN207</f>
        <v>1791</v>
      </c>
    </row>
    <row r="208" spans="1:44" x14ac:dyDescent="0.25">
      <c r="A208" s="8">
        <f>'A) Base RI'!A208</f>
        <v>5724</v>
      </c>
      <c r="B208" s="35" t="str">
        <f>'A) Base RI'!B208</f>
        <v>Nyon</v>
      </c>
      <c r="C208" s="10">
        <f>'A) Base RI'!C208+'A) Base RI'!D208</f>
        <v>57821515.859999999</v>
      </c>
      <c r="D208" s="10">
        <f>'A) Base RI'!AO208</f>
        <v>-724451.93</v>
      </c>
      <c r="E208" s="34">
        <f>'A) Base RI'!AP208</f>
        <v>0</v>
      </c>
      <c r="F208" s="34">
        <f>'A) Base RI'!AQ208</f>
        <v>-51850.48</v>
      </c>
      <c r="G208" s="2">
        <f t="shared" si="18"/>
        <v>57045213.450000003</v>
      </c>
      <c r="H208" s="10">
        <f>'A) Base RI'!E208</f>
        <v>0</v>
      </c>
      <c r="I208" s="10">
        <f>'A) Base RI'!F208</f>
        <v>0</v>
      </c>
      <c r="J208" s="10">
        <f>'A) Base RI'!G208+'A) Base RI'!H208</f>
        <v>18163102.050000001</v>
      </c>
      <c r="K208" s="10">
        <f>'A) Base RI'!I208</f>
        <v>1942992.82</v>
      </c>
      <c r="L208" s="10">
        <f>'A) Base RI'!J208</f>
        <v>3827768.36</v>
      </c>
      <c r="M208" s="10">
        <f>'A) Base RI'!K208</f>
        <v>706050.5</v>
      </c>
      <c r="N208" s="10">
        <f>'A) Base RI'!Q208</f>
        <v>251041.81</v>
      </c>
      <c r="O208" s="10">
        <f t="shared" si="19"/>
        <v>4603029.230769231</v>
      </c>
      <c r="P208" s="10">
        <f>'A) Base RI'!L208</f>
        <v>5983938</v>
      </c>
      <c r="Q208" s="37">
        <f>'A) Base RI'!AR208</f>
        <v>1.3</v>
      </c>
      <c r="R208" s="2">
        <f t="shared" si="20"/>
        <v>86539198.220769227</v>
      </c>
      <c r="S208" s="36">
        <f>'A) Base RI'!AM208</f>
        <v>61</v>
      </c>
      <c r="T208" s="2">
        <f t="shared" si="21"/>
        <v>81230118.489999995</v>
      </c>
      <c r="U208" s="2">
        <f t="shared" si="22"/>
        <v>1418675.3806683479</v>
      </c>
      <c r="V208" s="10">
        <f>'A) Base RI'!O208</f>
        <v>1668002</v>
      </c>
      <c r="W208" s="10">
        <f>'A) Base RI'!P208</f>
        <v>3555979.25</v>
      </c>
      <c r="X208" s="10">
        <f>'A) Base RI'!R208</f>
        <v>3395873</v>
      </c>
      <c r="Y208" s="2">
        <f t="shared" si="23"/>
        <v>8619854.25</v>
      </c>
      <c r="Z208" s="10">
        <f>'A) Base RI'!N208</f>
        <v>4000000</v>
      </c>
      <c r="AA208" s="10">
        <f>'A) Base RI'!S208+'A) Base RI'!T208</f>
        <v>0</v>
      </c>
      <c r="AB208" s="10">
        <f>+'A) Base RI'!U208</f>
        <v>41397.5</v>
      </c>
      <c r="AC208" s="10">
        <f>'A) Base RI'!V208</f>
        <v>0</v>
      </c>
      <c r="AD208" s="10">
        <f>+'A) Base RI'!W208</f>
        <v>0</v>
      </c>
      <c r="AE208" s="10">
        <f>'A) Base RI'!Y208</f>
        <v>1782193</v>
      </c>
      <c r="AF208" s="10">
        <f>'A) Base RI'!Z208</f>
        <v>0</v>
      </c>
      <c r="AG208" s="10">
        <f>'A) Base RI'!AA208</f>
        <v>3823189.99</v>
      </c>
      <c r="AH208" s="10">
        <f>'A) Base RI'!AB208</f>
        <v>0</v>
      </c>
      <c r="AI208" s="10">
        <f>'A) Base RI'!AC208</f>
        <v>1951895.49</v>
      </c>
      <c r="AJ208" s="10">
        <f>'A) Base RI'!AD208</f>
        <v>815148.1</v>
      </c>
      <c r="AK208" s="10">
        <f>'A) Base RI'!AE208</f>
        <v>0</v>
      </c>
      <c r="AL208" s="10">
        <f>'A) Base RI'!AF208</f>
        <v>0</v>
      </c>
      <c r="AM208" s="10">
        <f>'A) Base RI'!AG208</f>
        <v>145213</v>
      </c>
      <c r="AN208" s="10">
        <f>'A) Base RI'!AH208</f>
        <v>693743.02</v>
      </c>
      <c r="AO208" s="10">
        <f>'A) Base RI'!AI208</f>
        <v>792825.84</v>
      </c>
      <c r="AP208" s="10">
        <f>'A) Base RI'!AJ208</f>
        <v>472817.02</v>
      </c>
      <c r="AQ208" s="10">
        <f>'A) Base RI'!AK208</f>
        <v>99125.05</v>
      </c>
      <c r="AR208" s="10">
        <f>'A) Base RI'!AN208</f>
        <v>20047</v>
      </c>
    </row>
    <row r="209" spans="1:44" x14ac:dyDescent="0.25">
      <c r="A209" s="8">
        <f>'A) Base RI'!A209</f>
        <v>5725</v>
      </c>
      <c r="B209" s="35" t="str">
        <f>'A) Base RI'!B209</f>
        <v>Prangins</v>
      </c>
      <c r="C209" s="10">
        <f>'A) Base RI'!C209+'A) Base RI'!D209</f>
        <v>14556033.43</v>
      </c>
      <c r="D209" s="10">
        <f>'A) Base RI'!AO209</f>
        <v>-50998.71</v>
      </c>
      <c r="E209" s="34">
        <f>'A) Base RI'!AP209</f>
        <v>0</v>
      </c>
      <c r="F209" s="34">
        <f>'A) Base RI'!AQ209</f>
        <v>-34234.550000000003</v>
      </c>
      <c r="G209" s="2">
        <f t="shared" si="18"/>
        <v>14470800.169999998</v>
      </c>
      <c r="H209" s="10">
        <f>'A) Base RI'!E209</f>
        <v>0</v>
      </c>
      <c r="I209" s="10">
        <f>'A) Base RI'!F209</f>
        <v>0</v>
      </c>
      <c r="J209" s="10">
        <f>'A) Base RI'!G209+'A) Base RI'!H209</f>
        <v>1196421.6499999999</v>
      </c>
      <c r="K209" s="10">
        <f>'A) Base RI'!I209</f>
        <v>654103.87</v>
      </c>
      <c r="L209" s="10">
        <f>'A) Base RI'!J209</f>
        <v>453719.89</v>
      </c>
      <c r="M209" s="10">
        <f>'A) Base RI'!K209</f>
        <v>53981</v>
      </c>
      <c r="N209" s="10">
        <f>'A) Base RI'!Q209</f>
        <v>4727.22</v>
      </c>
      <c r="O209" s="10">
        <f t="shared" si="19"/>
        <v>1077317.4285714286</v>
      </c>
      <c r="P209" s="10">
        <f>'A) Base RI'!L209</f>
        <v>1508244.4</v>
      </c>
      <c r="Q209" s="37">
        <f>'A) Base RI'!AR209</f>
        <v>1.4</v>
      </c>
      <c r="R209" s="2">
        <f t="shared" si="20"/>
        <v>17911071.228571426</v>
      </c>
      <c r="S209" s="36">
        <f>'A) Base RI'!AM209</f>
        <v>56</v>
      </c>
      <c r="T209" s="2">
        <f t="shared" si="21"/>
        <v>16779772.799999997</v>
      </c>
      <c r="U209" s="2">
        <f t="shared" si="22"/>
        <v>319840.55765306117</v>
      </c>
      <c r="V209" s="10">
        <f>'A) Base RI'!O209</f>
        <v>91222.5</v>
      </c>
      <c r="W209" s="10">
        <f>'A) Base RI'!P209</f>
        <v>384390.25</v>
      </c>
      <c r="X209" s="10">
        <f>'A) Base RI'!R209</f>
        <v>451521.25</v>
      </c>
      <c r="Y209" s="2">
        <f t="shared" si="23"/>
        <v>927134</v>
      </c>
      <c r="Z209" s="10">
        <f>'A) Base RI'!N209</f>
        <v>1232272.8999999999</v>
      </c>
      <c r="AA209" s="10">
        <f>'A) Base RI'!S209+'A) Base RI'!T209</f>
        <v>506.15</v>
      </c>
      <c r="AB209" s="10">
        <f>+'A) Base RI'!U209</f>
        <v>16100</v>
      </c>
      <c r="AC209" s="10">
        <f>'A) Base RI'!V209</f>
        <v>0</v>
      </c>
      <c r="AD209" s="10">
        <f>+'A) Base RI'!W209</f>
        <v>0</v>
      </c>
      <c r="AE209" s="10">
        <f>'A) Base RI'!Y209</f>
        <v>60823.03</v>
      </c>
      <c r="AF209" s="10">
        <f>'A) Base RI'!Z209</f>
        <v>0</v>
      </c>
      <c r="AG209" s="10">
        <f>'A) Base RI'!AA209</f>
        <v>329224.95</v>
      </c>
      <c r="AH209" s="10">
        <f>'A) Base RI'!AB209</f>
        <v>0</v>
      </c>
      <c r="AI209" s="10">
        <f>'A) Base RI'!AC209</f>
        <v>238894.88</v>
      </c>
      <c r="AJ209" s="10">
        <f>'A) Base RI'!AD209</f>
        <v>0</v>
      </c>
      <c r="AK209" s="10">
        <f>'A) Base RI'!AE209</f>
        <v>0</v>
      </c>
      <c r="AL209" s="10">
        <f>'A) Base RI'!AF209</f>
        <v>0</v>
      </c>
      <c r="AM209" s="10">
        <f>'A) Base RI'!AG209</f>
        <v>44896.6</v>
      </c>
      <c r="AN209" s="10">
        <f>'A) Base RI'!AH209</f>
        <v>0</v>
      </c>
      <c r="AO209" s="10">
        <f>'A) Base RI'!AI209</f>
        <v>0</v>
      </c>
      <c r="AP209" s="10">
        <f>'A) Base RI'!AJ209</f>
        <v>0</v>
      </c>
      <c r="AQ209" s="10">
        <f>'A) Base RI'!AK209</f>
        <v>0</v>
      </c>
      <c r="AR209" s="10">
        <f>'A) Base RI'!AN209</f>
        <v>4011</v>
      </c>
    </row>
    <row r="210" spans="1:44" x14ac:dyDescent="0.25">
      <c r="A210" s="8">
        <f>'A) Base RI'!A210</f>
        <v>5726</v>
      </c>
      <c r="B210" s="35" t="str">
        <f>'A) Base RI'!B210</f>
        <v>La Rippe</v>
      </c>
      <c r="C210" s="10">
        <f>'A) Base RI'!C210+'A) Base RI'!D210</f>
        <v>3701455.14</v>
      </c>
      <c r="D210" s="10">
        <f>'A) Base RI'!AO210</f>
        <v>-65367.01</v>
      </c>
      <c r="E210" s="34">
        <f>'A) Base RI'!AP210</f>
        <v>0</v>
      </c>
      <c r="F210" s="34">
        <f>'A) Base RI'!AQ210</f>
        <v>-192.39</v>
      </c>
      <c r="G210" s="2">
        <f t="shared" si="18"/>
        <v>3635895.74</v>
      </c>
      <c r="H210" s="10">
        <f>'A) Base RI'!E210</f>
        <v>0</v>
      </c>
      <c r="I210" s="10">
        <f>'A) Base RI'!F210</f>
        <v>0</v>
      </c>
      <c r="J210" s="10">
        <f>'A) Base RI'!G210+'A) Base RI'!H210</f>
        <v>73758.8</v>
      </c>
      <c r="K210" s="10">
        <f>'A) Base RI'!I210</f>
        <v>11455.45</v>
      </c>
      <c r="L210" s="10">
        <f>'A) Base RI'!J210</f>
        <v>92128.98</v>
      </c>
      <c r="M210" s="10">
        <f>'A) Base RI'!K210</f>
        <v>3647</v>
      </c>
      <c r="N210" s="10">
        <f>'A) Base RI'!Q210</f>
        <v>1016.2</v>
      </c>
      <c r="O210" s="10">
        <f t="shared" si="19"/>
        <v>239452.79999999999</v>
      </c>
      <c r="P210" s="10">
        <f>'A) Base RI'!L210</f>
        <v>239452.79999999999</v>
      </c>
      <c r="Q210" s="37">
        <f>'A) Base RI'!AR210</f>
        <v>1</v>
      </c>
      <c r="R210" s="2">
        <f t="shared" si="20"/>
        <v>4057354.97</v>
      </c>
      <c r="S210" s="36">
        <f>'A) Base RI'!AM210</f>
        <v>65</v>
      </c>
      <c r="T210" s="2">
        <f t="shared" si="21"/>
        <v>3814255.1700000004</v>
      </c>
      <c r="U210" s="2">
        <f t="shared" si="22"/>
        <v>62420.845692307696</v>
      </c>
      <c r="V210" s="10">
        <f>'A) Base RI'!O210</f>
        <v>20723.5</v>
      </c>
      <c r="W210" s="10">
        <f>'A) Base RI'!P210</f>
        <v>96553.2</v>
      </c>
      <c r="X210" s="10">
        <f>'A) Base RI'!R210</f>
        <v>111017.7</v>
      </c>
      <c r="Y210" s="2">
        <f t="shared" si="23"/>
        <v>228294.39999999999</v>
      </c>
      <c r="Z210" s="10">
        <f>'A) Base RI'!N210</f>
        <v>22619.15</v>
      </c>
      <c r="AA210" s="10">
        <f>'A) Base RI'!S210+'A) Base RI'!T210</f>
        <v>0</v>
      </c>
      <c r="AB210" s="10">
        <f>+'A) Base RI'!U210</f>
        <v>8000</v>
      </c>
      <c r="AC210" s="10">
        <f>'A) Base RI'!V210</f>
        <v>0</v>
      </c>
      <c r="AD210" s="10">
        <f>+'A) Base RI'!W210</f>
        <v>0</v>
      </c>
      <c r="AE210" s="10">
        <f>'A) Base RI'!Y210</f>
        <v>0</v>
      </c>
      <c r="AF210" s="10">
        <f>'A) Base RI'!Z210</f>
        <v>0</v>
      </c>
      <c r="AG210" s="10">
        <f>'A) Base RI'!AA210</f>
        <v>141248.68</v>
      </c>
      <c r="AH210" s="10">
        <f>'A) Base RI'!AB210</f>
        <v>0</v>
      </c>
      <c r="AI210" s="10">
        <f>'A) Base RI'!AC210</f>
        <v>92443.81</v>
      </c>
      <c r="AJ210" s="10">
        <f>'A) Base RI'!AD210</f>
        <v>0</v>
      </c>
      <c r="AK210" s="10">
        <f>'A) Base RI'!AE210</f>
        <v>-2730.9</v>
      </c>
      <c r="AL210" s="10">
        <f>'A) Base RI'!AF210</f>
        <v>0</v>
      </c>
      <c r="AM210" s="10">
        <f>'A) Base RI'!AG210</f>
        <v>8592.25</v>
      </c>
      <c r="AN210" s="10">
        <f>'A) Base RI'!AH210</f>
        <v>0</v>
      </c>
      <c r="AO210" s="10">
        <f>'A) Base RI'!AI210</f>
        <v>0</v>
      </c>
      <c r="AP210" s="10">
        <f>'A) Base RI'!AJ210</f>
        <v>0</v>
      </c>
      <c r="AQ210" s="10">
        <f>'A) Base RI'!AK210</f>
        <v>0</v>
      </c>
      <c r="AR210" s="10">
        <f>'A) Base RI'!AN210</f>
        <v>1120</v>
      </c>
    </row>
    <row r="211" spans="1:44" x14ac:dyDescent="0.25">
      <c r="A211" s="8">
        <f>'A) Base RI'!A211</f>
        <v>5727</v>
      </c>
      <c r="B211" s="35" t="str">
        <f>'A) Base RI'!B211</f>
        <v>Saint-Cergue</v>
      </c>
      <c r="C211" s="10">
        <f>'A) Base RI'!C211+'A) Base RI'!D211</f>
        <v>5347167.7600000007</v>
      </c>
      <c r="D211" s="10">
        <f>'A) Base RI'!AO211</f>
        <v>-146049.70000000001</v>
      </c>
      <c r="E211" s="34">
        <f>'A) Base RI'!AP211</f>
        <v>0</v>
      </c>
      <c r="F211" s="34">
        <f>'A) Base RI'!AQ211</f>
        <v>-441.26</v>
      </c>
      <c r="G211" s="2">
        <f t="shared" si="18"/>
        <v>5200676.8000000007</v>
      </c>
      <c r="H211" s="10">
        <f>'A) Base RI'!E211</f>
        <v>0</v>
      </c>
      <c r="I211" s="10">
        <f>'A) Base RI'!F211</f>
        <v>0</v>
      </c>
      <c r="J211" s="10">
        <f>'A) Base RI'!G211+'A) Base RI'!H211</f>
        <v>117580.8</v>
      </c>
      <c r="K211" s="10">
        <f>'A) Base RI'!I211</f>
        <v>125954.15</v>
      </c>
      <c r="L211" s="10">
        <f>'A) Base RI'!J211</f>
        <v>246871.72</v>
      </c>
      <c r="M211" s="10">
        <f>'A) Base RI'!K211</f>
        <v>7021.5</v>
      </c>
      <c r="N211" s="10">
        <f>'A) Base RI'!Q211</f>
        <v>48404.57</v>
      </c>
      <c r="O211" s="10">
        <f t="shared" si="19"/>
        <v>465807.76666666666</v>
      </c>
      <c r="P211" s="10">
        <f>'A) Base RI'!L211</f>
        <v>698711.65</v>
      </c>
      <c r="Q211" s="37">
        <f>'A) Base RI'!AR211</f>
        <v>1.5</v>
      </c>
      <c r="R211" s="2">
        <f t="shared" si="20"/>
        <v>6212317.3066666676</v>
      </c>
      <c r="S211" s="36">
        <f>'A) Base RI'!AM211</f>
        <v>66</v>
      </c>
      <c r="T211" s="2">
        <f t="shared" si="21"/>
        <v>5739488.040000001</v>
      </c>
      <c r="U211" s="2">
        <f t="shared" si="22"/>
        <v>94126.01979797981</v>
      </c>
      <c r="V211" s="10">
        <f>'A) Base RI'!O211</f>
        <v>73962.2</v>
      </c>
      <c r="W211" s="10">
        <f>'A) Base RI'!P211</f>
        <v>366864.1</v>
      </c>
      <c r="X211" s="10">
        <f>'A) Base RI'!R211</f>
        <v>203178.95</v>
      </c>
      <c r="Y211" s="2">
        <f t="shared" si="23"/>
        <v>644005.25</v>
      </c>
      <c r="Z211" s="10">
        <f>'A) Base RI'!N211</f>
        <v>142442.29999999999</v>
      </c>
      <c r="AA211" s="10">
        <f>'A) Base RI'!S211+'A) Base RI'!T211</f>
        <v>3560.15</v>
      </c>
      <c r="AB211" s="10">
        <f>+'A) Base RI'!U211</f>
        <v>11450</v>
      </c>
      <c r="AC211" s="10">
        <f>'A) Base RI'!V211</f>
        <v>0</v>
      </c>
      <c r="AD211" s="10">
        <f>+'A) Base RI'!W211</f>
        <v>0</v>
      </c>
      <c r="AE211" s="10">
        <f>'A) Base RI'!Y211</f>
        <v>48172.85</v>
      </c>
      <c r="AF211" s="10">
        <f>'A) Base RI'!Z211</f>
        <v>326391.58</v>
      </c>
      <c r="AG211" s="10">
        <f>'A) Base RI'!AA211</f>
        <v>0</v>
      </c>
      <c r="AH211" s="10">
        <f>'A) Base RI'!AB211</f>
        <v>0</v>
      </c>
      <c r="AI211" s="10">
        <f>'A) Base RI'!AC211</f>
        <v>250689.44</v>
      </c>
      <c r="AJ211" s="10">
        <f>'A) Base RI'!AD211</f>
        <v>58060.4</v>
      </c>
      <c r="AK211" s="10">
        <f>'A) Base RI'!AE211</f>
        <v>0</v>
      </c>
      <c r="AL211" s="10">
        <f>'A) Base RI'!AF211</f>
        <v>0</v>
      </c>
      <c r="AM211" s="10">
        <f>'A) Base RI'!AG211</f>
        <v>42258.55</v>
      </c>
      <c r="AN211" s="10">
        <f>'A) Base RI'!AH211</f>
        <v>0</v>
      </c>
      <c r="AO211" s="10">
        <f>'A) Base RI'!AI211</f>
        <v>0</v>
      </c>
      <c r="AP211" s="10">
        <f>'A) Base RI'!AJ211</f>
        <v>0</v>
      </c>
      <c r="AQ211" s="10">
        <f>'A) Base RI'!AK211</f>
        <v>0</v>
      </c>
      <c r="AR211" s="10">
        <f>'A) Base RI'!AN211</f>
        <v>2481</v>
      </c>
    </row>
    <row r="212" spans="1:44" x14ac:dyDescent="0.25">
      <c r="A212" s="8">
        <f>'A) Base RI'!A212</f>
        <v>5728</v>
      </c>
      <c r="B212" s="35" t="str">
        <f>'A) Base RI'!B212</f>
        <v>Signy-Avenex</v>
      </c>
      <c r="C212" s="10">
        <f>'A) Base RI'!C212+'A) Base RI'!D212</f>
        <v>1447053.6099999999</v>
      </c>
      <c r="D212" s="10">
        <f>'A) Base RI'!AO212</f>
        <v>-15954.12</v>
      </c>
      <c r="E212" s="34">
        <f>'A) Base RI'!AP212</f>
        <v>-4676.3500000000004</v>
      </c>
      <c r="F212" s="34">
        <f>'A) Base RI'!AQ212</f>
        <v>-98.4</v>
      </c>
      <c r="G212" s="2">
        <f t="shared" si="18"/>
        <v>1426324.7399999998</v>
      </c>
      <c r="H212" s="10">
        <f>'A) Base RI'!E212</f>
        <v>0</v>
      </c>
      <c r="I212" s="10">
        <f>'A) Base RI'!F212</f>
        <v>0</v>
      </c>
      <c r="J212" s="10">
        <f>'A) Base RI'!G212+'A) Base RI'!H212</f>
        <v>186358.39999999999</v>
      </c>
      <c r="K212" s="10">
        <f>'A) Base RI'!I212</f>
        <v>246.099999999999</v>
      </c>
      <c r="L212" s="10">
        <f>'A) Base RI'!J212</f>
        <v>4448.92</v>
      </c>
      <c r="M212" s="10">
        <f>'A) Base RI'!K212</f>
        <v>50269</v>
      </c>
      <c r="N212" s="10">
        <f>'A) Base RI'!Q212</f>
        <v>9785.91</v>
      </c>
      <c r="O212" s="10">
        <f t="shared" si="19"/>
        <v>201233.3</v>
      </c>
      <c r="P212" s="10">
        <f>'A) Base RI'!L212</f>
        <v>201233.3</v>
      </c>
      <c r="Q212" s="37">
        <f>'A) Base RI'!AR212</f>
        <v>1</v>
      </c>
      <c r="R212" s="2">
        <f t="shared" si="20"/>
        <v>1878666.3699999996</v>
      </c>
      <c r="S212" s="36">
        <f>'A) Base RI'!AM212</f>
        <v>56</v>
      </c>
      <c r="T212" s="2">
        <f t="shared" si="21"/>
        <v>1627164.0699999996</v>
      </c>
      <c r="U212" s="2">
        <f t="shared" si="22"/>
        <v>33547.613749999997</v>
      </c>
      <c r="V212" s="10">
        <f>'A) Base RI'!O212</f>
        <v>0</v>
      </c>
      <c r="W212" s="10">
        <f>'A) Base RI'!P212</f>
        <v>230393.75</v>
      </c>
      <c r="X212" s="10">
        <f>'A) Base RI'!R212</f>
        <v>85296.1</v>
      </c>
      <c r="Y212" s="2">
        <f t="shared" si="23"/>
        <v>315689.84999999998</v>
      </c>
      <c r="Z212" s="10">
        <f>'A) Base RI'!N212</f>
        <v>231020.6</v>
      </c>
      <c r="AA212" s="10">
        <f>'A) Base RI'!S212+'A) Base RI'!T212</f>
        <v>66733.05</v>
      </c>
      <c r="AB212" s="10">
        <f>+'A) Base RI'!U212</f>
        <v>1700</v>
      </c>
      <c r="AC212" s="10">
        <f>'A) Base RI'!V212</f>
        <v>0</v>
      </c>
      <c r="AD212" s="10">
        <f>+'A) Base RI'!W212</f>
        <v>0</v>
      </c>
      <c r="AE212" s="10">
        <f>'A) Base RI'!Y212</f>
        <v>6360</v>
      </c>
      <c r="AF212" s="10">
        <f>'A) Base RI'!Z212</f>
        <v>0</v>
      </c>
      <c r="AG212" s="10">
        <f>'A) Base RI'!AA212</f>
        <v>97312.36</v>
      </c>
      <c r="AH212" s="10">
        <f>'A) Base RI'!AB212</f>
        <v>0</v>
      </c>
      <c r="AI212" s="10">
        <f>'A) Base RI'!AC212</f>
        <v>28912.6</v>
      </c>
      <c r="AJ212" s="10">
        <f>'A) Base RI'!AD212</f>
        <v>0</v>
      </c>
      <c r="AK212" s="10">
        <f>'A) Base RI'!AE212</f>
        <v>0</v>
      </c>
      <c r="AL212" s="10">
        <f>'A) Base RI'!AF212</f>
        <v>0</v>
      </c>
      <c r="AM212" s="10">
        <f>'A) Base RI'!AG212</f>
        <v>224.25</v>
      </c>
      <c r="AN212" s="10">
        <f>'A) Base RI'!AH212</f>
        <v>56350.8</v>
      </c>
      <c r="AO212" s="10">
        <f>'A) Base RI'!AI212</f>
        <v>0</v>
      </c>
      <c r="AP212" s="10">
        <f>'A) Base RI'!AJ212</f>
        <v>0</v>
      </c>
      <c r="AQ212" s="10">
        <f>'A) Base RI'!AK212</f>
        <v>0</v>
      </c>
      <c r="AR212" s="10">
        <f>'A) Base RI'!AN212</f>
        <v>516</v>
      </c>
    </row>
    <row r="213" spans="1:44" x14ac:dyDescent="0.25">
      <c r="A213" s="8">
        <f>'A) Base RI'!A213</f>
        <v>5729</v>
      </c>
      <c r="B213" s="35" t="str">
        <f>'A) Base RI'!B213</f>
        <v>Tannay</v>
      </c>
      <c r="C213" s="10">
        <f>'A) Base RI'!C213+'A) Base RI'!D213</f>
        <v>7757816.4799999995</v>
      </c>
      <c r="D213" s="10">
        <f>'A) Base RI'!AO213</f>
        <v>-5601.86</v>
      </c>
      <c r="E213" s="34">
        <f>'A) Base RI'!AP213</f>
        <v>0</v>
      </c>
      <c r="F213" s="34">
        <f>'A) Base RI'!AQ213</f>
        <v>-16032.15</v>
      </c>
      <c r="G213" s="2">
        <f t="shared" si="18"/>
        <v>7736182.4699999988</v>
      </c>
      <c r="H213" s="10">
        <f>'A) Base RI'!E213</f>
        <v>0</v>
      </c>
      <c r="I213" s="10">
        <f>'A) Base RI'!F213</f>
        <v>0</v>
      </c>
      <c r="J213" s="10">
        <f>'A) Base RI'!G213+'A) Base RI'!H213</f>
        <v>364261.45</v>
      </c>
      <c r="K213" s="10">
        <f>'A) Base RI'!I213</f>
        <v>69981.8</v>
      </c>
      <c r="L213" s="10">
        <f>'A) Base RI'!J213</f>
        <v>-58110.6</v>
      </c>
      <c r="M213" s="10">
        <f>'A) Base RI'!K213</f>
        <v>4459</v>
      </c>
      <c r="N213" s="10">
        <f>'A) Base RI'!Q213</f>
        <v>4188.88</v>
      </c>
      <c r="O213" s="10">
        <f t="shared" si="19"/>
        <v>518813.26666666666</v>
      </c>
      <c r="P213" s="10">
        <f>'A) Base RI'!L213</f>
        <v>778219.9</v>
      </c>
      <c r="Q213" s="37">
        <f>'A) Base RI'!AR213</f>
        <v>1.5</v>
      </c>
      <c r="R213" s="2">
        <f t="shared" si="20"/>
        <v>8639776.2666666657</v>
      </c>
      <c r="S213" s="36">
        <f>'A) Base RI'!AM213</f>
        <v>61</v>
      </c>
      <c r="T213" s="2">
        <f t="shared" si="21"/>
        <v>8116503.9999999991</v>
      </c>
      <c r="U213" s="2">
        <f t="shared" si="22"/>
        <v>141635.67650273221</v>
      </c>
      <c r="V213" s="10">
        <f>'A) Base RI'!O213</f>
        <v>19364.3</v>
      </c>
      <c r="W213" s="10">
        <f>'A) Base RI'!P213</f>
        <v>237996</v>
      </c>
      <c r="X213" s="10">
        <f>'A) Base RI'!R213</f>
        <v>158764.79999999999</v>
      </c>
      <c r="Y213" s="2">
        <f t="shared" si="23"/>
        <v>416125.1</v>
      </c>
      <c r="Z213" s="10">
        <f>'A) Base RI'!N213</f>
        <v>16008.55</v>
      </c>
      <c r="AA213" s="10">
        <f>'A) Base RI'!S213+'A) Base RI'!T213</f>
        <v>0</v>
      </c>
      <c r="AB213" s="10">
        <f>+'A) Base RI'!U213</f>
        <v>7320</v>
      </c>
      <c r="AC213" s="10">
        <f>'A) Base RI'!V213</f>
        <v>0</v>
      </c>
      <c r="AD213" s="10">
        <f>+'A) Base RI'!W213</f>
        <v>0</v>
      </c>
      <c r="AE213" s="10">
        <f>'A) Base RI'!Y213</f>
        <v>0</v>
      </c>
      <c r="AF213" s="10">
        <f>'A) Base RI'!Z213</f>
        <v>0</v>
      </c>
      <c r="AG213" s="10">
        <f>'A) Base RI'!AA213</f>
        <v>70.3</v>
      </c>
      <c r="AH213" s="10">
        <f>'A) Base RI'!AB213</f>
        <v>0</v>
      </c>
      <c r="AI213" s="10">
        <f>'A) Base RI'!AC213</f>
        <v>168344.1</v>
      </c>
      <c r="AJ213" s="10">
        <f>'A) Base RI'!AD213</f>
        <v>0</v>
      </c>
      <c r="AK213" s="10">
        <f>'A) Base RI'!AE213</f>
        <v>0</v>
      </c>
      <c r="AL213" s="10">
        <f>'A) Base RI'!AF213</f>
        <v>0</v>
      </c>
      <c r="AM213" s="10">
        <f>'A) Base RI'!AG213</f>
        <v>923.98</v>
      </c>
      <c r="AN213" s="10">
        <f>'A) Base RI'!AH213</f>
        <v>0</v>
      </c>
      <c r="AO213" s="10">
        <f>'A) Base RI'!AI213</f>
        <v>0</v>
      </c>
      <c r="AP213" s="10">
        <f>'A) Base RI'!AJ213</f>
        <v>0</v>
      </c>
      <c r="AQ213" s="10">
        <f>'A) Base RI'!AK213</f>
        <v>0</v>
      </c>
      <c r="AR213" s="10">
        <f>'A) Base RI'!AN213</f>
        <v>1430</v>
      </c>
    </row>
    <row r="214" spans="1:44" x14ac:dyDescent="0.25">
      <c r="A214" s="8">
        <f>'A) Base RI'!A214</f>
        <v>5730</v>
      </c>
      <c r="B214" s="35" t="str">
        <f>'A) Base RI'!B214</f>
        <v>Trélex</v>
      </c>
      <c r="C214" s="10">
        <f>'A) Base RI'!C214+'A) Base RI'!D214</f>
        <v>6572563.4100000001</v>
      </c>
      <c r="D214" s="10">
        <f>'A) Base RI'!AO214</f>
        <v>-6144.12</v>
      </c>
      <c r="E214" s="34">
        <f>'A) Base RI'!AP214</f>
        <v>0</v>
      </c>
      <c r="F214" s="34">
        <f>'A) Base RI'!AQ214</f>
        <v>-4374.75</v>
      </c>
      <c r="G214" s="2">
        <f t="shared" si="18"/>
        <v>6562044.54</v>
      </c>
      <c r="H214" s="10">
        <f>'A) Base RI'!E214</f>
        <v>0</v>
      </c>
      <c r="I214" s="10">
        <f>'A) Base RI'!F214</f>
        <v>0</v>
      </c>
      <c r="J214" s="10">
        <f>'A) Base RI'!G214+'A) Base RI'!H214</f>
        <v>57299.799999999996</v>
      </c>
      <c r="K214" s="10">
        <f>'A) Base RI'!I214</f>
        <v>29655.599999999999</v>
      </c>
      <c r="L214" s="10">
        <f>'A) Base RI'!J214</f>
        <v>24458.48</v>
      </c>
      <c r="M214" s="10">
        <f>'A) Base RI'!K214</f>
        <v>3981</v>
      </c>
      <c r="N214" s="10">
        <f>'A) Base RI'!Q214</f>
        <v>3392.65</v>
      </c>
      <c r="O214" s="10">
        <f t="shared" si="19"/>
        <v>453708.88888888888</v>
      </c>
      <c r="P214" s="10">
        <f>'A) Base RI'!L214</f>
        <v>408338</v>
      </c>
      <c r="Q214" s="37">
        <f>'A) Base RI'!AR214</f>
        <v>0.9</v>
      </c>
      <c r="R214" s="2">
        <f t="shared" si="20"/>
        <v>7134540.9588888893</v>
      </c>
      <c r="S214" s="36">
        <f>'A) Base RI'!AM214</f>
        <v>57</v>
      </c>
      <c r="T214" s="2">
        <f t="shared" si="21"/>
        <v>6676851.0700000003</v>
      </c>
      <c r="U214" s="2">
        <f t="shared" si="22"/>
        <v>125167.38524366473</v>
      </c>
      <c r="V214" s="10">
        <f>'A) Base RI'!O214</f>
        <v>26536.400000000001</v>
      </c>
      <c r="W214" s="10">
        <f>'A) Base RI'!P214</f>
        <v>193358.5</v>
      </c>
      <c r="X214" s="10">
        <f>'A) Base RI'!R214</f>
        <v>115088.05</v>
      </c>
      <c r="Y214" s="2">
        <f t="shared" si="23"/>
        <v>334982.95</v>
      </c>
      <c r="Z214" s="10">
        <f>'A) Base RI'!N214</f>
        <v>8092.75</v>
      </c>
      <c r="AA214" s="10">
        <f>'A) Base RI'!S214+'A) Base RI'!T214</f>
        <v>0</v>
      </c>
      <c r="AB214" s="10">
        <f>+'A) Base RI'!U214</f>
        <v>5650</v>
      </c>
      <c r="AC214" s="10">
        <f>'A) Base RI'!V214</f>
        <v>0</v>
      </c>
      <c r="AD214" s="10">
        <f>+'A) Base RI'!W214</f>
        <v>0</v>
      </c>
      <c r="AE214" s="10">
        <f>'A) Base RI'!Y214</f>
        <v>16671</v>
      </c>
      <c r="AF214" s="10">
        <f>'A) Base RI'!Z214</f>
        <v>0</v>
      </c>
      <c r="AG214" s="10">
        <f>'A) Base RI'!AA214</f>
        <v>156247.65</v>
      </c>
      <c r="AH214" s="10">
        <f>'A) Base RI'!AB214</f>
        <v>0</v>
      </c>
      <c r="AI214" s="10">
        <f>'A) Base RI'!AC214</f>
        <v>112563</v>
      </c>
      <c r="AJ214" s="10">
        <f>'A) Base RI'!AD214</f>
        <v>28290</v>
      </c>
      <c r="AK214" s="10">
        <f>'A) Base RI'!AE214</f>
        <v>0</v>
      </c>
      <c r="AL214" s="10">
        <f>'A) Base RI'!AF214</f>
        <v>0</v>
      </c>
      <c r="AM214" s="10">
        <f>'A) Base RI'!AG214</f>
        <v>0</v>
      </c>
      <c r="AN214" s="10">
        <f>'A) Base RI'!AH214</f>
        <v>0</v>
      </c>
      <c r="AO214" s="10">
        <f>'A) Base RI'!AI214</f>
        <v>0</v>
      </c>
      <c r="AP214" s="10">
        <f>'A) Base RI'!AJ214</f>
        <v>0</v>
      </c>
      <c r="AQ214" s="10">
        <f>'A) Base RI'!AK214</f>
        <v>0</v>
      </c>
      <c r="AR214" s="10">
        <f>'A) Base RI'!AN214</f>
        <v>1414</v>
      </c>
    </row>
    <row r="215" spans="1:44" x14ac:dyDescent="0.25">
      <c r="A215" s="8">
        <f>'A) Base RI'!A215</f>
        <v>5731</v>
      </c>
      <c r="B215" s="35" t="str">
        <f>'A) Base RI'!B215</f>
        <v>Le Vaud</v>
      </c>
      <c r="C215" s="10">
        <f>'A) Base RI'!C215+'A) Base RI'!D215</f>
        <v>3330630.75</v>
      </c>
      <c r="D215" s="10">
        <f>'A) Base RI'!AO215</f>
        <v>-30975.64</v>
      </c>
      <c r="E215" s="34">
        <f>'A) Base RI'!AP215</f>
        <v>0</v>
      </c>
      <c r="F215" s="34">
        <f>'A) Base RI'!AQ215</f>
        <v>-101.62</v>
      </c>
      <c r="G215" s="2">
        <f t="shared" si="18"/>
        <v>3299553.4899999998</v>
      </c>
      <c r="H215" s="10">
        <f>'A) Base RI'!E215</f>
        <v>0</v>
      </c>
      <c r="I215" s="10">
        <f>'A) Base RI'!F215</f>
        <v>0</v>
      </c>
      <c r="J215" s="10">
        <f>'A) Base RI'!G215+'A) Base RI'!H215</f>
        <v>24930.65</v>
      </c>
      <c r="K215" s="10">
        <f>'A) Base RI'!I215</f>
        <v>-72618.7</v>
      </c>
      <c r="L215" s="10">
        <f>'A) Base RI'!J215</f>
        <v>25184.13</v>
      </c>
      <c r="M215" s="10">
        <f>'A) Base RI'!K215</f>
        <v>4294.5</v>
      </c>
      <c r="N215" s="10">
        <f>'A) Base RI'!Q215</f>
        <v>27489.59</v>
      </c>
      <c r="O215" s="10">
        <f t="shared" si="19"/>
        <v>236189.4</v>
      </c>
      <c r="P215" s="10">
        <f>'A) Base RI'!L215</f>
        <v>354284.1</v>
      </c>
      <c r="Q215" s="37">
        <f>'A) Base RI'!AR215</f>
        <v>1.5</v>
      </c>
      <c r="R215" s="2">
        <f t="shared" si="20"/>
        <v>3545023.0599999991</v>
      </c>
      <c r="S215" s="36">
        <f>'A) Base RI'!AM215</f>
        <v>75</v>
      </c>
      <c r="T215" s="2">
        <f t="shared" si="21"/>
        <v>3304539.1599999992</v>
      </c>
      <c r="U215" s="2">
        <f t="shared" si="22"/>
        <v>47266.974133333322</v>
      </c>
      <c r="V215" s="10">
        <f>'A) Base RI'!O215</f>
        <v>0</v>
      </c>
      <c r="W215" s="10">
        <f>'A) Base RI'!P215</f>
        <v>166043.1</v>
      </c>
      <c r="X215" s="10">
        <f>'A) Base RI'!R215</f>
        <v>99206.7</v>
      </c>
      <c r="Y215" s="2">
        <f t="shared" si="23"/>
        <v>265249.8</v>
      </c>
      <c r="Z215" s="10">
        <f>'A) Base RI'!N215</f>
        <v>24199.599999999999</v>
      </c>
      <c r="AA215" s="10">
        <f>'A) Base RI'!S215+'A) Base RI'!T215</f>
        <v>1285.2</v>
      </c>
      <c r="AB215" s="10">
        <f>+'A) Base RI'!U215</f>
        <v>13600</v>
      </c>
      <c r="AC215" s="10">
        <f>'A) Base RI'!V215</f>
        <v>0</v>
      </c>
      <c r="AD215" s="10">
        <f>+'A) Base RI'!W215</f>
        <v>0</v>
      </c>
      <c r="AE215" s="10">
        <f>'A) Base RI'!Y215</f>
        <v>75083</v>
      </c>
      <c r="AF215" s="10">
        <f>'A) Base RI'!Z215</f>
        <v>0</v>
      </c>
      <c r="AG215" s="10">
        <f>'A) Base RI'!AA215</f>
        <v>168999</v>
      </c>
      <c r="AH215" s="10">
        <f>'A) Base RI'!AB215</f>
        <v>0</v>
      </c>
      <c r="AI215" s="10">
        <f>'A) Base RI'!AC215</f>
        <v>112272</v>
      </c>
      <c r="AJ215" s="10">
        <f>'A) Base RI'!AD215</f>
        <v>74233</v>
      </c>
      <c r="AK215" s="10">
        <f>'A) Base RI'!AE215</f>
        <v>0</v>
      </c>
      <c r="AL215" s="10">
        <f>'A) Base RI'!AF215</f>
        <v>0</v>
      </c>
      <c r="AM215" s="10">
        <f>'A) Base RI'!AG215</f>
        <v>10681</v>
      </c>
      <c r="AN215" s="10">
        <f>'A) Base RI'!AH215</f>
        <v>0</v>
      </c>
      <c r="AO215" s="10">
        <f>'A) Base RI'!AI215</f>
        <v>0</v>
      </c>
      <c r="AP215" s="10">
        <f>'A) Base RI'!AJ215</f>
        <v>0</v>
      </c>
      <c r="AQ215" s="10">
        <f>'A) Base RI'!AK215</f>
        <v>0</v>
      </c>
      <c r="AR215" s="10">
        <f>'A) Base RI'!AN215</f>
        <v>1260</v>
      </c>
    </row>
    <row r="216" spans="1:44" x14ac:dyDescent="0.25">
      <c r="A216" s="8">
        <f>'A) Base RI'!A216</f>
        <v>5732</v>
      </c>
      <c r="B216" s="35" t="str">
        <f>'A) Base RI'!B216</f>
        <v>Vich</v>
      </c>
      <c r="C216" s="10">
        <f>'A) Base RI'!C216+'A) Base RI'!D216</f>
        <v>3735847.92</v>
      </c>
      <c r="D216" s="10">
        <f>'A) Base RI'!AO216</f>
        <v>-31183.13</v>
      </c>
      <c r="E216" s="34">
        <f>'A) Base RI'!AP216</f>
        <v>0</v>
      </c>
      <c r="F216" s="34">
        <f>'A) Base RI'!AQ216</f>
        <v>-962.84</v>
      </c>
      <c r="G216" s="2">
        <f t="shared" si="18"/>
        <v>3703701.95</v>
      </c>
      <c r="H216" s="10">
        <f>'A) Base RI'!E216</f>
        <v>0</v>
      </c>
      <c r="I216" s="10">
        <f>'A) Base RI'!F216</f>
        <v>0</v>
      </c>
      <c r="J216" s="10">
        <f>'A) Base RI'!G216+'A) Base RI'!H216</f>
        <v>1174768.8500000001</v>
      </c>
      <c r="K216" s="10">
        <f>'A) Base RI'!I216</f>
        <v>43199.25</v>
      </c>
      <c r="L216" s="10">
        <f>'A) Base RI'!J216</f>
        <v>71077.39</v>
      </c>
      <c r="M216" s="10">
        <f>'A) Base RI'!K216</f>
        <v>-61349.5</v>
      </c>
      <c r="N216" s="10">
        <f>'A) Base RI'!Q216</f>
        <v>2145</v>
      </c>
      <c r="O216" s="10">
        <f t="shared" si="19"/>
        <v>257836.7</v>
      </c>
      <c r="P216" s="10">
        <f>'A) Base RI'!L216</f>
        <v>257836.7</v>
      </c>
      <c r="Q216" s="37">
        <f>'A) Base RI'!AR216</f>
        <v>1</v>
      </c>
      <c r="R216" s="2">
        <f t="shared" si="20"/>
        <v>5191379.6400000006</v>
      </c>
      <c r="S216" s="36">
        <f>'A) Base RI'!AM216</f>
        <v>68</v>
      </c>
      <c r="T216" s="2">
        <f t="shared" si="21"/>
        <v>4994892.4400000004</v>
      </c>
      <c r="U216" s="2">
        <f t="shared" si="22"/>
        <v>76343.818235294122</v>
      </c>
      <c r="V216" s="10">
        <f>'A) Base RI'!O216</f>
        <v>0</v>
      </c>
      <c r="W216" s="10">
        <f>'A) Base RI'!P216</f>
        <v>268211.55</v>
      </c>
      <c r="X216" s="10">
        <f>'A) Base RI'!R216</f>
        <v>25058.25</v>
      </c>
      <c r="Y216" s="2">
        <f t="shared" si="23"/>
        <v>293269.8</v>
      </c>
      <c r="Z216" s="10">
        <f>'A) Base RI'!N216</f>
        <v>95066.75</v>
      </c>
      <c r="AA216" s="10">
        <f>'A) Base RI'!S216+'A) Base RI'!T216</f>
        <v>0</v>
      </c>
      <c r="AB216" s="10">
        <f>+'A) Base RI'!U216</f>
        <v>8365</v>
      </c>
      <c r="AC216" s="10">
        <f>'A) Base RI'!V216</f>
        <v>0</v>
      </c>
      <c r="AD216" s="10">
        <f>+'A) Base RI'!W216</f>
        <v>0</v>
      </c>
      <c r="AE216" s="10">
        <f>'A) Base RI'!Y216</f>
        <v>9600</v>
      </c>
      <c r="AF216" s="10">
        <f>'A) Base RI'!Z216</f>
        <v>-25875.54</v>
      </c>
      <c r="AG216" s="10">
        <f>'A) Base RI'!AA216</f>
        <v>149490.74</v>
      </c>
      <c r="AH216" s="10">
        <f>'A) Base RI'!AB216</f>
        <v>0</v>
      </c>
      <c r="AI216" s="10">
        <f>'A) Base RI'!AC216</f>
        <v>74362.009999999995</v>
      </c>
      <c r="AJ216" s="10">
        <f>'A) Base RI'!AD216</f>
        <v>18000</v>
      </c>
      <c r="AK216" s="10">
        <f>'A) Base RI'!AE216</f>
        <v>28881.31</v>
      </c>
      <c r="AL216" s="10">
        <f>'A) Base RI'!AF216</f>
        <v>0</v>
      </c>
      <c r="AM216" s="10">
        <f>'A) Base RI'!AG216</f>
        <v>8430.7000000000007</v>
      </c>
      <c r="AN216" s="10">
        <f>'A) Base RI'!AH216</f>
        <v>54300.71</v>
      </c>
      <c r="AO216" s="10">
        <f>'A) Base RI'!AI216</f>
        <v>0</v>
      </c>
      <c r="AP216" s="10">
        <f>'A) Base RI'!AJ216</f>
        <v>0</v>
      </c>
      <c r="AQ216" s="10">
        <f>'A) Base RI'!AK216</f>
        <v>0</v>
      </c>
      <c r="AR216" s="10">
        <f>'A) Base RI'!AN216</f>
        <v>958</v>
      </c>
    </row>
    <row r="217" spans="1:44" x14ac:dyDescent="0.25">
      <c r="A217" s="8">
        <f>'A) Base RI'!A217</f>
        <v>5741</v>
      </c>
      <c r="B217" s="35" t="str">
        <f>'A) Base RI'!B217</f>
        <v>L'Abergement</v>
      </c>
      <c r="C217" s="10">
        <f>'A) Base RI'!C217+'A) Base RI'!D217</f>
        <v>492651.91000000003</v>
      </c>
      <c r="D217" s="10">
        <f>'A) Base RI'!AO217</f>
        <v>-15135.89</v>
      </c>
      <c r="E217" s="34">
        <f>'A) Base RI'!AP217</f>
        <v>0</v>
      </c>
      <c r="F217" s="34">
        <f>'A) Base RI'!AQ217</f>
        <v>-6.14</v>
      </c>
      <c r="G217" s="2">
        <f t="shared" si="18"/>
        <v>477509.88</v>
      </c>
      <c r="H217" s="10">
        <f>'A) Base RI'!E217</f>
        <v>0</v>
      </c>
      <c r="I217" s="10">
        <f>'A) Base RI'!F217</f>
        <v>1380</v>
      </c>
      <c r="J217" s="10">
        <f>'A) Base RI'!G217+'A) Base RI'!H217</f>
        <v>8701.65</v>
      </c>
      <c r="K217" s="10">
        <f>'A) Base RI'!I217</f>
        <v>0</v>
      </c>
      <c r="L217" s="10">
        <f>'A) Base RI'!J217</f>
        <v>2142.16</v>
      </c>
      <c r="M217" s="10">
        <f>'A) Base RI'!K217</f>
        <v>0</v>
      </c>
      <c r="N217" s="10">
        <f>'A) Base RI'!Q217</f>
        <v>0</v>
      </c>
      <c r="O217" s="10">
        <f t="shared" si="19"/>
        <v>34691.541666666664</v>
      </c>
      <c r="P217" s="10">
        <f>'A) Base RI'!L217</f>
        <v>41629.85</v>
      </c>
      <c r="Q217" s="37">
        <f>'A) Base RI'!AR217</f>
        <v>1.2</v>
      </c>
      <c r="R217" s="2">
        <f t="shared" si="20"/>
        <v>524425.23166666669</v>
      </c>
      <c r="S217" s="36">
        <f>'A) Base RI'!AM217</f>
        <v>81</v>
      </c>
      <c r="T217" s="2">
        <f t="shared" si="21"/>
        <v>488353.69</v>
      </c>
      <c r="U217" s="2">
        <f t="shared" si="22"/>
        <v>6474.3855761316872</v>
      </c>
      <c r="V217" s="10">
        <f>'A) Base RI'!O217</f>
        <v>9.6999999999999993</v>
      </c>
      <c r="W217" s="10">
        <f>'A) Base RI'!P217</f>
        <v>20108</v>
      </c>
      <c r="X217" s="10">
        <f>'A) Base RI'!R217</f>
        <v>12618.6</v>
      </c>
      <c r="Y217" s="2">
        <f t="shared" si="23"/>
        <v>32736.300000000003</v>
      </c>
      <c r="Z217" s="10">
        <f>'A) Base RI'!N217</f>
        <v>10260.85</v>
      </c>
      <c r="AA217" s="10">
        <f>'A) Base RI'!S217+'A) Base RI'!T217</f>
        <v>250</v>
      </c>
      <c r="AB217" s="10">
        <f>+'A) Base RI'!U217</f>
        <v>920</v>
      </c>
      <c r="AC217" s="10">
        <f>'A) Base RI'!V217</f>
        <v>0</v>
      </c>
      <c r="AD217" s="10">
        <f>+'A) Base RI'!W217</f>
        <v>0</v>
      </c>
      <c r="AE217" s="10">
        <f>'A) Base RI'!Y217</f>
        <v>23080</v>
      </c>
      <c r="AF217" s="10">
        <f>'A) Base RI'!Z217</f>
        <v>11733.45</v>
      </c>
      <c r="AG217" s="10">
        <f>'A) Base RI'!AA217</f>
        <v>33962.050000000003</v>
      </c>
      <c r="AH217" s="10">
        <f>'A) Base RI'!AB217</f>
        <v>0</v>
      </c>
      <c r="AI217" s="10">
        <f>'A) Base RI'!AC217</f>
        <v>30169.85</v>
      </c>
      <c r="AJ217" s="10">
        <f>'A) Base RI'!AD217</f>
        <v>7626.65</v>
      </c>
      <c r="AK217" s="10">
        <f>'A) Base RI'!AE217</f>
        <v>13836</v>
      </c>
      <c r="AL217" s="10">
        <f>'A) Base RI'!AF217</f>
        <v>0</v>
      </c>
      <c r="AM217" s="10">
        <f>'A) Base RI'!AG217</f>
        <v>0</v>
      </c>
      <c r="AN217" s="10">
        <f>'A) Base RI'!AH217</f>
        <v>0</v>
      </c>
      <c r="AO217" s="10">
        <f>'A) Base RI'!AI217</f>
        <v>0</v>
      </c>
      <c r="AP217" s="10">
        <f>'A) Base RI'!AJ217</f>
        <v>0</v>
      </c>
      <c r="AQ217" s="10">
        <f>'A) Base RI'!AK217</f>
        <v>0</v>
      </c>
      <c r="AR217" s="10">
        <f>'A) Base RI'!AN217</f>
        <v>240</v>
      </c>
    </row>
    <row r="218" spans="1:44" x14ac:dyDescent="0.25">
      <c r="A218" s="8">
        <f>'A) Base RI'!A218</f>
        <v>5742</v>
      </c>
      <c r="B218" s="35" t="str">
        <f>'A) Base RI'!B218</f>
        <v>Agiez</v>
      </c>
      <c r="C218" s="10">
        <f>'A) Base RI'!C218+'A) Base RI'!D218</f>
        <v>596890.1</v>
      </c>
      <c r="D218" s="10">
        <f>'A) Base RI'!AO218</f>
        <v>-3484.55</v>
      </c>
      <c r="E218" s="34">
        <f>'A) Base RI'!AP218</f>
        <v>0</v>
      </c>
      <c r="F218" s="34">
        <f>'A) Base RI'!AQ218</f>
        <v>-6.86</v>
      </c>
      <c r="G218" s="2">
        <f t="shared" si="18"/>
        <v>593398.68999999994</v>
      </c>
      <c r="H218" s="10">
        <f>'A) Base RI'!E218</f>
        <v>0</v>
      </c>
      <c r="I218" s="10">
        <f>'A) Base RI'!F218</f>
        <v>0</v>
      </c>
      <c r="J218" s="10">
        <f>'A) Base RI'!G218+'A) Base RI'!H218</f>
        <v>10464</v>
      </c>
      <c r="K218" s="10">
        <f>'A) Base RI'!I218</f>
        <v>0</v>
      </c>
      <c r="L218" s="10">
        <f>'A) Base RI'!J218</f>
        <v>-12609.61</v>
      </c>
      <c r="M218" s="10">
        <f>'A) Base RI'!K218</f>
        <v>798</v>
      </c>
      <c r="N218" s="10">
        <f>'A) Base RI'!Q218</f>
        <v>0</v>
      </c>
      <c r="O218" s="10">
        <f t="shared" si="19"/>
        <v>46806.6</v>
      </c>
      <c r="P218" s="10">
        <f>'A) Base RI'!L218</f>
        <v>23403.3</v>
      </c>
      <c r="Q218" s="37">
        <f>'A) Base RI'!AR218</f>
        <v>0.5</v>
      </c>
      <c r="R218" s="2">
        <f t="shared" si="20"/>
        <v>638857.67999999993</v>
      </c>
      <c r="S218" s="36">
        <f>'A) Base RI'!AM218</f>
        <v>76</v>
      </c>
      <c r="T218" s="2">
        <f t="shared" si="21"/>
        <v>591253.07999999996</v>
      </c>
      <c r="U218" s="2">
        <f t="shared" si="22"/>
        <v>8406.0221052631568</v>
      </c>
      <c r="V218" s="10">
        <f>'A) Base RI'!O218</f>
        <v>9503.4</v>
      </c>
      <c r="W218" s="10">
        <f>'A) Base RI'!P218</f>
        <v>40601.550000000003</v>
      </c>
      <c r="X218" s="10">
        <f>'A) Base RI'!R218</f>
        <v>46148.800000000003</v>
      </c>
      <c r="Y218" s="2">
        <f t="shared" si="23"/>
        <v>96253.75</v>
      </c>
      <c r="Z218" s="10">
        <f>'A) Base RI'!N218</f>
        <v>0</v>
      </c>
      <c r="AA218" s="10">
        <f>'A) Base RI'!S218+'A) Base RI'!T218</f>
        <v>0</v>
      </c>
      <c r="AB218" s="10">
        <f>+'A) Base RI'!U218</f>
        <v>1720</v>
      </c>
      <c r="AC218" s="10">
        <f>'A) Base RI'!V218</f>
        <v>0</v>
      </c>
      <c r="AD218" s="10">
        <f>+'A) Base RI'!W218</f>
        <v>0</v>
      </c>
      <c r="AE218" s="10">
        <f>'A) Base RI'!Y218</f>
        <v>22500</v>
      </c>
      <c r="AF218" s="10">
        <f>'A) Base RI'!Z218</f>
        <v>0</v>
      </c>
      <c r="AG218" s="10">
        <f>'A) Base RI'!AA218</f>
        <v>28475.200000000001</v>
      </c>
      <c r="AH218" s="10">
        <f>'A) Base RI'!AB218</f>
        <v>0</v>
      </c>
      <c r="AI218" s="10">
        <f>'A) Base RI'!AC218</f>
        <v>29980</v>
      </c>
      <c r="AJ218" s="10">
        <f>'A) Base RI'!AD218</f>
        <v>3956</v>
      </c>
      <c r="AK218" s="10">
        <f>'A) Base RI'!AE218</f>
        <v>0</v>
      </c>
      <c r="AL218" s="10">
        <f>'A) Base RI'!AF218</f>
        <v>0</v>
      </c>
      <c r="AM218" s="10">
        <f>'A) Base RI'!AG218</f>
        <v>0</v>
      </c>
      <c r="AN218" s="10">
        <f>'A) Base RI'!AH218</f>
        <v>0</v>
      </c>
      <c r="AO218" s="10">
        <f>'A) Base RI'!AI218</f>
        <v>0</v>
      </c>
      <c r="AP218" s="10">
        <f>'A) Base RI'!AJ218</f>
        <v>0</v>
      </c>
      <c r="AQ218" s="10">
        <f>'A) Base RI'!AK218</f>
        <v>0</v>
      </c>
      <c r="AR218" s="10">
        <f>'A) Base RI'!AN218</f>
        <v>293</v>
      </c>
    </row>
    <row r="219" spans="1:44" x14ac:dyDescent="0.25">
      <c r="A219" s="8">
        <f>'A) Base RI'!A219</f>
        <v>5743</v>
      </c>
      <c r="B219" s="35" t="str">
        <f>'A) Base RI'!B219</f>
        <v>Arnex-sur-Orbe</v>
      </c>
      <c r="C219" s="10">
        <f>'A) Base RI'!C219+'A) Base RI'!D219</f>
        <v>1067630.28</v>
      </c>
      <c r="D219" s="10">
        <f>'A) Base RI'!AO219</f>
        <v>-6633.2</v>
      </c>
      <c r="E219" s="34">
        <f>'A) Base RI'!AP219</f>
        <v>0</v>
      </c>
      <c r="F219" s="34">
        <f>'A) Base RI'!AQ219</f>
        <v>-136.16</v>
      </c>
      <c r="G219" s="2">
        <f t="shared" si="18"/>
        <v>1060860.9200000002</v>
      </c>
      <c r="H219" s="10">
        <f>'A) Base RI'!E219</f>
        <v>0</v>
      </c>
      <c r="I219" s="10">
        <f>'A) Base RI'!F219</f>
        <v>3390</v>
      </c>
      <c r="J219" s="10">
        <f>'A) Base RI'!G219+'A) Base RI'!H219</f>
        <v>14369.550000000001</v>
      </c>
      <c r="K219" s="10">
        <f>'A) Base RI'!I219</f>
        <v>0</v>
      </c>
      <c r="L219" s="10">
        <f>'A) Base RI'!J219</f>
        <v>24998.799999999999</v>
      </c>
      <c r="M219" s="10">
        <f>'A) Base RI'!K219</f>
        <v>0</v>
      </c>
      <c r="N219" s="10">
        <f>'A) Base RI'!Q219</f>
        <v>2167.3000000000002</v>
      </c>
      <c r="O219" s="10">
        <f t="shared" si="19"/>
        <v>73697.124999999985</v>
      </c>
      <c r="P219" s="10">
        <f>'A) Base RI'!L219</f>
        <v>58957.7</v>
      </c>
      <c r="Q219" s="37">
        <f>'A) Base RI'!AR219</f>
        <v>0.8</v>
      </c>
      <c r="R219" s="2">
        <f t="shared" si="20"/>
        <v>1179483.6950000003</v>
      </c>
      <c r="S219" s="36">
        <f>'A) Base RI'!AM219</f>
        <v>73</v>
      </c>
      <c r="T219" s="2">
        <f t="shared" si="21"/>
        <v>1102396.5700000003</v>
      </c>
      <c r="U219" s="2">
        <f t="shared" si="22"/>
        <v>16157.310890410963</v>
      </c>
      <c r="V219" s="10">
        <f>'A) Base RI'!O219</f>
        <v>13738.9</v>
      </c>
      <c r="W219" s="10">
        <f>'A) Base RI'!P219</f>
        <v>6716.6</v>
      </c>
      <c r="X219" s="10">
        <f>'A) Base RI'!R219</f>
        <v>8504.6</v>
      </c>
      <c r="Y219" s="2">
        <f t="shared" si="23"/>
        <v>28960.1</v>
      </c>
      <c r="Z219" s="10">
        <f>'A) Base RI'!N219</f>
        <v>27032.1</v>
      </c>
      <c r="AA219" s="10">
        <f>'A) Base RI'!S219+'A) Base RI'!T219</f>
        <v>0</v>
      </c>
      <c r="AB219" s="10">
        <f>+'A) Base RI'!U219</f>
        <v>1525</v>
      </c>
      <c r="AC219" s="10">
        <f>'A) Base RI'!V219</f>
        <v>0</v>
      </c>
      <c r="AD219" s="10">
        <f>+'A) Base RI'!W219</f>
        <v>0</v>
      </c>
      <c r="AE219" s="10">
        <f>'A) Base RI'!Y219</f>
        <v>19646.099999999999</v>
      </c>
      <c r="AF219" s="10">
        <f>'A) Base RI'!Z219</f>
        <v>0</v>
      </c>
      <c r="AG219" s="10">
        <f>'A) Base RI'!AA219</f>
        <v>69313.2</v>
      </c>
      <c r="AH219" s="10">
        <f>'A) Base RI'!AB219</f>
        <v>0</v>
      </c>
      <c r="AI219" s="10">
        <f>'A) Base RI'!AC219</f>
        <v>25150</v>
      </c>
      <c r="AJ219" s="10">
        <f>'A) Base RI'!AD219</f>
        <v>5349.55</v>
      </c>
      <c r="AK219" s="10">
        <f>'A) Base RI'!AE219</f>
        <v>0</v>
      </c>
      <c r="AL219" s="10">
        <f>'A) Base RI'!AF219</f>
        <v>0</v>
      </c>
      <c r="AM219" s="10">
        <f>'A) Base RI'!AG219</f>
        <v>0</v>
      </c>
      <c r="AN219" s="10">
        <f>'A) Base RI'!AH219</f>
        <v>0</v>
      </c>
      <c r="AO219" s="10">
        <f>'A) Base RI'!AI219</f>
        <v>0</v>
      </c>
      <c r="AP219" s="10">
        <f>'A) Base RI'!AJ219</f>
        <v>0</v>
      </c>
      <c r="AQ219" s="10">
        <f>'A) Base RI'!AK219</f>
        <v>0</v>
      </c>
      <c r="AR219" s="10">
        <f>'A) Base RI'!AN219</f>
        <v>632</v>
      </c>
    </row>
    <row r="220" spans="1:44" x14ac:dyDescent="0.25">
      <c r="A220" s="8">
        <f>'A) Base RI'!A220</f>
        <v>5744</v>
      </c>
      <c r="B220" s="35" t="str">
        <f>'A) Base RI'!B220</f>
        <v>Ballaigues</v>
      </c>
      <c r="C220" s="10">
        <f>'A) Base RI'!C220+'A) Base RI'!D220</f>
        <v>1469019.29</v>
      </c>
      <c r="D220" s="10">
        <f>'A) Base RI'!AO220</f>
        <v>-38314.26</v>
      </c>
      <c r="E220" s="34">
        <f>'A) Base RI'!AP220</f>
        <v>0</v>
      </c>
      <c r="F220" s="34">
        <f>'A) Base RI'!AQ220</f>
        <v>-1014.44</v>
      </c>
      <c r="G220" s="2">
        <f t="shared" si="18"/>
        <v>1429690.59</v>
      </c>
      <c r="H220" s="10">
        <f>'A) Base RI'!E220</f>
        <v>0</v>
      </c>
      <c r="I220" s="10">
        <f>'A) Base RI'!F220</f>
        <v>6090</v>
      </c>
      <c r="J220" s="10">
        <f>'A) Base RI'!G220+'A) Base RI'!H220</f>
        <v>2822003.65</v>
      </c>
      <c r="K220" s="10">
        <f>'A) Base RI'!I220</f>
        <v>0</v>
      </c>
      <c r="L220" s="10">
        <f>'A) Base RI'!J220</f>
        <v>66215.399999999994</v>
      </c>
      <c r="M220" s="10">
        <f>'A) Base RI'!K220</f>
        <v>0</v>
      </c>
      <c r="N220" s="10">
        <f>'A) Base RI'!Q220</f>
        <v>4375.12</v>
      </c>
      <c r="O220" s="10">
        <f t="shared" si="19"/>
        <v>151494.04999999999</v>
      </c>
      <c r="P220" s="10">
        <f>'A) Base RI'!L220</f>
        <v>151494.04999999999</v>
      </c>
      <c r="Q220" s="37">
        <f>'A) Base RI'!AR220</f>
        <v>1</v>
      </c>
      <c r="R220" s="2">
        <f t="shared" si="20"/>
        <v>4479868.8100000005</v>
      </c>
      <c r="S220" s="36">
        <f>'A) Base RI'!AM220</f>
        <v>66</v>
      </c>
      <c r="T220" s="2">
        <f t="shared" si="21"/>
        <v>4322284.7600000007</v>
      </c>
      <c r="U220" s="2">
        <f t="shared" si="22"/>
        <v>67876.800151515155</v>
      </c>
      <c r="V220" s="10">
        <f>'A) Base RI'!O220</f>
        <v>31511.200000000001</v>
      </c>
      <c r="W220" s="10">
        <f>'A) Base RI'!P220</f>
        <v>68458.149999999994</v>
      </c>
      <c r="X220" s="10">
        <f>'A) Base RI'!R220</f>
        <v>14109.55</v>
      </c>
      <c r="Y220" s="2">
        <f t="shared" si="23"/>
        <v>114078.9</v>
      </c>
      <c r="Z220" s="10">
        <f>'A) Base RI'!N220</f>
        <v>1408983.5</v>
      </c>
      <c r="AA220" s="10">
        <f>'A) Base RI'!S220+'A) Base RI'!T220</f>
        <v>125</v>
      </c>
      <c r="AB220" s="10">
        <f>+'A) Base RI'!U220</f>
        <v>4285</v>
      </c>
      <c r="AC220" s="10">
        <f>'A) Base RI'!V220</f>
        <v>90</v>
      </c>
      <c r="AD220" s="10">
        <f>+'A) Base RI'!W220</f>
        <v>0</v>
      </c>
      <c r="AE220" s="10">
        <f>'A) Base RI'!Y220</f>
        <v>23714</v>
      </c>
      <c r="AF220" s="10">
        <f>'A) Base RI'!Z220</f>
        <v>0</v>
      </c>
      <c r="AG220" s="10">
        <f>'A) Base RI'!AA220</f>
        <v>61907.4</v>
      </c>
      <c r="AH220" s="10">
        <f>'A) Base RI'!AB220</f>
        <v>0</v>
      </c>
      <c r="AI220" s="10">
        <f>'A) Base RI'!AC220</f>
        <v>109213.42</v>
      </c>
      <c r="AJ220" s="10">
        <f>'A) Base RI'!AD220</f>
        <v>23714</v>
      </c>
      <c r="AK220" s="10">
        <f>'A) Base RI'!AE220</f>
        <v>0</v>
      </c>
      <c r="AL220" s="10">
        <f>'A) Base RI'!AF220</f>
        <v>0</v>
      </c>
      <c r="AM220" s="10">
        <f>'A) Base RI'!AG220</f>
        <v>0</v>
      </c>
      <c r="AN220" s="10">
        <f>'A) Base RI'!AH220</f>
        <v>100666.1</v>
      </c>
      <c r="AO220" s="10">
        <f>'A) Base RI'!AI220</f>
        <v>0</v>
      </c>
      <c r="AP220" s="10">
        <f>'A) Base RI'!AJ220</f>
        <v>0</v>
      </c>
      <c r="AQ220" s="10">
        <f>'A) Base RI'!AK220</f>
        <v>0</v>
      </c>
      <c r="AR220" s="10">
        <f>'A) Base RI'!AN220</f>
        <v>1101</v>
      </c>
    </row>
    <row r="221" spans="1:44" x14ac:dyDescent="0.25">
      <c r="A221" s="8">
        <f>'A) Base RI'!A221</f>
        <v>5745</v>
      </c>
      <c r="B221" s="35" t="str">
        <f>'A) Base RI'!B221</f>
        <v>Baulmes</v>
      </c>
      <c r="C221" s="10">
        <f>'A) Base RI'!C221+'A) Base RI'!D221</f>
        <v>1835117.76</v>
      </c>
      <c r="D221" s="10">
        <f>'A) Base RI'!AO221</f>
        <v>-36740.32</v>
      </c>
      <c r="E221" s="34">
        <f>'A) Base RI'!AP221</f>
        <v>0</v>
      </c>
      <c r="F221" s="34">
        <f>'A) Base RI'!AQ221</f>
        <v>-142.66</v>
      </c>
      <c r="G221" s="2">
        <f t="shared" si="18"/>
        <v>1798234.78</v>
      </c>
      <c r="H221" s="10">
        <f>'A) Base RI'!E221</f>
        <v>0</v>
      </c>
      <c r="I221" s="10">
        <f>'A) Base RI'!F221</f>
        <v>0</v>
      </c>
      <c r="J221" s="10">
        <f>'A) Base RI'!G221+'A) Base RI'!H221</f>
        <v>138438.04999999999</v>
      </c>
      <c r="K221" s="10">
        <f>'A) Base RI'!I221</f>
        <v>0</v>
      </c>
      <c r="L221" s="10">
        <f>'A) Base RI'!J221</f>
        <v>22501.74</v>
      </c>
      <c r="M221" s="10">
        <f>'A) Base RI'!K221</f>
        <v>0</v>
      </c>
      <c r="N221" s="10">
        <f>'A) Base RI'!Q221</f>
        <v>2239.1799999999998</v>
      </c>
      <c r="O221" s="10">
        <f t="shared" si="19"/>
        <v>121829.3</v>
      </c>
      <c r="P221" s="10">
        <f>'A) Base RI'!L221</f>
        <v>121829.3</v>
      </c>
      <c r="Q221" s="37">
        <f>'A) Base RI'!AR221</f>
        <v>1</v>
      </c>
      <c r="R221" s="2">
        <f t="shared" si="20"/>
        <v>2083243.05</v>
      </c>
      <c r="S221" s="36">
        <f>'A) Base RI'!AM221</f>
        <v>78</v>
      </c>
      <c r="T221" s="2">
        <f t="shared" si="21"/>
        <v>1961413.75</v>
      </c>
      <c r="U221" s="2">
        <f t="shared" si="22"/>
        <v>26708.244230769233</v>
      </c>
      <c r="V221" s="10">
        <f>'A) Base RI'!O221</f>
        <v>0</v>
      </c>
      <c r="W221" s="10">
        <f>'A) Base RI'!P221</f>
        <v>22160.6</v>
      </c>
      <c r="X221" s="10">
        <f>'A) Base RI'!R221</f>
        <v>35042.15</v>
      </c>
      <c r="Y221" s="2">
        <f t="shared" si="23"/>
        <v>57202.75</v>
      </c>
      <c r="Z221" s="10">
        <f>'A) Base RI'!N221</f>
        <v>182094.5</v>
      </c>
      <c r="AA221" s="10">
        <f>'A) Base RI'!S221+'A) Base RI'!T221</f>
        <v>0</v>
      </c>
      <c r="AB221" s="10">
        <f>+'A) Base RI'!U221</f>
        <v>3725</v>
      </c>
      <c r="AC221" s="10">
        <f>'A) Base RI'!V221</f>
        <v>0</v>
      </c>
      <c r="AD221" s="10">
        <f>+'A) Base RI'!W221</f>
        <v>0</v>
      </c>
      <c r="AE221" s="10">
        <f>'A) Base RI'!Y221</f>
        <v>0</v>
      </c>
      <c r="AF221" s="10">
        <f>'A) Base RI'!Z221</f>
        <v>0</v>
      </c>
      <c r="AG221" s="10">
        <f>'A) Base RI'!AA221</f>
        <v>137805.04999999999</v>
      </c>
      <c r="AH221" s="10">
        <f>'A) Base RI'!AB221</f>
        <v>0</v>
      </c>
      <c r="AI221" s="10">
        <f>'A) Base RI'!AC221</f>
        <v>75366.7</v>
      </c>
      <c r="AJ221" s="10">
        <f>'A) Base RI'!AD221</f>
        <v>0</v>
      </c>
      <c r="AK221" s="10">
        <f>'A) Base RI'!AE221</f>
        <v>0</v>
      </c>
      <c r="AL221" s="10">
        <f>'A) Base RI'!AF221</f>
        <v>0</v>
      </c>
      <c r="AM221" s="10">
        <f>'A) Base RI'!AG221</f>
        <v>0</v>
      </c>
      <c r="AN221" s="10">
        <f>'A) Base RI'!AH221</f>
        <v>0</v>
      </c>
      <c r="AO221" s="10">
        <f>'A) Base RI'!AI221</f>
        <v>0</v>
      </c>
      <c r="AP221" s="10">
        <f>'A) Base RI'!AJ221</f>
        <v>0</v>
      </c>
      <c r="AQ221" s="10">
        <f>'A) Base RI'!AK221</f>
        <v>0</v>
      </c>
      <c r="AR221" s="10">
        <f>'A) Base RI'!AN221</f>
        <v>1055</v>
      </c>
    </row>
    <row r="222" spans="1:44" x14ac:dyDescent="0.25">
      <c r="A222" s="8">
        <f>'A) Base RI'!A222</f>
        <v>5746</v>
      </c>
      <c r="B222" s="35" t="str">
        <f>'A) Base RI'!B222</f>
        <v>Bavois</v>
      </c>
      <c r="C222" s="10">
        <f>'A) Base RI'!C222+'A) Base RI'!D222</f>
        <v>1684849.86</v>
      </c>
      <c r="D222" s="10">
        <f>'A) Base RI'!AO222</f>
        <v>-19866.03</v>
      </c>
      <c r="E222" s="34">
        <f>'A) Base RI'!AP222</f>
        <v>0</v>
      </c>
      <c r="F222" s="34">
        <f>'A) Base RI'!AQ222</f>
        <v>-68.55</v>
      </c>
      <c r="G222" s="2">
        <f t="shared" si="18"/>
        <v>1664915.28</v>
      </c>
      <c r="H222" s="10">
        <f>'A) Base RI'!E222</f>
        <v>0</v>
      </c>
      <c r="I222" s="10">
        <f>'A) Base RI'!F222</f>
        <v>0</v>
      </c>
      <c r="J222" s="10">
        <f>'A) Base RI'!G222+'A) Base RI'!H222</f>
        <v>66282.3</v>
      </c>
      <c r="K222" s="10">
        <f>'A) Base RI'!I222</f>
        <v>0</v>
      </c>
      <c r="L222" s="10">
        <f>'A) Base RI'!J222</f>
        <v>50615.91</v>
      </c>
      <c r="M222" s="10">
        <f>'A) Base RI'!K222</f>
        <v>0</v>
      </c>
      <c r="N222" s="10">
        <f>'A) Base RI'!Q222</f>
        <v>0</v>
      </c>
      <c r="O222" s="10">
        <f t="shared" si="19"/>
        <v>158215.16666666669</v>
      </c>
      <c r="P222" s="10">
        <f>'A) Base RI'!L222</f>
        <v>189858.2</v>
      </c>
      <c r="Q222" s="37">
        <f>'A) Base RI'!AR222</f>
        <v>1.2</v>
      </c>
      <c r="R222" s="2">
        <f t="shared" si="20"/>
        <v>1940028.6566666667</v>
      </c>
      <c r="S222" s="36">
        <f>'A) Base RI'!AM222</f>
        <v>73</v>
      </c>
      <c r="T222" s="2">
        <f t="shared" si="21"/>
        <v>1781813.49</v>
      </c>
      <c r="U222" s="2">
        <f t="shared" si="22"/>
        <v>26575.73502283105</v>
      </c>
      <c r="V222" s="10">
        <f>'A) Base RI'!O222</f>
        <v>927.1</v>
      </c>
      <c r="W222" s="10">
        <f>'A) Base RI'!P222</f>
        <v>71792.399999999994</v>
      </c>
      <c r="X222" s="10">
        <f>'A) Base RI'!R222</f>
        <v>29029.7</v>
      </c>
      <c r="Y222" s="2">
        <f t="shared" si="23"/>
        <v>101749.2</v>
      </c>
      <c r="Z222" s="10">
        <f>'A) Base RI'!N222</f>
        <v>20529.7</v>
      </c>
      <c r="AA222" s="10">
        <f>'A) Base RI'!S222+'A) Base RI'!T222</f>
        <v>2025</v>
      </c>
      <c r="AB222" s="10">
        <f>+'A) Base RI'!U222</f>
        <v>5745</v>
      </c>
      <c r="AC222" s="10">
        <f>'A) Base RI'!V222</f>
        <v>363.1</v>
      </c>
      <c r="AD222" s="10">
        <f>+'A) Base RI'!W222</f>
        <v>0</v>
      </c>
      <c r="AE222" s="10">
        <f>'A) Base RI'!Y222</f>
        <v>47913.8</v>
      </c>
      <c r="AF222" s="10">
        <f>'A) Base RI'!Z222</f>
        <v>0</v>
      </c>
      <c r="AG222" s="10">
        <f>'A) Base RI'!AA222</f>
        <v>92830.8</v>
      </c>
      <c r="AH222" s="10">
        <f>'A) Base RI'!AB222</f>
        <v>0</v>
      </c>
      <c r="AI222" s="10">
        <f>'A) Base RI'!AC222</f>
        <v>68512.850000000006</v>
      </c>
      <c r="AJ222" s="10">
        <f>'A) Base RI'!AD222</f>
        <v>6386.5</v>
      </c>
      <c r="AK222" s="10">
        <f>'A) Base RI'!AE222</f>
        <v>0</v>
      </c>
      <c r="AL222" s="10">
        <f>'A) Base RI'!AF222</f>
        <v>0</v>
      </c>
      <c r="AM222" s="10">
        <f>'A) Base RI'!AG222</f>
        <v>0</v>
      </c>
      <c r="AN222" s="10">
        <f>'A) Base RI'!AH222</f>
        <v>28264.45</v>
      </c>
      <c r="AO222" s="10">
        <f>'A) Base RI'!AI222</f>
        <v>0</v>
      </c>
      <c r="AP222" s="10">
        <f>'A) Base RI'!AJ222</f>
        <v>0</v>
      </c>
      <c r="AQ222" s="10">
        <f>'A) Base RI'!AK222</f>
        <v>0</v>
      </c>
      <c r="AR222" s="10">
        <f>'A) Base RI'!AN222</f>
        <v>939</v>
      </c>
    </row>
    <row r="223" spans="1:44" x14ac:dyDescent="0.25">
      <c r="A223" s="8">
        <f>'A) Base RI'!A223</f>
        <v>5747</v>
      </c>
      <c r="B223" s="35" t="str">
        <f>'A) Base RI'!B223</f>
        <v>Bofflens</v>
      </c>
      <c r="C223" s="10">
        <f>'A) Base RI'!C223+'A) Base RI'!D223</f>
        <v>316357.11</v>
      </c>
      <c r="D223" s="10">
        <f>'A) Base RI'!AO223</f>
        <v>-635.38</v>
      </c>
      <c r="E223" s="34">
        <f>'A) Base RI'!AP223</f>
        <v>0</v>
      </c>
      <c r="F223" s="34">
        <f>'A) Base RI'!AQ223</f>
        <v>-0.04</v>
      </c>
      <c r="G223" s="2">
        <f t="shared" si="18"/>
        <v>315721.69</v>
      </c>
      <c r="H223" s="10">
        <f>'A) Base RI'!E223</f>
        <v>0</v>
      </c>
      <c r="I223" s="10">
        <f>'A) Base RI'!F223</f>
        <v>0</v>
      </c>
      <c r="J223" s="10">
        <f>'A) Base RI'!G223+'A) Base RI'!H223</f>
        <v>22814.600000000002</v>
      </c>
      <c r="K223" s="10">
        <f>'A) Base RI'!I223</f>
        <v>0</v>
      </c>
      <c r="L223" s="10">
        <f>'A) Base RI'!J223</f>
        <v>1635.94</v>
      </c>
      <c r="M223" s="10">
        <f>'A) Base RI'!K223</f>
        <v>0</v>
      </c>
      <c r="N223" s="10">
        <f>'A) Base RI'!Q223</f>
        <v>0</v>
      </c>
      <c r="O223" s="10">
        <f t="shared" si="19"/>
        <v>26067.7</v>
      </c>
      <c r="P223" s="10">
        <f>'A) Base RI'!L223</f>
        <v>26067.7</v>
      </c>
      <c r="Q223" s="37">
        <f>'A) Base RI'!AR223</f>
        <v>1</v>
      </c>
      <c r="R223" s="2">
        <f t="shared" si="20"/>
        <v>366239.93</v>
      </c>
      <c r="S223" s="36">
        <f>'A) Base RI'!AM223</f>
        <v>69</v>
      </c>
      <c r="T223" s="2">
        <f t="shared" si="21"/>
        <v>340172.23</v>
      </c>
      <c r="U223" s="2">
        <f t="shared" si="22"/>
        <v>5307.8250724637683</v>
      </c>
      <c r="V223" s="10">
        <f>'A) Base RI'!O223</f>
        <v>0</v>
      </c>
      <c r="W223" s="10">
        <f>'A) Base RI'!P223</f>
        <v>8489.75</v>
      </c>
      <c r="X223" s="10">
        <f>'A) Base RI'!R223</f>
        <v>6374.9</v>
      </c>
      <c r="Y223" s="2">
        <f t="shared" si="23"/>
        <v>14864.65</v>
      </c>
      <c r="Z223" s="10">
        <f>'A) Base RI'!N223</f>
        <v>0</v>
      </c>
      <c r="AA223" s="10">
        <f>'A) Base RI'!S223+'A) Base RI'!T223</f>
        <v>0</v>
      </c>
      <c r="AB223" s="10">
        <f>+'A) Base RI'!U223</f>
        <v>560</v>
      </c>
      <c r="AC223" s="10">
        <f>'A) Base RI'!V223</f>
        <v>0</v>
      </c>
      <c r="AD223" s="10">
        <f>+'A) Base RI'!W223</f>
        <v>0</v>
      </c>
      <c r="AE223" s="10">
        <f>'A) Base RI'!Y223</f>
        <v>0</v>
      </c>
      <c r="AF223" s="10">
        <f>'A) Base RI'!Z223</f>
        <v>17399</v>
      </c>
      <c r="AG223" s="10">
        <f>'A) Base RI'!AA223</f>
        <v>9979</v>
      </c>
      <c r="AH223" s="10">
        <f>'A) Base RI'!AB223</f>
        <v>0</v>
      </c>
      <c r="AI223" s="10">
        <f>'A) Base RI'!AC223</f>
        <v>16531.400000000001</v>
      </c>
      <c r="AJ223" s="10">
        <f>'A) Base RI'!AD223</f>
        <v>8280</v>
      </c>
      <c r="AK223" s="10">
        <f>'A) Base RI'!AE223</f>
        <v>0</v>
      </c>
      <c r="AL223" s="10">
        <f>'A) Base RI'!AF223</f>
        <v>0</v>
      </c>
      <c r="AM223" s="10">
        <f>'A) Base RI'!AG223</f>
        <v>0</v>
      </c>
      <c r="AN223" s="10">
        <f>'A) Base RI'!AH223</f>
        <v>0</v>
      </c>
      <c r="AO223" s="10">
        <f>'A) Base RI'!AI223</f>
        <v>0</v>
      </c>
      <c r="AP223" s="10">
        <f>'A) Base RI'!AJ223</f>
        <v>0</v>
      </c>
      <c r="AQ223" s="10">
        <f>'A) Base RI'!AK223</f>
        <v>0</v>
      </c>
      <c r="AR223" s="10">
        <f>'A) Base RI'!AN223</f>
        <v>188</v>
      </c>
    </row>
    <row r="224" spans="1:44" x14ac:dyDescent="0.25">
      <c r="A224" s="8">
        <f>'A) Base RI'!A224</f>
        <v>5748</v>
      </c>
      <c r="B224" s="35" t="str">
        <f>'A) Base RI'!B224</f>
        <v>Bretonnières</v>
      </c>
      <c r="C224" s="10">
        <f>'A) Base RI'!C224+'A) Base RI'!D224</f>
        <v>481372.86</v>
      </c>
      <c r="D224" s="10">
        <f>'A) Base RI'!AO224</f>
        <v>-3782.01</v>
      </c>
      <c r="E224" s="34">
        <f>'A) Base RI'!AP224</f>
        <v>0</v>
      </c>
      <c r="F224" s="34">
        <f>'A) Base RI'!AQ224</f>
        <v>0</v>
      </c>
      <c r="G224" s="2">
        <f t="shared" si="18"/>
        <v>477590.85</v>
      </c>
      <c r="H224" s="10">
        <f>'A) Base RI'!E224</f>
        <v>0</v>
      </c>
      <c r="I224" s="10">
        <f>'A) Base RI'!F224</f>
        <v>2140</v>
      </c>
      <c r="J224" s="10">
        <f>'A) Base RI'!G224+'A) Base RI'!H224</f>
        <v>4435.1000000000004</v>
      </c>
      <c r="K224" s="10">
        <f>'A) Base RI'!I224</f>
        <v>0</v>
      </c>
      <c r="L224" s="10">
        <f>'A) Base RI'!J224</f>
        <v>6005.43</v>
      </c>
      <c r="M224" s="10">
        <f>'A) Base RI'!K224</f>
        <v>0</v>
      </c>
      <c r="N224" s="10">
        <f>'A) Base RI'!Q224</f>
        <v>0</v>
      </c>
      <c r="O224" s="10">
        <f t="shared" si="19"/>
        <v>32620</v>
      </c>
      <c r="P224" s="10">
        <f>'A) Base RI'!L224</f>
        <v>19572</v>
      </c>
      <c r="Q224" s="37">
        <f>'A) Base RI'!AR224</f>
        <v>0.6</v>
      </c>
      <c r="R224" s="2">
        <f t="shared" si="20"/>
        <v>522791.37999999995</v>
      </c>
      <c r="S224" s="36">
        <f>'A) Base RI'!AM224</f>
        <v>72</v>
      </c>
      <c r="T224" s="2">
        <f t="shared" si="21"/>
        <v>488031.37999999995</v>
      </c>
      <c r="U224" s="2">
        <f t="shared" si="22"/>
        <v>7260.9913888888877</v>
      </c>
      <c r="V224" s="10">
        <f>'A) Base RI'!O224</f>
        <v>0</v>
      </c>
      <c r="W224" s="10">
        <f>'A) Base RI'!P224</f>
        <v>33933.5</v>
      </c>
      <c r="X224" s="10">
        <f>'A) Base RI'!R224</f>
        <v>15340.9</v>
      </c>
      <c r="Y224" s="2">
        <f t="shared" si="23"/>
        <v>49274.400000000001</v>
      </c>
      <c r="Z224" s="10">
        <f>'A) Base RI'!N224</f>
        <v>7947.3</v>
      </c>
      <c r="AA224" s="10">
        <f>'A) Base RI'!S224+'A) Base RI'!T224</f>
        <v>0</v>
      </c>
      <c r="AB224" s="10">
        <f>+'A) Base RI'!U224</f>
        <v>1325</v>
      </c>
      <c r="AC224" s="10">
        <f>'A) Base RI'!V224</f>
        <v>0</v>
      </c>
      <c r="AD224" s="10">
        <f>+'A) Base RI'!W224</f>
        <v>0</v>
      </c>
      <c r="AE224" s="10">
        <f>'A) Base RI'!Y224</f>
        <v>5261.65</v>
      </c>
      <c r="AF224" s="10">
        <f>'A) Base RI'!Z224</f>
        <v>210.4</v>
      </c>
      <c r="AG224" s="10">
        <f>'A) Base RI'!AA224</f>
        <v>30334</v>
      </c>
      <c r="AH224" s="10">
        <f>'A) Base RI'!AB224</f>
        <v>0</v>
      </c>
      <c r="AI224" s="10">
        <f>'A) Base RI'!AC224</f>
        <v>21949.75</v>
      </c>
      <c r="AJ224" s="10">
        <f>'A) Base RI'!AD224</f>
        <v>3451.6</v>
      </c>
      <c r="AK224" s="10">
        <f>'A) Base RI'!AE224</f>
        <v>420.8</v>
      </c>
      <c r="AL224" s="10">
        <f>'A) Base RI'!AF224</f>
        <v>0</v>
      </c>
      <c r="AM224" s="10">
        <f>'A) Base RI'!AG224</f>
        <v>0</v>
      </c>
      <c r="AN224" s="10">
        <f>'A) Base RI'!AH224</f>
        <v>0</v>
      </c>
      <c r="AO224" s="10">
        <f>'A) Base RI'!AI224</f>
        <v>0</v>
      </c>
      <c r="AP224" s="10">
        <f>'A) Base RI'!AJ224</f>
        <v>0</v>
      </c>
      <c r="AQ224" s="10">
        <f>'A) Base RI'!AK224</f>
        <v>0</v>
      </c>
      <c r="AR224" s="10">
        <f>'A) Base RI'!AN224</f>
        <v>258</v>
      </c>
    </row>
    <row r="225" spans="1:44" x14ac:dyDescent="0.25">
      <c r="A225" s="8">
        <f>'A) Base RI'!A225</f>
        <v>5749</v>
      </c>
      <c r="B225" s="35" t="str">
        <f>'A) Base RI'!B225</f>
        <v>Chavornay</v>
      </c>
      <c r="C225" s="10">
        <f>'A) Base RI'!C225+'A) Base RI'!D225</f>
        <v>7346166.3200000003</v>
      </c>
      <c r="D225" s="10">
        <f>'A) Base RI'!AO225</f>
        <v>-200193.94</v>
      </c>
      <c r="E225" s="34">
        <f>'A) Base RI'!AP225</f>
        <v>0</v>
      </c>
      <c r="F225" s="34">
        <f>'A) Base RI'!AQ225</f>
        <v>-347.45</v>
      </c>
      <c r="G225" s="2">
        <f t="shared" si="18"/>
        <v>7145624.9299999997</v>
      </c>
      <c r="H225" s="10">
        <f>'A) Base RI'!E225</f>
        <v>74959.5</v>
      </c>
      <c r="I225" s="10">
        <f>'A) Base RI'!F225</f>
        <v>0</v>
      </c>
      <c r="J225" s="10">
        <f>'A) Base RI'!G225+'A) Base RI'!H225</f>
        <v>403804.89999999997</v>
      </c>
      <c r="K225" s="10">
        <f>'A) Base RI'!I225</f>
        <v>53462.9</v>
      </c>
      <c r="L225" s="10">
        <f>'A) Base RI'!J225</f>
        <v>231708.79999999999</v>
      </c>
      <c r="M225" s="10">
        <f>'A) Base RI'!K225</f>
        <v>49558.5</v>
      </c>
      <c r="N225" s="10">
        <f>'A) Base RI'!Q225</f>
        <v>43985.98</v>
      </c>
      <c r="O225" s="10">
        <f t="shared" si="19"/>
        <v>628973.6</v>
      </c>
      <c r="P225" s="10">
        <f>'A) Base RI'!L225</f>
        <v>628973.6</v>
      </c>
      <c r="Q225" s="37">
        <f>'A) Base RI'!AR225</f>
        <v>1</v>
      </c>
      <c r="R225" s="2">
        <f t="shared" si="20"/>
        <v>8632079.1100000013</v>
      </c>
      <c r="S225" s="36">
        <f>'A) Base RI'!AM225</f>
        <v>72</v>
      </c>
      <c r="T225" s="2">
        <f t="shared" si="21"/>
        <v>7953547.0100000007</v>
      </c>
      <c r="U225" s="2">
        <f t="shared" si="22"/>
        <v>119889.98763888891</v>
      </c>
      <c r="V225" s="10">
        <f>'A) Base RI'!O225</f>
        <v>27144.6</v>
      </c>
      <c r="W225" s="10">
        <f>'A) Base RI'!P225</f>
        <v>440936.85</v>
      </c>
      <c r="X225" s="10">
        <f>'A) Base RI'!R225</f>
        <v>285451</v>
      </c>
      <c r="Y225" s="2">
        <f t="shared" si="23"/>
        <v>753532.45</v>
      </c>
      <c r="Z225" s="10">
        <f>'A) Base RI'!N225</f>
        <v>612035.4</v>
      </c>
      <c r="AA225" s="10">
        <f>'A) Base RI'!S225+'A) Base RI'!T225</f>
        <v>10843.65</v>
      </c>
      <c r="AB225" s="10">
        <f>+'A) Base RI'!U225</f>
        <v>20600</v>
      </c>
      <c r="AC225" s="10">
        <f>'A) Base RI'!V225</f>
        <v>0</v>
      </c>
      <c r="AD225" s="10">
        <f>+'A) Base RI'!W225</f>
        <v>0</v>
      </c>
      <c r="AE225" s="10">
        <f>'A) Base RI'!Y225</f>
        <v>70819.350000000006</v>
      </c>
      <c r="AF225" s="10">
        <f>'A) Base RI'!Z225</f>
        <v>0</v>
      </c>
      <c r="AG225" s="10">
        <f>'A) Base RI'!AA225</f>
        <v>489834</v>
      </c>
      <c r="AH225" s="10">
        <f>'A) Base RI'!AB225</f>
        <v>0</v>
      </c>
      <c r="AI225" s="10">
        <f>'A) Base RI'!AC225</f>
        <v>471354.5</v>
      </c>
      <c r="AJ225" s="10">
        <f>'A) Base RI'!AD225</f>
        <v>75579.350000000006</v>
      </c>
      <c r="AK225" s="10">
        <f>'A) Base RI'!AE225</f>
        <v>0</v>
      </c>
      <c r="AL225" s="10">
        <f>'A) Base RI'!AF225</f>
        <v>0</v>
      </c>
      <c r="AM225" s="10">
        <f>'A) Base RI'!AG225</f>
        <v>0</v>
      </c>
      <c r="AN225" s="10">
        <f>'A) Base RI'!AH225</f>
        <v>161665</v>
      </c>
      <c r="AO225" s="10">
        <f>'A) Base RI'!AI225</f>
        <v>0</v>
      </c>
      <c r="AP225" s="10">
        <f>'A) Base RI'!AJ225</f>
        <v>0</v>
      </c>
      <c r="AQ225" s="10">
        <f>'A) Base RI'!AK225</f>
        <v>0</v>
      </c>
      <c r="AR225" s="10">
        <f>'A) Base RI'!AN225</f>
        <v>4293</v>
      </c>
    </row>
    <row r="226" spans="1:44" x14ac:dyDescent="0.25">
      <c r="A226" s="8">
        <f>'A) Base RI'!A226</f>
        <v>5750</v>
      </c>
      <c r="B226" s="35" t="str">
        <f>'A) Base RI'!B226</f>
        <v>Les Clées</v>
      </c>
      <c r="C226" s="10">
        <f>'A) Base RI'!C226+'A) Base RI'!D226</f>
        <v>365298.31</v>
      </c>
      <c r="D226" s="10">
        <f>'A) Base RI'!AO226</f>
        <v>-8266.9500000000007</v>
      </c>
      <c r="E226" s="34">
        <f>'A) Base RI'!AP226</f>
        <v>0</v>
      </c>
      <c r="F226" s="34">
        <f>'A) Base RI'!AQ226</f>
        <v>-120.03</v>
      </c>
      <c r="G226" s="2">
        <f t="shared" si="18"/>
        <v>356911.32999999996</v>
      </c>
      <c r="H226" s="10">
        <f>'A) Base RI'!E226</f>
        <v>0</v>
      </c>
      <c r="I226" s="10">
        <f>'A) Base RI'!F226</f>
        <v>1050</v>
      </c>
      <c r="J226" s="10">
        <f>'A) Base RI'!G226+'A) Base RI'!H226</f>
        <v>2837.15</v>
      </c>
      <c r="K226" s="10">
        <f>'A) Base RI'!I226</f>
        <v>0</v>
      </c>
      <c r="L226" s="10">
        <f>'A) Base RI'!J226</f>
        <v>1599.76</v>
      </c>
      <c r="M226" s="10">
        <f>'A) Base RI'!K226</f>
        <v>230.5</v>
      </c>
      <c r="N226" s="10">
        <f>'A) Base RI'!Q226</f>
        <v>0</v>
      </c>
      <c r="O226" s="10">
        <f t="shared" si="19"/>
        <v>20577.083333333336</v>
      </c>
      <c r="P226" s="10">
        <f>'A) Base RI'!L226</f>
        <v>12346.25</v>
      </c>
      <c r="Q226" s="37">
        <f>'A) Base RI'!AR226</f>
        <v>0.6</v>
      </c>
      <c r="R226" s="2">
        <f t="shared" si="20"/>
        <v>383205.8233333333</v>
      </c>
      <c r="S226" s="36">
        <f>'A) Base RI'!AM226</f>
        <v>80</v>
      </c>
      <c r="T226" s="2">
        <f t="shared" si="21"/>
        <v>361348.24</v>
      </c>
      <c r="U226" s="2">
        <f t="shared" si="22"/>
        <v>4790.0727916666665</v>
      </c>
      <c r="V226" s="10">
        <f>'A) Base RI'!O226</f>
        <v>0</v>
      </c>
      <c r="W226" s="10">
        <f>'A) Base RI'!P226</f>
        <v>13860</v>
      </c>
      <c r="X226" s="10">
        <f>'A) Base RI'!R226</f>
        <v>4044.3</v>
      </c>
      <c r="Y226" s="2">
        <f t="shared" si="23"/>
        <v>17904.3</v>
      </c>
      <c r="Z226" s="10">
        <f>'A) Base RI'!N226</f>
        <v>7714.9</v>
      </c>
      <c r="AA226" s="10">
        <f>'A) Base RI'!S226+'A) Base RI'!T226</f>
        <v>0</v>
      </c>
      <c r="AB226" s="10">
        <f>+'A) Base RI'!U226</f>
        <v>740</v>
      </c>
      <c r="AC226" s="10">
        <f>'A) Base RI'!V226</f>
        <v>0</v>
      </c>
      <c r="AD226" s="10">
        <f>+'A) Base RI'!W226</f>
        <v>0</v>
      </c>
      <c r="AE226" s="10">
        <f>'A) Base RI'!Y226</f>
        <v>2188</v>
      </c>
      <c r="AF226" s="10">
        <f>'A) Base RI'!Z226</f>
        <v>0</v>
      </c>
      <c r="AG226" s="10">
        <f>'A) Base RI'!AA226</f>
        <v>24804</v>
      </c>
      <c r="AH226" s="10">
        <f>'A) Base RI'!AB226</f>
        <v>0</v>
      </c>
      <c r="AI226" s="10">
        <f>'A) Base RI'!AC226</f>
        <v>15967.55</v>
      </c>
      <c r="AJ226" s="10">
        <f>'A) Base RI'!AD226</f>
        <v>8090</v>
      </c>
      <c r="AK226" s="10">
        <f>'A) Base RI'!AE226</f>
        <v>0</v>
      </c>
      <c r="AL226" s="10">
        <f>'A) Base RI'!AF226</f>
        <v>0</v>
      </c>
      <c r="AM226" s="10">
        <f>'A) Base RI'!AG226</f>
        <v>457</v>
      </c>
      <c r="AN226" s="10">
        <f>'A) Base RI'!AH226</f>
        <v>5393.2</v>
      </c>
      <c r="AO226" s="10">
        <f>'A) Base RI'!AI226</f>
        <v>0</v>
      </c>
      <c r="AP226" s="10">
        <f>'A) Base RI'!AJ226</f>
        <v>0</v>
      </c>
      <c r="AQ226" s="10">
        <f>'A) Base RI'!AK226</f>
        <v>0</v>
      </c>
      <c r="AR226" s="10">
        <f>'A) Base RI'!AN226</f>
        <v>176</v>
      </c>
    </row>
    <row r="227" spans="1:44" x14ac:dyDescent="0.25">
      <c r="A227" s="8">
        <f>'A) Base RI'!A227</f>
        <v>5751</v>
      </c>
      <c r="B227" s="35" t="str">
        <f>'A) Base RI'!B227</f>
        <v>Corcelles-sur-Chavornay</v>
      </c>
      <c r="C227" s="10">
        <f>'A) Base RI'!C227+'A) Base RI'!D227</f>
        <v>610253.76</v>
      </c>
      <c r="D227" s="10">
        <f>'A) Base RI'!AO227</f>
        <v>-5724.98</v>
      </c>
      <c r="E227" s="34">
        <f>'A) Base RI'!AP227</f>
        <v>0</v>
      </c>
      <c r="F227" s="34">
        <f>'A) Base RI'!AQ227</f>
        <v>-9.61</v>
      </c>
      <c r="G227" s="2">
        <f t="shared" si="18"/>
        <v>604519.17000000004</v>
      </c>
      <c r="H227" s="10">
        <f>'A) Base RI'!E227</f>
        <v>0</v>
      </c>
      <c r="I227" s="10">
        <f>'A) Base RI'!F227</f>
        <v>0</v>
      </c>
      <c r="J227" s="10">
        <f>'A) Base RI'!G227+'A) Base RI'!H227</f>
        <v>2972.2</v>
      </c>
      <c r="K227" s="10">
        <f>'A) Base RI'!I227</f>
        <v>0</v>
      </c>
      <c r="L227" s="10">
        <f>'A) Base RI'!J227</f>
        <v>12580.2</v>
      </c>
      <c r="M227" s="10">
        <f>'A) Base RI'!K227</f>
        <v>2049.5</v>
      </c>
      <c r="N227" s="10">
        <f>'A) Base RI'!Q227</f>
        <v>0</v>
      </c>
      <c r="O227" s="10">
        <f t="shared" si="19"/>
        <v>44600.240000000005</v>
      </c>
      <c r="P227" s="10">
        <f>'A) Base RI'!L227</f>
        <v>55750.3</v>
      </c>
      <c r="Q227" s="37">
        <f>'A) Base RI'!AR227</f>
        <v>1.25</v>
      </c>
      <c r="R227" s="2">
        <f t="shared" si="20"/>
        <v>666721.30999999994</v>
      </c>
      <c r="S227" s="36">
        <f>'A) Base RI'!AM227</f>
        <v>76</v>
      </c>
      <c r="T227" s="2">
        <f t="shared" si="21"/>
        <v>620071.56999999995</v>
      </c>
      <c r="U227" s="2">
        <f t="shared" si="22"/>
        <v>8772.6488157894728</v>
      </c>
      <c r="V227" s="10">
        <f>'A) Base RI'!O227</f>
        <v>10414.700000000001</v>
      </c>
      <c r="W227" s="10">
        <f>'A) Base RI'!P227</f>
        <v>66.25</v>
      </c>
      <c r="X227" s="10">
        <f>'A) Base RI'!R227</f>
        <v>8308.4</v>
      </c>
      <c r="Y227" s="2">
        <f t="shared" si="23"/>
        <v>18789.349999999999</v>
      </c>
      <c r="Z227" s="10">
        <f>'A) Base RI'!N227</f>
        <v>27868.15</v>
      </c>
      <c r="AA227" s="10">
        <f>'A) Base RI'!S227+'A) Base RI'!T227</f>
        <v>483.7</v>
      </c>
      <c r="AB227" s="10">
        <f>+'A) Base RI'!U227</f>
        <v>1080</v>
      </c>
      <c r="AC227" s="10">
        <f>'A) Base RI'!V227</f>
        <v>0</v>
      </c>
      <c r="AD227" s="10">
        <f>+'A) Base RI'!W227</f>
        <v>0</v>
      </c>
      <c r="AE227" s="10">
        <f>'A) Base RI'!Y227</f>
        <v>5880</v>
      </c>
      <c r="AF227" s="10">
        <f>'A) Base RI'!Z227</f>
        <v>0</v>
      </c>
      <c r="AG227" s="10">
        <f>'A) Base RI'!AA227</f>
        <v>39471</v>
      </c>
      <c r="AH227" s="10">
        <f>'A) Base RI'!AB227</f>
        <v>0</v>
      </c>
      <c r="AI227" s="10">
        <f>'A) Base RI'!AC227</f>
        <v>21401.7</v>
      </c>
      <c r="AJ227" s="10">
        <f>'A) Base RI'!AD227</f>
        <v>7706.05</v>
      </c>
      <c r="AK227" s="10">
        <f>'A) Base RI'!AE227</f>
        <v>0</v>
      </c>
      <c r="AL227" s="10">
        <f>'A) Base RI'!AF227</f>
        <v>0</v>
      </c>
      <c r="AM227" s="10">
        <f>'A) Base RI'!AG227</f>
        <v>0</v>
      </c>
      <c r="AN227" s="10">
        <f>'A) Base RI'!AH227</f>
        <v>12708.1</v>
      </c>
      <c r="AO227" s="10">
        <f>'A) Base RI'!AI227</f>
        <v>0</v>
      </c>
      <c r="AP227" s="10">
        <f>'A) Base RI'!AJ227</f>
        <v>0</v>
      </c>
      <c r="AQ227" s="10">
        <f>'A) Base RI'!AK227</f>
        <v>0</v>
      </c>
      <c r="AR227" s="10">
        <f>'A) Base RI'!AN227</f>
        <v>354</v>
      </c>
    </row>
    <row r="228" spans="1:44" x14ac:dyDescent="0.25">
      <c r="A228" s="8">
        <f>'A) Base RI'!A228</f>
        <v>5752</v>
      </c>
      <c r="B228" s="35" t="str">
        <f>'A) Base RI'!B228</f>
        <v>Croy</v>
      </c>
      <c r="C228" s="10">
        <f>'A) Base RI'!C228+'A) Base RI'!D228</f>
        <v>626034</v>
      </c>
      <c r="D228" s="10">
        <f>'A) Base RI'!AO228</f>
        <v>-2258.91</v>
      </c>
      <c r="E228" s="34">
        <f>'A) Base RI'!AP228</f>
        <v>0</v>
      </c>
      <c r="F228" s="34">
        <f>'A) Base RI'!AQ228</f>
        <v>0</v>
      </c>
      <c r="G228" s="2">
        <f t="shared" si="18"/>
        <v>623775.09</v>
      </c>
      <c r="H228" s="10">
        <f>'A) Base RI'!E228</f>
        <v>0</v>
      </c>
      <c r="I228" s="10">
        <f>'A) Base RI'!F228</f>
        <v>0</v>
      </c>
      <c r="J228" s="10">
        <f>'A) Base RI'!G228+'A) Base RI'!H228</f>
        <v>10074.75</v>
      </c>
      <c r="K228" s="10">
        <f>'A) Base RI'!I228</f>
        <v>0</v>
      </c>
      <c r="L228" s="10">
        <f>'A) Base RI'!J228</f>
        <v>3009.7</v>
      </c>
      <c r="M228" s="10">
        <f>'A) Base RI'!K228</f>
        <v>725.7</v>
      </c>
      <c r="N228" s="10">
        <f>'A) Base RI'!Q228</f>
        <v>647.57000000000005</v>
      </c>
      <c r="O228" s="10">
        <f t="shared" si="19"/>
        <v>43566.642857142862</v>
      </c>
      <c r="P228" s="10">
        <f>'A) Base RI'!L228</f>
        <v>30496.65</v>
      </c>
      <c r="Q228" s="37">
        <f>'A) Base RI'!AR228</f>
        <v>0.7</v>
      </c>
      <c r="R228" s="2">
        <f t="shared" si="20"/>
        <v>681799.45285714266</v>
      </c>
      <c r="S228" s="36">
        <f>'A) Base RI'!AM228</f>
        <v>74</v>
      </c>
      <c r="T228" s="2">
        <f t="shared" si="21"/>
        <v>637507.10999999987</v>
      </c>
      <c r="U228" s="2">
        <f t="shared" si="22"/>
        <v>9213.5061196911174</v>
      </c>
      <c r="V228" s="10">
        <f>'A) Base RI'!O228</f>
        <v>2008.1</v>
      </c>
      <c r="W228" s="10">
        <f>'A) Base RI'!P228</f>
        <v>15605.05</v>
      </c>
      <c r="X228" s="10">
        <f>'A) Base RI'!R228</f>
        <v>20054.05</v>
      </c>
      <c r="Y228" s="2">
        <f t="shared" si="23"/>
        <v>37667.199999999997</v>
      </c>
      <c r="Z228" s="10">
        <f>'A) Base RI'!N228</f>
        <v>14784.85</v>
      </c>
      <c r="AA228" s="10">
        <f>'A) Base RI'!S228+'A) Base RI'!T228</f>
        <v>0</v>
      </c>
      <c r="AB228" s="10">
        <f>+'A) Base RI'!U228</f>
        <v>1850</v>
      </c>
      <c r="AC228" s="10">
        <f>'A) Base RI'!V228</f>
        <v>0</v>
      </c>
      <c r="AD228" s="10">
        <f>+'A) Base RI'!W228</f>
        <v>0</v>
      </c>
      <c r="AE228" s="10">
        <f>'A) Base RI'!Y228</f>
        <v>15988</v>
      </c>
      <c r="AF228" s="10">
        <f>'A) Base RI'!Z228</f>
        <v>0</v>
      </c>
      <c r="AG228" s="10">
        <f>'A) Base RI'!AA228</f>
        <v>50635.199999999997</v>
      </c>
      <c r="AH228" s="10">
        <f>'A) Base RI'!AB228</f>
        <v>0</v>
      </c>
      <c r="AI228" s="10">
        <f>'A) Base RI'!AC228</f>
        <v>17846.8</v>
      </c>
      <c r="AJ228" s="10">
        <f>'A) Base RI'!AD228</f>
        <v>18868</v>
      </c>
      <c r="AK228" s="10">
        <f>'A) Base RI'!AE228</f>
        <v>0</v>
      </c>
      <c r="AL228" s="10">
        <f>'A) Base RI'!AF228</f>
        <v>0</v>
      </c>
      <c r="AM228" s="10">
        <f>'A) Base RI'!AG228</f>
        <v>0</v>
      </c>
      <c r="AN228" s="10">
        <f>'A) Base RI'!AH228</f>
        <v>0</v>
      </c>
      <c r="AO228" s="10">
        <f>'A) Base RI'!AI228</f>
        <v>0</v>
      </c>
      <c r="AP228" s="10">
        <f>'A) Base RI'!AJ228</f>
        <v>0</v>
      </c>
      <c r="AQ228" s="10">
        <f>'A) Base RI'!AK228</f>
        <v>0</v>
      </c>
      <c r="AR228" s="10">
        <f>'A) Base RI'!AN228</f>
        <v>344</v>
      </c>
    </row>
    <row r="229" spans="1:44" x14ac:dyDescent="0.25">
      <c r="A229" s="8">
        <f>'A) Base RI'!A229</f>
        <v>5754</v>
      </c>
      <c r="B229" s="35" t="str">
        <f>'A) Base RI'!B229</f>
        <v>Juriens</v>
      </c>
      <c r="C229" s="10">
        <f>'A) Base RI'!C229+'A) Base RI'!D229</f>
        <v>520701.98000000004</v>
      </c>
      <c r="D229" s="10">
        <f>'A) Base RI'!AO229</f>
        <v>-15657.89</v>
      </c>
      <c r="E229" s="34">
        <f>'A) Base RI'!AP229</f>
        <v>0</v>
      </c>
      <c r="F229" s="34">
        <f>'A) Base RI'!AQ229</f>
        <v>-29.4</v>
      </c>
      <c r="G229" s="2">
        <f t="shared" si="18"/>
        <v>505014.69</v>
      </c>
      <c r="H229" s="10">
        <f>'A) Base RI'!E229</f>
        <v>0</v>
      </c>
      <c r="I229" s="10">
        <f>'A) Base RI'!F229</f>
        <v>0</v>
      </c>
      <c r="J229" s="10">
        <f>'A) Base RI'!G229+'A) Base RI'!H229</f>
        <v>-1083.75</v>
      </c>
      <c r="K229" s="10">
        <f>'A) Base RI'!I229</f>
        <v>0</v>
      </c>
      <c r="L229" s="10">
        <f>'A) Base RI'!J229</f>
        <v>27513.62</v>
      </c>
      <c r="M229" s="10">
        <f>'A) Base RI'!K229</f>
        <v>931</v>
      </c>
      <c r="N229" s="10">
        <f>'A) Base RI'!Q229</f>
        <v>0</v>
      </c>
      <c r="O229" s="10">
        <f t="shared" si="19"/>
        <v>36627.1</v>
      </c>
      <c r="P229" s="10">
        <f>'A) Base RI'!L229</f>
        <v>36627.1</v>
      </c>
      <c r="Q229" s="37">
        <f>'A) Base RI'!AR229</f>
        <v>1</v>
      </c>
      <c r="R229" s="2">
        <f t="shared" si="20"/>
        <v>569002.66</v>
      </c>
      <c r="S229" s="36">
        <f>'A) Base RI'!AM229</f>
        <v>79</v>
      </c>
      <c r="T229" s="2">
        <f t="shared" si="21"/>
        <v>531444.56000000006</v>
      </c>
      <c r="U229" s="2">
        <f t="shared" si="22"/>
        <v>7202.565316455697</v>
      </c>
      <c r="V229" s="10">
        <f>'A) Base RI'!O229</f>
        <v>0</v>
      </c>
      <c r="W229" s="10">
        <f>'A) Base RI'!P229</f>
        <v>11394.75</v>
      </c>
      <c r="X229" s="10">
        <f>'A) Base RI'!R229</f>
        <v>18157</v>
      </c>
      <c r="Y229" s="2">
        <f t="shared" si="23"/>
        <v>29551.75</v>
      </c>
      <c r="Z229" s="10">
        <f>'A) Base RI'!N229</f>
        <v>3752.9</v>
      </c>
      <c r="AA229" s="10">
        <f>'A) Base RI'!S229+'A) Base RI'!T229</f>
        <v>0</v>
      </c>
      <c r="AB229" s="10">
        <f>+'A) Base RI'!U229</f>
        <v>1440</v>
      </c>
      <c r="AC229" s="10">
        <f>'A) Base RI'!V229</f>
        <v>0</v>
      </c>
      <c r="AD229" s="10">
        <f>+'A) Base RI'!W229</f>
        <v>0</v>
      </c>
      <c r="AE229" s="10">
        <f>'A) Base RI'!Y229</f>
        <v>31030</v>
      </c>
      <c r="AF229" s="10">
        <f>'A) Base RI'!Z229</f>
        <v>36305</v>
      </c>
      <c r="AG229" s="10">
        <f>'A) Base RI'!AA229</f>
        <v>0</v>
      </c>
      <c r="AH229" s="10">
        <f>'A) Base RI'!AB229</f>
        <v>0</v>
      </c>
      <c r="AI229" s="10">
        <f>'A) Base RI'!AC229</f>
        <v>20168.25</v>
      </c>
      <c r="AJ229" s="10">
        <f>'A) Base RI'!AD229</f>
        <v>12190</v>
      </c>
      <c r="AK229" s="10">
        <f>'A) Base RI'!AE229</f>
        <v>0</v>
      </c>
      <c r="AL229" s="10">
        <f>'A) Base RI'!AF229</f>
        <v>0</v>
      </c>
      <c r="AM229" s="10">
        <f>'A) Base RI'!AG229</f>
        <v>0</v>
      </c>
      <c r="AN229" s="10">
        <f>'A) Base RI'!AH229</f>
        <v>7538.5</v>
      </c>
      <c r="AO229" s="10">
        <f>'A) Base RI'!AI229</f>
        <v>0</v>
      </c>
      <c r="AP229" s="10">
        <f>'A) Base RI'!AJ229</f>
        <v>0</v>
      </c>
      <c r="AQ229" s="10">
        <f>'A) Base RI'!AK229</f>
        <v>0</v>
      </c>
      <c r="AR229" s="10">
        <f>'A) Base RI'!AN229</f>
        <v>302</v>
      </c>
    </row>
    <row r="230" spans="1:44" x14ac:dyDescent="0.25">
      <c r="A230" s="8">
        <f>'A) Base RI'!A230</f>
        <v>5755</v>
      </c>
      <c r="B230" s="35" t="str">
        <f>'A) Base RI'!B230</f>
        <v>Lignerolle</v>
      </c>
      <c r="C230" s="10">
        <f>'A) Base RI'!C230+'A) Base RI'!D230</f>
        <v>680503.55</v>
      </c>
      <c r="D230" s="10">
        <f>'A) Base RI'!AO230</f>
        <v>-10531.9</v>
      </c>
      <c r="E230" s="34">
        <f>'A) Base RI'!AP230</f>
        <v>0</v>
      </c>
      <c r="F230" s="34">
        <f>'A) Base RI'!AQ230</f>
        <v>-0.15</v>
      </c>
      <c r="G230" s="2">
        <f t="shared" si="18"/>
        <v>669971.5</v>
      </c>
      <c r="H230" s="10">
        <f>'A) Base RI'!E230</f>
        <v>0</v>
      </c>
      <c r="I230" s="10">
        <f>'A) Base RI'!F230</f>
        <v>0</v>
      </c>
      <c r="J230" s="10">
        <f>'A) Base RI'!G230+'A) Base RI'!H230</f>
        <v>20750.25</v>
      </c>
      <c r="K230" s="10">
        <f>'A) Base RI'!I230</f>
        <v>-29898.3</v>
      </c>
      <c r="L230" s="10">
        <f>'A) Base RI'!J230</f>
        <v>5492.47</v>
      </c>
      <c r="M230" s="10">
        <f>'A) Base RI'!K230</f>
        <v>1039</v>
      </c>
      <c r="N230" s="10">
        <f>'A) Base RI'!Q230</f>
        <v>11789.77</v>
      </c>
      <c r="O230" s="10">
        <f t="shared" si="19"/>
        <v>50151.142857142862</v>
      </c>
      <c r="P230" s="10">
        <f>'A) Base RI'!L230</f>
        <v>35105.800000000003</v>
      </c>
      <c r="Q230" s="37">
        <f>'A) Base RI'!AR230</f>
        <v>0.7</v>
      </c>
      <c r="R230" s="2">
        <f t="shared" si="20"/>
        <v>729295.83285714278</v>
      </c>
      <c r="S230" s="36">
        <f>'A) Base RI'!AM230</f>
        <v>80</v>
      </c>
      <c r="T230" s="2">
        <f t="shared" si="21"/>
        <v>678105.69</v>
      </c>
      <c r="U230" s="2">
        <f t="shared" si="22"/>
        <v>9116.1979107142852</v>
      </c>
      <c r="V230" s="10">
        <f>'A) Base RI'!O230</f>
        <v>0</v>
      </c>
      <c r="W230" s="10">
        <f>'A) Base RI'!P230</f>
        <v>45552.35</v>
      </c>
      <c r="X230" s="10">
        <f>'A) Base RI'!R230</f>
        <v>19944.849999999999</v>
      </c>
      <c r="Y230" s="2">
        <f t="shared" si="23"/>
        <v>65497.2</v>
      </c>
      <c r="Z230" s="10">
        <f>'A) Base RI'!N230</f>
        <v>22958.75</v>
      </c>
      <c r="AA230" s="10">
        <f>'A) Base RI'!S230+'A) Base RI'!T230</f>
        <v>0</v>
      </c>
      <c r="AB230" s="10">
        <f>+'A) Base RI'!U230</f>
        <v>2550</v>
      </c>
      <c r="AC230" s="10">
        <f>'A) Base RI'!V230</f>
        <v>0</v>
      </c>
      <c r="AD230" s="10">
        <f>+'A) Base RI'!W230</f>
        <v>0</v>
      </c>
      <c r="AE230" s="10">
        <f>'A) Base RI'!Y230</f>
        <v>906</v>
      </c>
      <c r="AF230" s="10">
        <f>'A) Base RI'!Z230</f>
        <v>0</v>
      </c>
      <c r="AG230" s="10">
        <f>'A) Base RI'!AA230</f>
        <v>57500</v>
      </c>
      <c r="AH230" s="10">
        <f>'A) Base RI'!AB230</f>
        <v>0</v>
      </c>
      <c r="AI230" s="10">
        <f>'A) Base RI'!AC230</f>
        <v>46769</v>
      </c>
      <c r="AJ230" s="10">
        <f>'A) Base RI'!AD230</f>
        <v>1178</v>
      </c>
      <c r="AK230" s="10">
        <f>'A) Base RI'!AE230</f>
        <v>0</v>
      </c>
      <c r="AL230" s="10">
        <f>'A) Base RI'!AF230</f>
        <v>0</v>
      </c>
      <c r="AM230" s="10">
        <f>'A) Base RI'!AG230</f>
        <v>0</v>
      </c>
      <c r="AN230" s="10">
        <f>'A) Base RI'!AH230</f>
        <v>0</v>
      </c>
      <c r="AO230" s="10">
        <f>'A) Base RI'!AI230</f>
        <v>0</v>
      </c>
      <c r="AP230" s="10">
        <f>'A) Base RI'!AJ230</f>
        <v>0</v>
      </c>
      <c r="AQ230" s="10">
        <f>'A) Base RI'!AK230</f>
        <v>0</v>
      </c>
      <c r="AR230" s="10">
        <f>'A) Base RI'!AN230</f>
        <v>405</v>
      </c>
    </row>
    <row r="231" spans="1:44" x14ac:dyDescent="0.25">
      <c r="A231" s="8">
        <f>'A) Base RI'!A231</f>
        <v>5756</v>
      </c>
      <c r="B231" s="35" t="str">
        <f>'A) Base RI'!B231</f>
        <v>Montcherand</v>
      </c>
      <c r="C231" s="10">
        <f>'A) Base RI'!C231+'A) Base RI'!D231</f>
        <v>903401.37</v>
      </c>
      <c r="D231" s="10">
        <f>'A) Base RI'!AO231</f>
        <v>-9705.57</v>
      </c>
      <c r="E231" s="34">
        <f>'A) Base RI'!AP231</f>
        <v>0</v>
      </c>
      <c r="F231" s="34">
        <f>'A) Base RI'!AQ231</f>
        <v>-395.43</v>
      </c>
      <c r="G231" s="2">
        <f t="shared" si="18"/>
        <v>893300.37</v>
      </c>
      <c r="H231" s="10">
        <f>'A) Base RI'!E231</f>
        <v>0</v>
      </c>
      <c r="I231" s="10">
        <f>'A) Base RI'!F231</f>
        <v>0</v>
      </c>
      <c r="J231" s="10">
        <f>'A) Base RI'!G231+'A) Base RI'!H231</f>
        <v>70066</v>
      </c>
      <c r="K231" s="10">
        <f>'A) Base RI'!I231</f>
        <v>0</v>
      </c>
      <c r="L231" s="10">
        <f>'A) Base RI'!J231</f>
        <v>9940.91</v>
      </c>
      <c r="M231" s="10">
        <f>'A) Base RI'!K231</f>
        <v>370.5</v>
      </c>
      <c r="N231" s="10">
        <f>'A) Base RI'!Q231</f>
        <v>0</v>
      </c>
      <c r="O231" s="10">
        <f t="shared" si="19"/>
        <v>80685.899999999994</v>
      </c>
      <c r="P231" s="10">
        <f>'A) Base RI'!L231</f>
        <v>80685.899999999994</v>
      </c>
      <c r="Q231" s="37">
        <f>'A) Base RI'!AR231</f>
        <v>1</v>
      </c>
      <c r="R231" s="2">
        <f t="shared" si="20"/>
        <v>1054363.68</v>
      </c>
      <c r="S231" s="36">
        <f>'A) Base RI'!AM231</f>
        <v>72</v>
      </c>
      <c r="T231" s="2">
        <f t="shared" si="21"/>
        <v>973307.28</v>
      </c>
      <c r="U231" s="2">
        <f t="shared" si="22"/>
        <v>14643.939999999999</v>
      </c>
      <c r="V231" s="10">
        <f>'A) Base RI'!O231</f>
        <v>80296.2</v>
      </c>
      <c r="W231" s="10">
        <f>'A) Base RI'!P231</f>
        <v>14379.2</v>
      </c>
      <c r="X231" s="10">
        <f>'A) Base RI'!R231</f>
        <v>19684.349999999999</v>
      </c>
      <c r="Y231" s="2">
        <f t="shared" si="23"/>
        <v>114359.75</v>
      </c>
      <c r="Z231" s="10">
        <f>'A) Base RI'!N231</f>
        <v>20534.8</v>
      </c>
      <c r="AA231" s="10">
        <f>'A) Base RI'!S231+'A) Base RI'!T231</f>
        <v>0</v>
      </c>
      <c r="AB231" s="10">
        <f>+'A) Base RI'!U231</f>
        <v>1410</v>
      </c>
      <c r="AC231" s="10">
        <f>'A) Base RI'!V231</f>
        <v>0</v>
      </c>
      <c r="AD231" s="10">
        <f>+'A) Base RI'!W231</f>
        <v>0</v>
      </c>
      <c r="AE231" s="10">
        <f>'A) Base RI'!Y231</f>
        <v>3852</v>
      </c>
      <c r="AF231" s="10">
        <f>'A) Base RI'!Z231</f>
        <v>0</v>
      </c>
      <c r="AG231" s="10">
        <f>'A) Base RI'!AA231</f>
        <v>56596</v>
      </c>
      <c r="AH231" s="10">
        <f>'A) Base RI'!AB231</f>
        <v>0</v>
      </c>
      <c r="AI231" s="10">
        <f>'A) Base RI'!AC231</f>
        <v>23124</v>
      </c>
      <c r="AJ231" s="10">
        <f>'A) Base RI'!AD231</f>
        <v>1348.2</v>
      </c>
      <c r="AK231" s="10">
        <f>'A) Base RI'!AE231</f>
        <v>0</v>
      </c>
      <c r="AL231" s="10">
        <f>'A) Base RI'!AF231</f>
        <v>0</v>
      </c>
      <c r="AM231" s="10">
        <f>'A) Base RI'!AG231</f>
        <v>0</v>
      </c>
      <c r="AN231" s="10">
        <f>'A) Base RI'!AH231</f>
        <v>0</v>
      </c>
      <c r="AO231" s="10">
        <f>'A) Base RI'!AI231</f>
        <v>0</v>
      </c>
      <c r="AP231" s="10">
        <f>'A) Base RI'!AJ231</f>
        <v>11101.7</v>
      </c>
      <c r="AQ231" s="10">
        <f>'A) Base RI'!AK231</f>
        <v>0</v>
      </c>
      <c r="AR231" s="10">
        <f>'A) Base RI'!AN231</f>
        <v>469</v>
      </c>
    </row>
    <row r="232" spans="1:44" x14ac:dyDescent="0.25">
      <c r="A232" s="8">
        <f>'A) Base RI'!A232</f>
        <v>5757</v>
      </c>
      <c r="B232" s="35" t="str">
        <f>'A) Base RI'!B232</f>
        <v>Orbe</v>
      </c>
      <c r="C232" s="10">
        <f>'A) Base RI'!C232+'A) Base RI'!D232</f>
        <v>12104804.550000001</v>
      </c>
      <c r="D232" s="10">
        <f>'A) Base RI'!AO232</f>
        <v>-224072.02</v>
      </c>
      <c r="E232" s="34">
        <f>'A) Base RI'!AP232</f>
        <v>0</v>
      </c>
      <c r="F232" s="34">
        <f>'A) Base RI'!AQ232</f>
        <v>-511.19</v>
      </c>
      <c r="G232" s="2">
        <f t="shared" si="18"/>
        <v>11880221.340000002</v>
      </c>
      <c r="H232" s="10">
        <f>'A) Base RI'!E232</f>
        <v>0</v>
      </c>
      <c r="I232" s="10">
        <f>'A) Base RI'!F232</f>
        <v>0</v>
      </c>
      <c r="J232" s="10">
        <f>'A) Base RI'!G232+'A) Base RI'!H232</f>
        <v>2530851.5</v>
      </c>
      <c r="K232" s="10">
        <f>'A) Base RI'!I232</f>
        <v>0</v>
      </c>
      <c r="L232" s="10">
        <f>'A) Base RI'!J232</f>
        <v>455342.07</v>
      </c>
      <c r="M232" s="10">
        <f>'A) Base RI'!K232</f>
        <v>84751</v>
      </c>
      <c r="N232" s="10">
        <f>'A) Base RI'!Q232</f>
        <v>190285.58</v>
      </c>
      <c r="O232" s="10">
        <f t="shared" si="19"/>
        <v>1098522.8999999999</v>
      </c>
      <c r="P232" s="10">
        <f>'A) Base RI'!L232</f>
        <v>1098522.8999999999</v>
      </c>
      <c r="Q232" s="37">
        <f>'A) Base RI'!AR232</f>
        <v>1</v>
      </c>
      <c r="R232" s="2">
        <f t="shared" si="20"/>
        <v>16239974.390000002</v>
      </c>
      <c r="S232" s="36">
        <f>'A) Base RI'!AM232</f>
        <v>74</v>
      </c>
      <c r="T232" s="2">
        <f t="shared" si="21"/>
        <v>15056700.490000002</v>
      </c>
      <c r="U232" s="2">
        <f t="shared" si="22"/>
        <v>219459.11337837842</v>
      </c>
      <c r="V232" s="10">
        <f>'A) Base RI'!O232</f>
        <v>47480.6</v>
      </c>
      <c r="W232" s="10">
        <f>'A) Base RI'!P232</f>
        <v>300855.65000000002</v>
      </c>
      <c r="X232" s="10">
        <f>'A) Base RI'!R232</f>
        <v>120895.2</v>
      </c>
      <c r="Y232" s="2">
        <f t="shared" si="23"/>
        <v>469231.45</v>
      </c>
      <c r="Z232" s="10">
        <f>'A) Base RI'!N232</f>
        <v>2683850.4</v>
      </c>
      <c r="AA232" s="10">
        <f>'A) Base RI'!S232+'A) Base RI'!T232</f>
        <v>39581</v>
      </c>
      <c r="AB232" s="10">
        <f>+'A) Base RI'!U232</f>
        <v>39735</v>
      </c>
      <c r="AC232" s="10">
        <f>'A) Base RI'!V232</f>
        <v>378</v>
      </c>
      <c r="AD232" s="10">
        <f>+'A) Base RI'!W232</f>
        <v>0</v>
      </c>
      <c r="AE232" s="10">
        <f>'A) Base RI'!Y232</f>
        <v>125640</v>
      </c>
      <c r="AF232" s="10">
        <f>'A) Base RI'!Z232</f>
        <v>0</v>
      </c>
      <c r="AG232" s="10">
        <f>'A) Base RI'!AA232</f>
        <v>1198261.6000000001</v>
      </c>
      <c r="AH232" s="10">
        <f>'A) Base RI'!AB232</f>
        <v>0</v>
      </c>
      <c r="AI232" s="10">
        <f>'A) Base RI'!AC232</f>
        <v>959916.7</v>
      </c>
      <c r="AJ232" s="10">
        <f>'A) Base RI'!AD232</f>
        <v>50437.25</v>
      </c>
      <c r="AK232" s="10">
        <f>'A) Base RI'!AE232</f>
        <v>0</v>
      </c>
      <c r="AL232" s="10">
        <f>'A) Base RI'!AF232</f>
        <v>0</v>
      </c>
      <c r="AM232" s="10">
        <f>'A) Base RI'!AG232</f>
        <v>16979.400000000001</v>
      </c>
      <c r="AN232" s="10">
        <f>'A) Base RI'!AH232</f>
        <v>0</v>
      </c>
      <c r="AO232" s="10">
        <f>'A) Base RI'!AI232</f>
        <v>131230.39999999999</v>
      </c>
      <c r="AP232" s="10">
        <f>'A) Base RI'!AJ232</f>
        <v>131230.39999999999</v>
      </c>
      <c r="AQ232" s="10">
        <f>'A) Base RI'!AK232</f>
        <v>0</v>
      </c>
      <c r="AR232" s="10">
        <f>'A) Base RI'!AN232</f>
        <v>6805</v>
      </c>
    </row>
    <row r="233" spans="1:44" x14ac:dyDescent="0.25">
      <c r="A233" s="8">
        <f>'A) Base RI'!A233</f>
        <v>5758</v>
      </c>
      <c r="B233" s="35" t="str">
        <f>'A) Base RI'!B233</f>
        <v>La Praz</v>
      </c>
      <c r="C233" s="10">
        <f>'A) Base RI'!C233+'A) Base RI'!D233</f>
        <v>293385.86</v>
      </c>
      <c r="D233" s="10">
        <f>'A) Base RI'!AO233</f>
        <v>-76.84</v>
      </c>
      <c r="E233" s="34">
        <f>'A) Base RI'!AP233</f>
        <v>0</v>
      </c>
      <c r="F233" s="34">
        <f>'A) Base RI'!AQ233</f>
        <v>0</v>
      </c>
      <c r="G233" s="2">
        <f t="shared" si="18"/>
        <v>293309.01999999996</v>
      </c>
      <c r="H233" s="10">
        <f>'A) Base RI'!E233</f>
        <v>0</v>
      </c>
      <c r="I233" s="10">
        <f>'A) Base RI'!F233</f>
        <v>920</v>
      </c>
      <c r="J233" s="10">
        <f>'A) Base RI'!G233+'A) Base RI'!H233</f>
        <v>374.5500000000003</v>
      </c>
      <c r="K233" s="10">
        <f>'A) Base RI'!I233</f>
        <v>0</v>
      </c>
      <c r="L233" s="10">
        <f>'A) Base RI'!J233</f>
        <v>-2825.54</v>
      </c>
      <c r="M233" s="10">
        <f>'A) Base RI'!K233</f>
        <v>0</v>
      </c>
      <c r="N233" s="10">
        <f>'A) Base RI'!Q233</f>
        <v>0</v>
      </c>
      <c r="O233" s="10">
        <f t="shared" si="19"/>
        <v>23014.555555555555</v>
      </c>
      <c r="P233" s="10">
        <f>'A) Base RI'!L233</f>
        <v>20713.099999999999</v>
      </c>
      <c r="Q233" s="37">
        <f>'A) Base RI'!AR233</f>
        <v>0.9</v>
      </c>
      <c r="R233" s="2">
        <f t="shared" si="20"/>
        <v>314792.58555555553</v>
      </c>
      <c r="S233" s="36">
        <f>'A) Base RI'!AM233</f>
        <v>83</v>
      </c>
      <c r="T233" s="2">
        <f t="shared" si="21"/>
        <v>290858.02999999997</v>
      </c>
      <c r="U233" s="2">
        <f t="shared" si="22"/>
        <v>3792.6817536813919</v>
      </c>
      <c r="V233" s="10">
        <f>'A) Base RI'!O233</f>
        <v>0</v>
      </c>
      <c r="W233" s="10">
        <f>'A) Base RI'!P233</f>
        <v>3861</v>
      </c>
      <c r="X233" s="10">
        <f>'A) Base RI'!R233</f>
        <v>7807.45</v>
      </c>
      <c r="Y233" s="2">
        <f t="shared" si="23"/>
        <v>11668.45</v>
      </c>
      <c r="Z233" s="10">
        <f>'A) Base RI'!N233</f>
        <v>0</v>
      </c>
      <c r="AA233" s="10">
        <f>'A) Base RI'!S233+'A) Base RI'!T233</f>
        <v>0</v>
      </c>
      <c r="AB233" s="10">
        <f>+'A) Base RI'!U233</f>
        <v>860</v>
      </c>
      <c r="AC233" s="10">
        <f>'A) Base RI'!V233</f>
        <v>0</v>
      </c>
      <c r="AD233" s="10">
        <f>+'A) Base RI'!W233</f>
        <v>0</v>
      </c>
      <c r="AE233" s="10">
        <f>'A) Base RI'!Y233</f>
        <v>3425</v>
      </c>
      <c r="AF233" s="10">
        <f>'A) Base RI'!Z233</f>
        <v>0</v>
      </c>
      <c r="AG233" s="10">
        <f>'A) Base RI'!AA233</f>
        <v>27845</v>
      </c>
      <c r="AH233" s="10">
        <f>'A) Base RI'!AB233</f>
        <v>0</v>
      </c>
      <c r="AI233" s="10">
        <f>'A) Base RI'!AC233</f>
        <v>10910</v>
      </c>
      <c r="AJ233" s="10">
        <f>'A) Base RI'!AD233</f>
        <v>13975</v>
      </c>
      <c r="AK233" s="10">
        <f>'A) Base RI'!AE233</f>
        <v>0</v>
      </c>
      <c r="AL233" s="10">
        <f>'A) Base RI'!AF233</f>
        <v>0</v>
      </c>
      <c r="AM233" s="10">
        <f>'A) Base RI'!AG233</f>
        <v>0</v>
      </c>
      <c r="AN233" s="10">
        <f>'A) Base RI'!AH233</f>
        <v>2100</v>
      </c>
      <c r="AO233" s="10">
        <f>'A) Base RI'!AI233</f>
        <v>0</v>
      </c>
      <c r="AP233" s="10">
        <f>'A) Base RI'!AJ233</f>
        <v>0</v>
      </c>
      <c r="AQ233" s="10">
        <f>'A) Base RI'!AK233</f>
        <v>0</v>
      </c>
      <c r="AR233" s="10">
        <f>'A) Base RI'!AN233</f>
        <v>159</v>
      </c>
    </row>
    <row r="234" spans="1:44" x14ac:dyDescent="0.25">
      <c r="A234" s="8">
        <f>'A) Base RI'!A234</f>
        <v>5759</v>
      </c>
      <c r="B234" s="35" t="str">
        <f>'A) Base RI'!B234</f>
        <v>Premier</v>
      </c>
      <c r="C234" s="10">
        <f>'A) Base RI'!C234+'A) Base RI'!D234</f>
        <v>365631.57</v>
      </c>
      <c r="D234" s="10">
        <f>'A) Base RI'!AO234</f>
        <v>-7678.44</v>
      </c>
      <c r="E234" s="34">
        <f>'A) Base RI'!AP234</f>
        <v>0</v>
      </c>
      <c r="F234" s="34">
        <f>'A) Base RI'!AQ234</f>
        <v>-4.91</v>
      </c>
      <c r="G234" s="2">
        <f t="shared" si="18"/>
        <v>357948.22000000003</v>
      </c>
      <c r="H234" s="10">
        <f>'A) Base RI'!E234</f>
        <v>0</v>
      </c>
      <c r="I234" s="10">
        <f>'A) Base RI'!F234</f>
        <v>0</v>
      </c>
      <c r="J234" s="10">
        <f>'A) Base RI'!G234+'A) Base RI'!H234</f>
        <v>-5169.7</v>
      </c>
      <c r="K234" s="10">
        <f>'A) Base RI'!I234</f>
        <v>0</v>
      </c>
      <c r="L234" s="10">
        <f>'A) Base RI'!J234</f>
        <v>947.47</v>
      </c>
      <c r="M234" s="10">
        <f>'A) Base RI'!K234</f>
        <v>242</v>
      </c>
      <c r="N234" s="10">
        <f>'A) Base RI'!Q234</f>
        <v>0</v>
      </c>
      <c r="O234" s="10">
        <f t="shared" si="19"/>
        <v>25883.5</v>
      </c>
      <c r="P234" s="10">
        <f>'A) Base RI'!L234</f>
        <v>25883.5</v>
      </c>
      <c r="Q234" s="37">
        <f>'A) Base RI'!AR234</f>
        <v>1</v>
      </c>
      <c r="R234" s="2">
        <f t="shared" si="20"/>
        <v>379851.49</v>
      </c>
      <c r="S234" s="36">
        <f>'A) Base RI'!AM234</f>
        <v>81</v>
      </c>
      <c r="T234" s="2">
        <f t="shared" si="21"/>
        <v>353725.99</v>
      </c>
      <c r="U234" s="2">
        <f t="shared" si="22"/>
        <v>4689.5245679012341</v>
      </c>
      <c r="V234" s="10">
        <f>'A) Base RI'!O234</f>
        <v>0</v>
      </c>
      <c r="W234" s="10">
        <f>'A) Base RI'!P234</f>
        <v>5390</v>
      </c>
      <c r="X234" s="10">
        <f>'A) Base RI'!R234</f>
        <v>0</v>
      </c>
      <c r="Y234" s="2">
        <f t="shared" si="23"/>
        <v>5390</v>
      </c>
      <c r="Z234" s="10">
        <f>'A) Base RI'!N234</f>
        <v>1507.6</v>
      </c>
      <c r="AA234" s="10">
        <f>'A) Base RI'!S234+'A) Base RI'!T234</f>
        <v>0</v>
      </c>
      <c r="AB234" s="10">
        <f>+'A) Base RI'!U234</f>
        <v>1125</v>
      </c>
      <c r="AC234" s="10">
        <f>'A) Base RI'!V234</f>
        <v>0</v>
      </c>
      <c r="AD234" s="10">
        <f>+'A) Base RI'!W234</f>
        <v>0</v>
      </c>
      <c r="AE234" s="10">
        <f>'A) Base RI'!Y234</f>
        <v>0</v>
      </c>
      <c r="AF234" s="10">
        <f>'A) Base RI'!Z234</f>
        <v>0</v>
      </c>
      <c r="AG234" s="10">
        <f>'A) Base RI'!AA234</f>
        <v>25695.200000000001</v>
      </c>
      <c r="AH234" s="10">
        <f>'A) Base RI'!AB234</f>
        <v>0</v>
      </c>
      <c r="AI234" s="10">
        <f>'A) Base RI'!AC234</f>
        <v>17372.55</v>
      </c>
      <c r="AJ234" s="10">
        <f>'A) Base RI'!AD234</f>
        <v>0</v>
      </c>
      <c r="AK234" s="10">
        <f>'A) Base RI'!AE234</f>
        <v>0</v>
      </c>
      <c r="AL234" s="10">
        <f>'A) Base RI'!AF234</f>
        <v>0</v>
      </c>
      <c r="AM234" s="10">
        <f>'A) Base RI'!AG234</f>
        <v>0</v>
      </c>
      <c r="AN234" s="10">
        <f>'A) Base RI'!AH234</f>
        <v>0</v>
      </c>
      <c r="AO234" s="10">
        <f>'A) Base RI'!AI234</f>
        <v>0</v>
      </c>
      <c r="AP234" s="10">
        <f>'A) Base RI'!AJ234</f>
        <v>0</v>
      </c>
      <c r="AQ234" s="10">
        <f>'A) Base RI'!AK234</f>
        <v>0</v>
      </c>
      <c r="AR234" s="10">
        <f>'A) Base RI'!AN234</f>
        <v>196</v>
      </c>
    </row>
    <row r="235" spans="1:44" x14ac:dyDescent="0.25">
      <c r="A235" s="8">
        <f>'A) Base RI'!A235</f>
        <v>5760</v>
      </c>
      <c r="B235" s="35" t="str">
        <f>'A) Base RI'!B235</f>
        <v>Rances</v>
      </c>
      <c r="C235" s="10">
        <f>'A) Base RI'!C235+'A) Base RI'!D235</f>
        <v>927856.55</v>
      </c>
      <c r="D235" s="10">
        <f>'A) Base RI'!AO235</f>
        <v>-13467.97</v>
      </c>
      <c r="E235" s="34">
        <f>'A) Base RI'!AP235</f>
        <v>0</v>
      </c>
      <c r="F235" s="34">
        <f>'A) Base RI'!AQ235</f>
        <v>-656.5</v>
      </c>
      <c r="G235" s="2">
        <f t="shared" si="18"/>
        <v>913732.08000000007</v>
      </c>
      <c r="H235" s="10">
        <f>'A) Base RI'!E235</f>
        <v>0</v>
      </c>
      <c r="I235" s="10">
        <f>'A) Base RI'!F235</f>
        <v>2280</v>
      </c>
      <c r="J235" s="10">
        <f>'A) Base RI'!G235+'A) Base RI'!H235</f>
        <v>14608</v>
      </c>
      <c r="K235" s="10">
        <f>'A) Base RI'!I235</f>
        <v>0</v>
      </c>
      <c r="L235" s="10">
        <f>'A) Base RI'!J235</f>
        <v>6831.59</v>
      </c>
      <c r="M235" s="10">
        <f>'A) Base RI'!K235</f>
        <v>0</v>
      </c>
      <c r="N235" s="10">
        <f>'A) Base RI'!Q235</f>
        <v>32676.61</v>
      </c>
      <c r="O235" s="10">
        <f t="shared" si="19"/>
        <v>61625.266666666663</v>
      </c>
      <c r="P235" s="10">
        <f>'A) Base RI'!L235</f>
        <v>92437.9</v>
      </c>
      <c r="Q235" s="37">
        <f>'A) Base RI'!AR235</f>
        <v>1.5</v>
      </c>
      <c r="R235" s="2">
        <f t="shared" si="20"/>
        <v>1031753.5466666666</v>
      </c>
      <c r="S235" s="36">
        <f>'A) Base RI'!AM235</f>
        <v>78</v>
      </c>
      <c r="T235" s="2">
        <f t="shared" si="21"/>
        <v>967848.28</v>
      </c>
      <c r="U235" s="2">
        <f t="shared" si="22"/>
        <v>13227.609572649571</v>
      </c>
      <c r="V235" s="10">
        <f>'A) Base RI'!O235</f>
        <v>119259.4</v>
      </c>
      <c r="W235" s="10">
        <f>'A) Base RI'!P235</f>
        <v>44102.5</v>
      </c>
      <c r="X235" s="10">
        <f>'A) Base RI'!R235</f>
        <v>43102.7</v>
      </c>
      <c r="Y235" s="2">
        <f t="shared" si="23"/>
        <v>206464.59999999998</v>
      </c>
      <c r="Z235" s="10">
        <f>'A) Base RI'!N235</f>
        <v>13661.85</v>
      </c>
      <c r="AA235" s="10">
        <f>'A) Base RI'!S235+'A) Base RI'!T235</f>
        <v>897.25</v>
      </c>
      <c r="AB235" s="10">
        <f>+'A) Base RI'!U235</f>
        <v>2655</v>
      </c>
      <c r="AC235" s="10">
        <f>'A) Base RI'!V235</f>
        <v>0</v>
      </c>
      <c r="AD235" s="10">
        <f>+'A) Base RI'!W235</f>
        <v>0</v>
      </c>
      <c r="AE235" s="10">
        <f>'A) Base RI'!Y235</f>
        <v>2662.1</v>
      </c>
      <c r="AF235" s="10">
        <f>'A) Base RI'!Z235</f>
        <v>0</v>
      </c>
      <c r="AG235" s="10">
        <f>'A) Base RI'!AA235</f>
        <v>47317.95</v>
      </c>
      <c r="AH235" s="10">
        <f>'A) Base RI'!AB235</f>
        <v>67729.600000000006</v>
      </c>
      <c r="AI235" s="10">
        <f>'A) Base RI'!AC235</f>
        <v>26922.55</v>
      </c>
      <c r="AJ235" s="10">
        <f>'A) Base RI'!AD235</f>
        <v>0</v>
      </c>
      <c r="AK235" s="10">
        <f>'A) Base RI'!AE235</f>
        <v>0</v>
      </c>
      <c r="AL235" s="10">
        <f>'A) Base RI'!AF235</f>
        <v>0</v>
      </c>
      <c r="AM235" s="10">
        <f>'A) Base RI'!AG235</f>
        <v>0</v>
      </c>
      <c r="AN235" s="10">
        <f>'A) Base RI'!AH235</f>
        <v>0</v>
      </c>
      <c r="AO235" s="10">
        <f>'A) Base RI'!AI235</f>
        <v>0</v>
      </c>
      <c r="AP235" s="10">
        <f>'A) Base RI'!AJ235</f>
        <v>0</v>
      </c>
      <c r="AQ235" s="10">
        <f>'A) Base RI'!AK235</f>
        <v>0</v>
      </c>
      <c r="AR235" s="10">
        <f>'A) Base RI'!AN235</f>
        <v>473</v>
      </c>
    </row>
    <row r="236" spans="1:44" x14ac:dyDescent="0.25">
      <c r="A236" s="8">
        <f>'A) Base RI'!A236</f>
        <v>5761</v>
      </c>
      <c r="B236" s="35" t="str">
        <f>'A) Base RI'!B236</f>
        <v>Romainmôtier-Envy</v>
      </c>
      <c r="C236" s="10">
        <f>'A) Base RI'!C236+'A) Base RI'!D236</f>
        <v>839753.3899999999</v>
      </c>
      <c r="D236" s="10">
        <f>'A) Base RI'!AO236</f>
        <v>-34722.06</v>
      </c>
      <c r="E236" s="34">
        <f>'A) Base RI'!AP236</f>
        <v>0</v>
      </c>
      <c r="F236" s="34">
        <f>'A) Base RI'!AQ236</f>
        <v>0</v>
      </c>
      <c r="G236" s="2">
        <f t="shared" si="18"/>
        <v>805031.32999999984</v>
      </c>
      <c r="H236" s="10">
        <f>'A) Base RI'!E236</f>
        <v>0</v>
      </c>
      <c r="I236" s="10">
        <f>'A) Base RI'!F236</f>
        <v>0</v>
      </c>
      <c r="J236" s="10">
        <f>'A) Base RI'!G236+'A) Base RI'!H236</f>
        <v>16402.95</v>
      </c>
      <c r="K236" s="10">
        <f>'A) Base RI'!I236</f>
        <v>0</v>
      </c>
      <c r="L236" s="10">
        <f>'A) Base RI'!J236</f>
        <v>14912.64</v>
      </c>
      <c r="M236" s="10">
        <f>'A) Base RI'!K236</f>
        <v>3851</v>
      </c>
      <c r="N236" s="10">
        <f>'A) Base RI'!Q236</f>
        <v>10576.04</v>
      </c>
      <c r="O236" s="10">
        <f t="shared" si="19"/>
        <v>73835.625</v>
      </c>
      <c r="P236" s="10">
        <f>'A) Base RI'!L236</f>
        <v>59068.5</v>
      </c>
      <c r="Q236" s="37">
        <f>'A) Base RI'!AR236</f>
        <v>0.8</v>
      </c>
      <c r="R236" s="2">
        <f t="shared" si="20"/>
        <v>924609.58499999985</v>
      </c>
      <c r="S236" s="36">
        <f>'A) Base RI'!AM236</f>
        <v>76</v>
      </c>
      <c r="T236" s="2">
        <f t="shared" si="21"/>
        <v>846922.95999999985</v>
      </c>
      <c r="U236" s="2">
        <f t="shared" si="22"/>
        <v>12165.915592105261</v>
      </c>
      <c r="V236" s="10">
        <f>'A) Base RI'!O236</f>
        <v>1301.9000000000001</v>
      </c>
      <c r="W236" s="10">
        <f>'A) Base RI'!P236</f>
        <v>52633.55</v>
      </c>
      <c r="X236" s="10">
        <f>'A) Base RI'!R236</f>
        <v>69521.149999999994</v>
      </c>
      <c r="Y236" s="2">
        <f t="shared" si="23"/>
        <v>123456.6</v>
      </c>
      <c r="Z236" s="10">
        <f>'A) Base RI'!N236</f>
        <v>41030.199999999997</v>
      </c>
      <c r="AA236" s="10">
        <f>'A) Base RI'!S236+'A) Base RI'!T236</f>
        <v>739.05</v>
      </c>
      <c r="AB236" s="10">
        <f>+'A) Base RI'!U236</f>
        <v>3276</v>
      </c>
      <c r="AC236" s="10">
        <f>'A) Base RI'!V236</f>
        <v>7162.55</v>
      </c>
      <c r="AD236" s="10">
        <f>+'A) Base RI'!W236</f>
        <v>0</v>
      </c>
      <c r="AE236" s="10">
        <f>'A) Base RI'!Y236</f>
        <v>38064.85</v>
      </c>
      <c r="AF236" s="10">
        <f>'A) Base RI'!Z236</f>
        <v>0</v>
      </c>
      <c r="AG236" s="10">
        <f>'A) Base RI'!AA236</f>
        <v>93263.25</v>
      </c>
      <c r="AH236" s="10">
        <f>'A) Base RI'!AB236</f>
        <v>0</v>
      </c>
      <c r="AI236" s="10">
        <f>'A) Base RI'!AC236</f>
        <v>51499.25</v>
      </c>
      <c r="AJ236" s="10">
        <f>'A) Base RI'!AD236</f>
        <v>13841.75</v>
      </c>
      <c r="AK236" s="10">
        <f>'A) Base RI'!AE236</f>
        <v>0</v>
      </c>
      <c r="AL236" s="10">
        <f>'A) Base RI'!AF236</f>
        <v>0</v>
      </c>
      <c r="AM236" s="10">
        <f>'A) Base RI'!AG236</f>
        <v>0</v>
      </c>
      <c r="AN236" s="10">
        <f>'A) Base RI'!AH236</f>
        <v>16155.75</v>
      </c>
      <c r="AO236" s="10">
        <f>'A) Base RI'!AI236</f>
        <v>0</v>
      </c>
      <c r="AP236" s="10">
        <f>'A) Base RI'!AJ236</f>
        <v>0</v>
      </c>
      <c r="AQ236" s="10">
        <f>'A) Base RI'!AK236</f>
        <v>0</v>
      </c>
      <c r="AR236" s="10">
        <f>'A) Base RI'!AN236</f>
        <v>546</v>
      </c>
    </row>
    <row r="237" spans="1:44" x14ac:dyDescent="0.25">
      <c r="A237" s="8">
        <f>'A) Base RI'!A237</f>
        <v>5762</v>
      </c>
      <c r="B237" s="35" t="str">
        <f>'A) Base RI'!B237</f>
        <v>Sergey</v>
      </c>
      <c r="C237" s="10">
        <f>'A) Base RI'!C237+'A) Base RI'!D237</f>
        <v>248048.22</v>
      </c>
      <c r="D237" s="10">
        <f>'A) Base RI'!AO237</f>
        <v>-76.19</v>
      </c>
      <c r="E237" s="34">
        <f>'A) Base RI'!AP237</f>
        <v>0</v>
      </c>
      <c r="F237" s="34">
        <f>'A) Base RI'!AQ237</f>
        <v>0</v>
      </c>
      <c r="G237" s="2">
        <f t="shared" si="18"/>
        <v>247972.03</v>
      </c>
      <c r="H237" s="10">
        <f>'A) Base RI'!E237</f>
        <v>0</v>
      </c>
      <c r="I237" s="10">
        <f>'A) Base RI'!F237</f>
        <v>0</v>
      </c>
      <c r="J237" s="10">
        <f>'A) Base RI'!G237+'A) Base RI'!H237</f>
        <v>7975.05</v>
      </c>
      <c r="K237" s="10">
        <f>'A) Base RI'!I237</f>
        <v>0</v>
      </c>
      <c r="L237" s="10">
        <f>'A) Base RI'!J237</f>
        <v>4710.6099999999997</v>
      </c>
      <c r="M237" s="10">
        <f>'A) Base RI'!K237</f>
        <v>0</v>
      </c>
      <c r="N237" s="10">
        <f>'A) Base RI'!Q237</f>
        <v>0</v>
      </c>
      <c r="O237" s="10">
        <f t="shared" si="19"/>
        <v>19093.099999999999</v>
      </c>
      <c r="P237" s="10">
        <f>'A) Base RI'!L237</f>
        <v>19093.099999999999</v>
      </c>
      <c r="Q237" s="37">
        <f>'A) Base RI'!AR237</f>
        <v>1</v>
      </c>
      <c r="R237" s="2">
        <f t="shared" si="20"/>
        <v>279750.78999999998</v>
      </c>
      <c r="S237" s="36">
        <f>'A) Base RI'!AM237</f>
        <v>78</v>
      </c>
      <c r="T237" s="2">
        <f t="shared" si="21"/>
        <v>260657.68999999997</v>
      </c>
      <c r="U237" s="2">
        <f t="shared" si="22"/>
        <v>3586.5485897435897</v>
      </c>
      <c r="V237" s="10">
        <f>'A) Base RI'!O237</f>
        <v>3564</v>
      </c>
      <c r="W237" s="10">
        <f>'A) Base RI'!P237</f>
        <v>0</v>
      </c>
      <c r="X237" s="10">
        <f>'A) Base RI'!R237</f>
        <v>0</v>
      </c>
      <c r="Y237" s="2">
        <f t="shared" si="23"/>
        <v>3564</v>
      </c>
      <c r="Z237" s="10">
        <f>'A) Base RI'!N237</f>
        <v>7814.8</v>
      </c>
      <c r="AA237" s="10">
        <f>'A) Base RI'!S237+'A) Base RI'!T237</f>
        <v>0</v>
      </c>
      <c r="AB237" s="10">
        <f>+'A) Base RI'!U237</f>
        <v>900</v>
      </c>
      <c r="AC237" s="10">
        <f>'A) Base RI'!V237</f>
        <v>0</v>
      </c>
      <c r="AD237" s="10">
        <f>+'A) Base RI'!W237</f>
        <v>0</v>
      </c>
      <c r="AE237" s="10">
        <f>'A) Base RI'!Y237</f>
        <v>0</v>
      </c>
      <c r="AF237" s="10">
        <f>'A) Base RI'!Z237</f>
        <v>186.4</v>
      </c>
      <c r="AG237" s="10">
        <f>'A) Base RI'!AA237</f>
        <v>5460.8</v>
      </c>
      <c r="AH237" s="10">
        <f>'A) Base RI'!AB237</f>
        <v>0</v>
      </c>
      <c r="AI237" s="10">
        <f>'A) Base RI'!AC237</f>
        <v>11850.55</v>
      </c>
      <c r="AJ237" s="10">
        <f>'A) Base RI'!AD237</f>
        <v>0</v>
      </c>
      <c r="AK237" s="10">
        <f>'A) Base RI'!AE237</f>
        <v>265.35000000000002</v>
      </c>
      <c r="AL237" s="10">
        <f>'A) Base RI'!AF237</f>
        <v>0</v>
      </c>
      <c r="AM237" s="10">
        <f>'A) Base RI'!AG237</f>
        <v>0</v>
      </c>
      <c r="AN237" s="10">
        <f>'A) Base RI'!AH237</f>
        <v>0</v>
      </c>
      <c r="AO237" s="10">
        <f>'A) Base RI'!AI237</f>
        <v>0</v>
      </c>
      <c r="AP237" s="10">
        <f>'A) Base RI'!AJ237</f>
        <v>0</v>
      </c>
      <c r="AQ237" s="10">
        <f>'A) Base RI'!AK237</f>
        <v>0</v>
      </c>
      <c r="AR237" s="10">
        <f>'A) Base RI'!AN237</f>
        <v>140</v>
      </c>
    </row>
    <row r="238" spans="1:44" x14ac:dyDescent="0.25">
      <c r="A238" s="8">
        <f>'A) Base RI'!A238</f>
        <v>5763</v>
      </c>
      <c r="B238" s="35" t="str">
        <f>'A) Base RI'!B238</f>
        <v>Valeyres-sous-Rances</v>
      </c>
      <c r="C238" s="10">
        <f>'A) Base RI'!C238+'A) Base RI'!D238</f>
        <v>910613.32</v>
      </c>
      <c r="D238" s="10">
        <f>'A) Base RI'!AO238</f>
        <v>-8511.08</v>
      </c>
      <c r="E238" s="34">
        <f>'A) Base RI'!AP238</f>
        <v>0</v>
      </c>
      <c r="F238" s="34">
        <f>'A) Base RI'!AQ238</f>
        <v>-41.12</v>
      </c>
      <c r="G238" s="2">
        <f t="shared" si="18"/>
        <v>902061.12</v>
      </c>
      <c r="H238" s="10">
        <f>'A) Base RI'!E238</f>
        <v>0</v>
      </c>
      <c r="I238" s="10">
        <f>'A) Base RI'!F238</f>
        <v>3300</v>
      </c>
      <c r="J238" s="10">
        <f>'A) Base RI'!G238+'A) Base RI'!H238</f>
        <v>38723.75</v>
      </c>
      <c r="K238" s="10">
        <f>'A) Base RI'!I238</f>
        <v>0</v>
      </c>
      <c r="L238" s="10">
        <f>'A) Base RI'!J238</f>
        <v>16747.099999999999</v>
      </c>
      <c r="M238" s="10">
        <f>'A) Base RI'!K238</f>
        <v>3517.5</v>
      </c>
      <c r="N238" s="10">
        <f>'A) Base RI'!Q238</f>
        <v>4227.13</v>
      </c>
      <c r="O238" s="10">
        <f t="shared" si="19"/>
        <v>77003.7</v>
      </c>
      <c r="P238" s="10">
        <f>'A) Base RI'!L238</f>
        <v>77003.7</v>
      </c>
      <c r="Q238" s="37">
        <f>'A) Base RI'!AR238</f>
        <v>1</v>
      </c>
      <c r="R238" s="2">
        <f t="shared" si="20"/>
        <v>1045580.2999999999</v>
      </c>
      <c r="S238" s="36">
        <f>'A) Base RI'!AM238</f>
        <v>65</v>
      </c>
      <c r="T238" s="2">
        <f t="shared" si="21"/>
        <v>961759.1</v>
      </c>
      <c r="U238" s="2">
        <f t="shared" si="22"/>
        <v>16085.850769230768</v>
      </c>
      <c r="V238" s="10">
        <f>'A) Base RI'!O238</f>
        <v>0</v>
      </c>
      <c r="W238" s="10">
        <f>'A) Base RI'!P238</f>
        <v>31427</v>
      </c>
      <c r="X238" s="10">
        <f>'A) Base RI'!R238</f>
        <v>43820.800000000003</v>
      </c>
      <c r="Y238" s="2">
        <f t="shared" si="23"/>
        <v>75247.8</v>
      </c>
      <c r="Z238" s="10">
        <f>'A) Base RI'!N238</f>
        <v>40770.949999999997</v>
      </c>
      <c r="AA238" s="10">
        <f>'A) Base RI'!S238+'A) Base RI'!T238</f>
        <v>1753.6</v>
      </c>
      <c r="AB238" s="10">
        <f>+'A) Base RI'!U238</f>
        <v>3750</v>
      </c>
      <c r="AC238" s="10">
        <f>'A) Base RI'!V238</f>
        <v>0</v>
      </c>
      <c r="AD238" s="10">
        <f>+'A) Base RI'!W238</f>
        <v>0</v>
      </c>
      <c r="AE238" s="10">
        <f>'A) Base RI'!Y238</f>
        <v>17232</v>
      </c>
      <c r="AF238" s="10">
        <f>'A) Base RI'!Z238</f>
        <v>0</v>
      </c>
      <c r="AG238" s="10">
        <f>'A) Base RI'!AA238</f>
        <v>91503.1</v>
      </c>
      <c r="AH238" s="10">
        <f>'A) Base RI'!AB238</f>
        <v>0</v>
      </c>
      <c r="AI238" s="10">
        <f>'A) Base RI'!AC238</f>
        <v>56615.75</v>
      </c>
      <c r="AJ238" s="10">
        <f>'A) Base RI'!AD238</f>
        <v>10192</v>
      </c>
      <c r="AK238" s="10">
        <f>'A) Base RI'!AE238</f>
        <v>0</v>
      </c>
      <c r="AL238" s="10">
        <f>'A) Base RI'!AF238</f>
        <v>0</v>
      </c>
      <c r="AM238" s="10">
        <f>'A) Base RI'!AG238</f>
        <v>0</v>
      </c>
      <c r="AN238" s="10">
        <f>'A) Base RI'!AH238</f>
        <v>0</v>
      </c>
      <c r="AO238" s="10">
        <f>'A) Base RI'!AI238</f>
        <v>0</v>
      </c>
      <c r="AP238" s="10">
        <f>'A) Base RI'!AJ238</f>
        <v>0</v>
      </c>
      <c r="AQ238" s="10">
        <f>'A) Base RI'!AK238</f>
        <v>0</v>
      </c>
      <c r="AR238" s="10">
        <f>'A) Base RI'!AN238</f>
        <v>623</v>
      </c>
    </row>
    <row r="239" spans="1:44" x14ac:dyDescent="0.25">
      <c r="A239" s="8">
        <f>'A) Base RI'!A239</f>
        <v>5764</v>
      </c>
      <c r="B239" s="35" t="str">
        <f>'A) Base RI'!B239</f>
        <v>Vallorbe</v>
      </c>
      <c r="C239" s="10">
        <f>'A) Base RI'!C239+'A) Base RI'!D239</f>
        <v>5079780.7</v>
      </c>
      <c r="D239" s="10">
        <f>'A) Base RI'!AO239</f>
        <v>-207572.22</v>
      </c>
      <c r="E239" s="34">
        <f>'A) Base RI'!AP239</f>
        <v>0</v>
      </c>
      <c r="F239" s="34">
        <f>'A) Base RI'!AQ239</f>
        <v>-562.57000000000005</v>
      </c>
      <c r="G239" s="2">
        <f t="shared" si="18"/>
        <v>4871645.91</v>
      </c>
      <c r="H239" s="10">
        <f>'A) Base RI'!E239</f>
        <v>0</v>
      </c>
      <c r="I239" s="10">
        <f>'A) Base RI'!F239</f>
        <v>0</v>
      </c>
      <c r="J239" s="10">
        <f>'A) Base RI'!G239+'A) Base RI'!H239</f>
        <v>620233.35</v>
      </c>
      <c r="K239" s="10">
        <f>'A) Base RI'!I239</f>
        <v>0</v>
      </c>
      <c r="L239" s="10">
        <f>'A) Base RI'!J239</f>
        <v>286961.02</v>
      </c>
      <c r="M239" s="10">
        <f>'A) Base RI'!K239</f>
        <v>3384</v>
      </c>
      <c r="N239" s="10">
        <f>'A) Base RI'!Q239</f>
        <v>81130.69</v>
      </c>
      <c r="O239" s="10">
        <f t="shared" si="19"/>
        <v>390652.05</v>
      </c>
      <c r="P239" s="10">
        <f>'A) Base RI'!L239</f>
        <v>390652.05</v>
      </c>
      <c r="Q239" s="37">
        <f>'A) Base RI'!AR239</f>
        <v>1</v>
      </c>
      <c r="R239" s="2">
        <f t="shared" si="20"/>
        <v>6254007.0199999996</v>
      </c>
      <c r="S239" s="36">
        <f>'A) Base RI'!AM239</f>
        <v>74</v>
      </c>
      <c r="T239" s="2">
        <f t="shared" si="21"/>
        <v>5859970.9699999997</v>
      </c>
      <c r="U239" s="2">
        <f t="shared" si="22"/>
        <v>84513.608378378369</v>
      </c>
      <c r="V239" s="10">
        <f>'A) Base RI'!O239</f>
        <v>57956.4</v>
      </c>
      <c r="W239" s="10">
        <f>'A) Base RI'!P239</f>
        <v>227876.5</v>
      </c>
      <c r="X239" s="10">
        <f>'A) Base RI'!R239</f>
        <v>104286.65</v>
      </c>
      <c r="Y239" s="2">
        <f t="shared" si="23"/>
        <v>390119.55000000005</v>
      </c>
      <c r="Z239" s="10">
        <f>'A) Base RI'!N239</f>
        <v>2204983.65</v>
      </c>
      <c r="AA239" s="10">
        <f>'A) Base RI'!S239+'A) Base RI'!T239</f>
        <v>10052.549999999999</v>
      </c>
      <c r="AB239" s="10">
        <f>+'A) Base RI'!U239</f>
        <v>18087.5</v>
      </c>
      <c r="AC239" s="10">
        <f>'A) Base RI'!V239</f>
        <v>45862.7</v>
      </c>
      <c r="AD239" s="10">
        <f>+'A) Base RI'!W239</f>
        <v>0</v>
      </c>
      <c r="AE239" s="10">
        <f>'A) Base RI'!Y239</f>
        <v>71616</v>
      </c>
      <c r="AF239" s="10">
        <f>'A) Base RI'!Z239</f>
        <v>16590</v>
      </c>
      <c r="AG239" s="10">
        <f>'A) Base RI'!AA239</f>
        <v>508241.83</v>
      </c>
      <c r="AH239" s="10">
        <f>'A) Base RI'!AB239</f>
        <v>0</v>
      </c>
      <c r="AI239" s="10">
        <f>'A) Base RI'!AC239</f>
        <v>515136.17</v>
      </c>
      <c r="AJ239" s="10">
        <f>'A) Base RI'!AD239</f>
        <v>57279.65</v>
      </c>
      <c r="AK239" s="10">
        <f>'A) Base RI'!AE239</f>
        <v>3529.8</v>
      </c>
      <c r="AL239" s="10">
        <f>'A) Base RI'!AF239</f>
        <v>0</v>
      </c>
      <c r="AM239" s="10">
        <f>'A) Base RI'!AG239</f>
        <v>6491.7</v>
      </c>
      <c r="AN239" s="10">
        <f>'A) Base RI'!AH239</f>
        <v>185595.65</v>
      </c>
      <c r="AO239" s="10">
        <f>'A) Base RI'!AI239</f>
        <v>0</v>
      </c>
      <c r="AP239" s="10">
        <f>'A) Base RI'!AJ239</f>
        <v>0</v>
      </c>
      <c r="AQ239" s="10">
        <f>'A) Base RI'!AK239</f>
        <v>0</v>
      </c>
      <c r="AR239" s="10">
        <f>'A) Base RI'!AN239</f>
        <v>3747</v>
      </c>
    </row>
    <row r="240" spans="1:44" x14ac:dyDescent="0.25">
      <c r="A240" s="8">
        <f>'A) Base RI'!A240</f>
        <v>5765</v>
      </c>
      <c r="B240" s="35" t="str">
        <f>'A) Base RI'!B240</f>
        <v>Vaulion</v>
      </c>
      <c r="C240" s="10">
        <f>'A) Base RI'!C240+'A) Base RI'!D240</f>
        <v>742978.84</v>
      </c>
      <c r="D240" s="10">
        <f>'A) Base RI'!AO240</f>
        <v>-18656.490000000002</v>
      </c>
      <c r="E240" s="34">
        <f>'A) Base RI'!AP240</f>
        <v>0</v>
      </c>
      <c r="F240" s="34">
        <f>'A) Base RI'!AQ240</f>
        <v>-12.05</v>
      </c>
      <c r="G240" s="2">
        <f t="shared" si="18"/>
        <v>724310.29999999993</v>
      </c>
      <c r="H240" s="10">
        <f>'A) Base RI'!E240</f>
        <v>0</v>
      </c>
      <c r="I240" s="10">
        <f>'A) Base RI'!F240</f>
        <v>0</v>
      </c>
      <c r="J240" s="10">
        <f>'A) Base RI'!G240+'A) Base RI'!H240</f>
        <v>13472.050000000001</v>
      </c>
      <c r="K240" s="10">
        <f>'A) Base RI'!I240</f>
        <v>0</v>
      </c>
      <c r="L240" s="10">
        <f>'A) Base RI'!J240</f>
        <v>19020.47</v>
      </c>
      <c r="M240" s="10">
        <f>'A) Base RI'!K240</f>
        <v>0</v>
      </c>
      <c r="N240" s="10">
        <f>'A) Base RI'!Q240</f>
        <v>11813.98</v>
      </c>
      <c r="O240" s="10">
        <f t="shared" si="19"/>
        <v>57504.4</v>
      </c>
      <c r="P240" s="10">
        <f>'A) Base RI'!L240</f>
        <v>28752.2</v>
      </c>
      <c r="Q240" s="37">
        <f>'A) Base RI'!AR240</f>
        <v>0.5</v>
      </c>
      <c r="R240" s="2">
        <f t="shared" si="20"/>
        <v>826121.2</v>
      </c>
      <c r="S240" s="36">
        <f>'A) Base RI'!AM240</f>
        <v>81</v>
      </c>
      <c r="T240" s="2">
        <f t="shared" si="21"/>
        <v>768616.79999999993</v>
      </c>
      <c r="U240" s="2">
        <f t="shared" si="22"/>
        <v>10199.027160493826</v>
      </c>
      <c r="V240" s="10">
        <f>'A) Base RI'!O240</f>
        <v>0</v>
      </c>
      <c r="W240" s="10">
        <f>'A) Base RI'!P240</f>
        <v>7370</v>
      </c>
      <c r="X240" s="10">
        <f>'A) Base RI'!R240</f>
        <v>4882.5</v>
      </c>
      <c r="Y240" s="2">
        <f t="shared" si="23"/>
        <v>12252.5</v>
      </c>
      <c r="Z240" s="10">
        <f>'A) Base RI'!N240</f>
        <v>44930.85</v>
      </c>
      <c r="AA240" s="10">
        <f>'A) Base RI'!S240+'A) Base RI'!T240</f>
        <v>1073.25</v>
      </c>
      <c r="AB240" s="10">
        <f>+'A) Base RI'!U240</f>
        <v>4200</v>
      </c>
      <c r="AC240" s="10">
        <f>'A) Base RI'!V240</f>
        <v>618</v>
      </c>
      <c r="AD240" s="10">
        <f>+'A) Base RI'!W240</f>
        <v>0</v>
      </c>
      <c r="AE240" s="10">
        <f>'A) Base RI'!Y240</f>
        <v>0</v>
      </c>
      <c r="AF240" s="10">
        <f>'A) Base RI'!Z240</f>
        <v>0</v>
      </c>
      <c r="AG240" s="10">
        <f>'A) Base RI'!AA240</f>
        <v>126439.1</v>
      </c>
      <c r="AH240" s="10">
        <f>'A) Base RI'!AB240</f>
        <v>0</v>
      </c>
      <c r="AI240" s="10">
        <f>'A) Base RI'!AC240</f>
        <v>63856.05</v>
      </c>
      <c r="AJ240" s="10">
        <f>'A) Base RI'!AD240</f>
        <v>0</v>
      </c>
      <c r="AK240" s="10">
        <f>'A) Base RI'!AE240</f>
        <v>0</v>
      </c>
      <c r="AL240" s="10">
        <f>'A) Base RI'!AF240</f>
        <v>0</v>
      </c>
      <c r="AM240" s="10">
        <f>'A) Base RI'!AG240</f>
        <v>0</v>
      </c>
      <c r="AN240" s="10">
        <f>'A) Base RI'!AH240</f>
        <v>0</v>
      </c>
      <c r="AO240" s="10">
        <f>'A) Base RI'!AI240</f>
        <v>0</v>
      </c>
      <c r="AP240" s="10">
        <f>'A) Base RI'!AJ240</f>
        <v>0</v>
      </c>
      <c r="AQ240" s="10">
        <f>'A) Base RI'!AK240</f>
        <v>0</v>
      </c>
      <c r="AR240" s="10">
        <f>'A) Base RI'!AN240</f>
        <v>494</v>
      </c>
    </row>
    <row r="241" spans="1:44" x14ac:dyDescent="0.25">
      <c r="A241" s="8">
        <f>'A) Base RI'!A241</f>
        <v>5766</v>
      </c>
      <c r="B241" s="35" t="str">
        <f>'A) Base RI'!B241</f>
        <v>Vuiteboeuf</v>
      </c>
      <c r="C241" s="10">
        <f>'A) Base RI'!C241+'A) Base RI'!D241</f>
        <v>874136.49</v>
      </c>
      <c r="D241" s="10">
        <f>'A) Base RI'!AO241</f>
        <v>-9069.74</v>
      </c>
      <c r="E241" s="34">
        <f>'A) Base RI'!AP241</f>
        <v>0</v>
      </c>
      <c r="F241" s="34">
        <f>'A) Base RI'!AQ241</f>
        <v>-62.31</v>
      </c>
      <c r="G241" s="2">
        <f t="shared" si="18"/>
        <v>865004.44</v>
      </c>
      <c r="H241" s="10">
        <f>'A) Base RI'!E241</f>
        <v>0</v>
      </c>
      <c r="I241" s="10">
        <f>'A) Base RI'!F241</f>
        <v>0</v>
      </c>
      <c r="J241" s="10">
        <f>'A) Base RI'!G241+'A) Base RI'!H241</f>
        <v>28716.7</v>
      </c>
      <c r="K241" s="10">
        <f>'A) Base RI'!I241</f>
        <v>0</v>
      </c>
      <c r="L241" s="10">
        <f>'A) Base RI'!J241</f>
        <v>33944.629999999997</v>
      </c>
      <c r="M241" s="10">
        <f>'A) Base RI'!K241</f>
        <v>3614.5</v>
      </c>
      <c r="N241" s="10">
        <f>'A) Base RI'!Q241</f>
        <v>1657.98</v>
      </c>
      <c r="O241" s="10">
        <f t="shared" si="19"/>
        <v>69906.71428571429</v>
      </c>
      <c r="P241" s="10">
        <f>'A) Base RI'!L241</f>
        <v>48934.7</v>
      </c>
      <c r="Q241" s="37">
        <f>'A) Base RI'!AR241</f>
        <v>0.7</v>
      </c>
      <c r="R241" s="2">
        <f t="shared" si="20"/>
        <v>1002844.9642857142</v>
      </c>
      <c r="S241" s="36">
        <f>'A) Base RI'!AM241</f>
        <v>77</v>
      </c>
      <c r="T241" s="2">
        <f t="shared" si="21"/>
        <v>929323.74999999988</v>
      </c>
      <c r="U241" s="2">
        <f t="shared" si="22"/>
        <v>13023.960575139146</v>
      </c>
      <c r="V241" s="10">
        <f>'A) Base RI'!O241</f>
        <v>0</v>
      </c>
      <c r="W241" s="10">
        <f>'A) Base RI'!P241</f>
        <v>22954.799999999999</v>
      </c>
      <c r="X241" s="10">
        <f>'A) Base RI'!R241</f>
        <v>20706.45</v>
      </c>
      <c r="Y241" s="2">
        <f t="shared" si="23"/>
        <v>43661.25</v>
      </c>
      <c r="Z241" s="10">
        <f>'A) Base RI'!N241</f>
        <v>21712.6</v>
      </c>
      <c r="AA241" s="10">
        <f>'A) Base RI'!S241+'A) Base RI'!T241</f>
        <v>0</v>
      </c>
      <c r="AB241" s="10">
        <f>+'A) Base RI'!U241</f>
        <v>1880</v>
      </c>
      <c r="AC241" s="10">
        <f>'A) Base RI'!V241</f>
        <v>0</v>
      </c>
      <c r="AD241" s="10">
        <f>+'A) Base RI'!W241</f>
        <v>0</v>
      </c>
      <c r="AE241" s="10">
        <f>'A) Base RI'!Y241</f>
        <v>859.9</v>
      </c>
      <c r="AF241" s="10">
        <f>'A) Base RI'!Z241</f>
        <v>0</v>
      </c>
      <c r="AG241" s="10">
        <f>'A) Base RI'!AA241</f>
        <v>40290.050000000003</v>
      </c>
      <c r="AH241" s="10">
        <f>'A) Base RI'!AB241</f>
        <v>0</v>
      </c>
      <c r="AI241" s="10">
        <f>'A) Base RI'!AC241</f>
        <v>22203.35</v>
      </c>
      <c r="AJ241" s="10">
        <f>'A) Base RI'!AD241</f>
        <v>13942.2</v>
      </c>
      <c r="AK241" s="10">
        <f>'A) Base RI'!AE241</f>
        <v>0</v>
      </c>
      <c r="AL241" s="10">
        <f>'A) Base RI'!AF241</f>
        <v>0</v>
      </c>
      <c r="AM241" s="10">
        <f>'A) Base RI'!AG241</f>
        <v>0</v>
      </c>
      <c r="AN241" s="10">
        <f>'A) Base RI'!AH241</f>
        <v>0</v>
      </c>
      <c r="AO241" s="10">
        <f>'A) Base RI'!AI241</f>
        <v>0</v>
      </c>
      <c r="AP241" s="10">
        <f>'A) Base RI'!AJ241</f>
        <v>0</v>
      </c>
      <c r="AQ241" s="10">
        <f>'A) Base RI'!AK241</f>
        <v>0</v>
      </c>
      <c r="AR241" s="10">
        <f>'A) Base RI'!AN241</f>
        <v>556</v>
      </c>
    </row>
    <row r="242" spans="1:44" x14ac:dyDescent="0.25">
      <c r="A242" s="8">
        <f>'A) Base RI'!A242</f>
        <v>5782</v>
      </c>
      <c r="B242" s="35" t="str">
        <f>'A) Base RI'!B242</f>
        <v>Carrouge</v>
      </c>
      <c r="C242" s="10">
        <f>'A) Base RI'!C242+'A) Base RI'!D242</f>
        <v>2102345.96</v>
      </c>
      <c r="D242" s="10">
        <f>'A) Base RI'!AO242</f>
        <v>-18311.98</v>
      </c>
      <c r="E242" s="34">
        <f>'A) Base RI'!AP242</f>
        <v>0</v>
      </c>
      <c r="F242" s="34">
        <f>'A) Base RI'!AQ242</f>
        <v>0</v>
      </c>
      <c r="G242" s="2">
        <f t="shared" si="18"/>
        <v>2084033.98</v>
      </c>
      <c r="H242" s="10">
        <f>'A) Base RI'!E242</f>
        <v>0</v>
      </c>
      <c r="I242" s="10">
        <f>'A) Base RI'!F242</f>
        <v>0</v>
      </c>
      <c r="J242" s="10">
        <f>'A) Base RI'!G242+'A) Base RI'!H242</f>
        <v>145236.4</v>
      </c>
      <c r="K242" s="10">
        <f>'A) Base RI'!I242</f>
        <v>0</v>
      </c>
      <c r="L242" s="10">
        <f>'A) Base RI'!J242</f>
        <v>43130.09</v>
      </c>
      <c r="M242" s="10">
        <f>'A) Base RI'!K242</f>
        <v>6209</v>
      </c>
      <c r="N242" s="10">
        <f>'A) Base RI'!Q242</f>
        <v>734.25</v>
      </c>
      <c r="O242" s="10">
        <f t="shared" si="19"/>
        <v>197164.79999999999</v>
      </c>
      <c r="P242" s="10">
        <f>'A) Base RI'!L242</f>
        <v>197164.79999999999</v>
      </c>
      <c r="Q242" s="37">
        <f>'A) Base RI'!AR242</f>
        <v>1</v>
      </c>
      <c r="R242" s="2">
        <f t="shared" si="20"/>
        <v>2476508.5199999996</v>
      </c>
      <c r="S242" s="36">
        <f>'A) Base RI'!AM242</f>
        <v>76</v>
      </c>
      <c r="T242" s="2">
        <f t="shared" si="21"/>
        <v>2273134.7199999997</v>
      </c>
      <c r="U242" s="2">
        <f t="shared" si="22"/>
        <v>32585.638421052627</v>
      </c>
      <c r="V242" s="10">
        <f>'A) Base RI'!O242</f>
        <v>195.8</v>
      </c>
      <c r="W242" s="10">
        <f>'A) Base RI'!P242</f>
        <v>266683.40000000002</v>
      </c>
      <c r="X242" s="10">
        <f>'A) Base RI'!R242</f>
        <v>75822.45</v>
      </c>
      <c r="Y242" s="2">
        <f t="shared" si="23"/>
        <v>342701.65</v>
      </c>
      <c r="Z242" s="10">
        <f>'A) Base RI'!N242</f>
        <v>9298.7000000000007</v>
      </c>
      <c r="AA242" s="10">
        <f>'A) Base RI'!S242+'A) Base RI'!T242</f>
        <v>325</v>
      </c>
      <c r="AB242" s="10">
        <f>+'A) Base RI'!U242</f>
        <v>4890</v>
      </c>
      <c r="AC242" s="10">
        <f>'A) Base RI'!V242</f>
        <v>0</v>
      </c>
      <c r="AD242" s="10">
        <f>+'A) Base RI'!W242</f>
        <v>0</v>
      </c>
      <c r="AE242" s="10">
        <f>'A) Base RI'!Y242</f>
        <v>35700</v>
      </c>
      <c r="AF242" s="10">
        <f>'A) Base RI'!Z242</f>
        <v>0</v>
      </c>
      <c r="AG242" s="10">
        <f>'A) Base RI'!AA242</f>
        <v>199969.25</v>
      </c>
      <c r="AH242" s="10">
        <f>'A) Base RI'!AB242</f>
        <v>0</v>
      </c>
      <c r="AI242" s="10">
        <f>'A) Base RI'!AC242</f>
        <v>64484.4</v>
      </c>
      <c r="AJ242" s="10">
        <f>'A) Base RI'!AD242</f>
        <v>19750</v>
      </c>
      <c r="AK242" s="10">
        <f>'A) Base RI'!AE242</f>
        <v>0</v>
      </c>
      <c r="AL242" s="10">
        <f>'A) Base RI'!AF242</f>
        <v>0</v>
      </c>
      <c r="AM242" s="10">
        <f>'A) Base RI'!AG242</f>
        <v>1250</v>
      </c>
      <c r="AN242" s="10">
        <f>'A) Base RI'!AH242</f>
        <v>0</v>
      </c>
      <c r="AO242" s="10">
        <f>'A) Base RI'!AI242</f>
        <v>0</v>
      </c>
      <c r="AP242" s="10">
        <f>'A) Base RI'!AJ242</f>
        <v>0</v>
      </c>
      <c r="AQ242" s="10">
        <f>'A) Base RI'!AK242</f>
        <v>0</v>
      </c>
      <c r="AR242" s="10">
        <f>'A) Base RI'!AN242</f>
        <v>1247</v>
      </c>
    </row>
    <row r="243" spans="1:44" x14ac:dyDescent="0.25">
      <c r="A243" s="8">
        <f>'A) Base RI'!A243</f>
        <v>5785</v>
      </c>
      <c r="B243" s="35" t="str">
        <f>'A) Base RI'!B243</f>
        <v>Corcelles-le-Jorat</v>
      </c>
      <c r="C243" s="10">
        <f>'A) Base RI'!C243+'A) Base RI'!D243</f>
        <v>876756.92999999993</v>
      </c>
      <c r="D243" s="10">
        <f>'A) Base RI'!AO243</f>
        <v>-7687.99</v>
      </c>
      <c r="E243" s="34">
        <f>'A) Base RI'!AP243</f>
        <v>0</v>
      </c>
      <c r="F243" s="34">
        <f>'A) Base RI'!AQ243</f>
        <v>-204.66</v>
      </c>
      <c r="G243" s="2">
        <f t="shared" si="18"/>
        <v>868864.27999999991</v>
      </c>
      <c r="H243" s="10">
        <f>'A) Base RI'!E243</f>
        <v>0</v>
      </c>
      <c r="I243" s="10">
        <f>'A) Base RI'!F243</f>
        <v>0</v>
      </c>
      <c r="J243" s="10">
        <f>'A) Base RI'!G243+'A) Base RI'!H243</f>
        <v>-4580.49999999998</v>
      </c>
      <c r="K243" s="10">
        <f>'A) Base RI'!I243</f>
        <v>0</v>
      </c>
      <c r="L243" s="10">
        <f>'A) Base RI'!J243</f>
        <v>13055.7</v>
      </c>
      <c r="M243" s="10">
        <f>'A) Base RI'!K243</f>
        <v>1403.5</v>
      </c>
      <c r="N243" s="10">
        <f>'A) Base RI'!Q243</f>
        <v>413.5</v>
      </c>
      <c r="O243" s="10">
        <f t="shared" si="19"/>
        <v>66036.100000000006</v>
      </c>
      <c r="P243" s="10">
        <f>'A) Base RI'!L243</f>
        <v>66036.100000000006</v>
      </c>
      <c r="Q243" s="37">
        <f>'A) Base RI'!AR243</f>
        <v>1</v>
      </c>
      <c r="R243" s="2">
        <f t="shared" si="20"/>
        <v>945192.57999999984</v>
      </c>
      <c r="S243" s="36">
        <f>'A) Base RI'!AM243</f>
        <v>77</v>
      </c>
      <c r="T243" s="2">
        <f t="shared" si="21"/>
        <v>877752.97999999986</v>
      </c>
      <c r="U243" s="2">
        <f t="shared" si="22"/>
        <v>12275.22831168831</v>
      </c>
      <c r="V243" s="10">
        <f>'A) Base RI'!O243</f>
        <v>5612.5</v>
      </c>
      <c r="W243" s="10">
        <f>'A) Base RI'!P243</f>
        <v>18446.55</v>
      </c>
      <c r="X243" s="10">
        <f>'A) Base RI'!R243</f>
        <v>15446.45</v>
      </c>
      <c r="Y243" s="2">
        <f t="shared" si="23"/>
        <v>39505.5</v>
      </c>
      <c r="Z243" s="10">
        <f>'A) Base RI'!N243</f>
        <v>0</v>
      </c>
      <c r="AA243" s="10">
        <f>'A) Base RI'!S243+'A) Base RI'!T243</f>
        <v>40</v>
      </c>
      <c r="AB243" s="10">
        <f>+'A) Base RI'!U243</f>
        <v>2680</v>
      </c>
      <c r="AC243" s="10">
        <f>'A) Base RI'!V243</f>
        <v>0</v>
      </c>
      <c r="AD243" s="10">
        <f>+'A) Base RI'!W243</f>
        <v>0</v>
      </c>
      <c r="AE243" s="10">
        <f>'A) Base RI'!Y243</f>
        <v>52000</v>
      </c>
      <c r="AF243" s="10">
        <f>'A) Base RI'!Z243</f>
        <v>0</v>
      </c>
      <c r="AG243" s="10">
        <f>'A) Base RI'!AA243</f>
        <v>65574.8</v>
      </c>
      <c r="AH243" s="10">
        <f>'A) Base RI'!AB243</f>
        <v>0</v>
      </c>
      <c r="AI243" s="10">
        <f>'A) Base RI'!AC243</f>
        <v>38034.199999999997</v>
      </c>
      <c r="AJ243" s="10">
        <f>'A) Base RI'!AD243</f>
        <v>300</v>
      </c>
      <c r="AK243" s="10">
        <f>'A) Base RI'!AE243</f>
        <v>0</v>
      </c>
      <c r="AL243" s="10">
        <f>'A) Base RI'!AF243</f>
        <v>0</v>
      </c>
      <c r="AM243" s="10">
        <f>'A) Base RI'!AG243</f>
        <v>0</v>
      </c>
      <c r="AN243" s="10">
        <f>'A) Base RI'!AH243</f>
        <v>0</v>
      </c>
      <c r="AO243" s="10">
        <f>'A) Base RI'!AI243</f>
        <v>0</v>
      </c>
      <c r="AP243" s="10">
        <f>'A) Base RI'!AJ243</f>
        <v>0</v>
      </c>
      <c r="AQ243" s="10">
        <f>'A) Base RI'!AK243</f>
        <v>0</v>
      </c>
      <c r="AR243" s="10">
        <f>'A) Base RI'!AN243</f>
        <v>425</v>
      </c>
    </row>
    <row r="244" spans="1:44" x14ac:dyDescent="0.25">
      <c r="A244" s="8">
        <f>'A) Base RI'!A244</f>
        <v>5788</v>
      </c>
      <c r="B244" s="35" t="str">
        <f>'A) Base RI'!B244</f>
        <v>Essertes</v>
      </c>
      <c r="C244" s="10">
        <f>'A) Base RI'!C244+'A) Base RI'!D244</f>
        <v>624957.57999999996</v>
      </c>
      <c r="D244" s="10">
        <f>'A) Base RI'!AO244</f>
        <v>-5266.42</v>
      </c>
      <c r="E244" s="34">
        <f>'A) Base RI'!AP244</f>
        <v>0</v>
      </c>
      <c r="F244" s="34">
        <f>'A) Base RI'!AQ244</f>
        <v>0</v>
      </c>
      <c r="G244" s="2">
        <f t="shared" si="18"/>
        <v>619691.15999999992</v>
      </c>
      <c r="H244" s="10">
        <f>'A) Base RI'!E244</f>
        <v>0</v>
      </c>
      <c r="I244" s="10">
        <f>'A) Base RI'!F244</f>
        <v>0</v>
      </c>
      <c r="J244" s="10">
        <f>'A) Base RI'!G244+'A) Base RI'!H244</f>
        <v>5569.25</v>
      </c>
      <c r="K244" s="10">
        <f>'A) Base RI'!I244</f>
        <v>0</v>
      </c>
      <c r="L244" s="10">
        <f>'A) Base RI'!J244</f>
        <v>15559.01</v>
      </c>
      <c r="M244" s="10">
        <f>'A) Base RI'!K244</f>
        <v>585</v>
      </c>
      <c r="N244" s="10">
        <f>'A) Base RI'!Q244</f>
        <v>0</v>
      </c>
      <c r="O244" s="10">
        <f t="shared" si="19"/>
        <v>54347.08</v>
      </c>
      <c r="P244" s="10">
        <f>'A) Base RI'!L244</f>
        <v>67933.850000000006</v>
      </c>
      <c r="Q244" s="37">
        <f>'A) Base RI'!AR244</f>
        <v>1.25</v>
      </c>
      <c r="R244" s="2">
        <f t="shared" si="20"/>
        <v>695751.49999999988</v>
      </c>
      <c r="S244" s="36">
        <f>'A) Base RI'!AM244</f>
        <v>72</v>
      </c>
      <c r="T244" s="2">
        <f t="shared" si="21"/>
        <v>640819.41999999993</v>
      </c>
      <c r="U244" s="2">
        <f t="shared" si="22"/>
        <v>9663.2152777777756</v>
      </c>
      <c r="V244" s="10">
        <f>'A) Base RI'!O244</f>
        <v>0</v>
      </c>
      <c r="W244" s="10">
        <f>'A) Base RI'!P244</f>
        <v>17991.650000000001</v>
      </c>
      <c r="X244" s="10">
        <f>'A) Base RI'!R244</f>
        <v>9437.65</v>
      </c>
      <c r="Y244" s="2">
        <f t="shared" si="23"/>
        <v>27429.300000000003</v>
      </c>
      <c r="Z244" s="10">
        <f>'A) Base RI'!N244</f>
        <v>0</v>
      </c>
      <c r="AA244" s="10">
        <f>'A) Base RI'!S244+'A) Base RI'!T244</f>
        <v>0</v>
      </c>
      <c r="AB244" s="10">
        <f>+'A) Base RI'!U244</f>
        <v>1710</v>
      </c>
      <c r="AC244" s="10">
        <f>'A) Base RI'!V244</f>
        <v>0</v>
      </c>
      <c r="AD244" s="10">
        <f>+'A) Base RI'!W244</f>
        <v>0</v>
      </c>
      <c r="AE244" s="10">
        <f>'A) Base RI'!Y244</f>
        <v>48805</v>
      </c>
      <c r="AF244" s="10">
        <f>'A) Base RI'!Z244</f>
        <v>0</v>
      </c>
      <c r="AG244" s="10">
        <f>'A) Base RI'!AA244</f>
        <v>43381.4</v>
      </c>
      <c r="AH244" s="10">
        <f>'A) Base RI'!AB244</f>
        <v>0</v>
      </c>
      <c r="AI244" s="10">
        <f>'A) Base RI'!AC244</f>
        <v>20311.5</v>
      </c>
      <c r="AJ244" s="10">
        <f>'A) Base RI'!AD244</f>
        <v>0</v>
      </c>
      <c r="AK244" s="10">
        <f>'A) Base RI'!AE244</f>
        <v>0</v>
      </c>
      <c r="AL244" s="10">
        <f>'A) Base RI'!AF244</f>
        <v>0</v>
      </c>
      <c r="AM244" s="10">
        <f>'A) Base RI'!AG244</f>
        <v>0</v>
      </c>
      <c r="AN244" s="10">
        <f>'A) Base RI'!AH244</f>
        <v>0</v>
      </c>
      <c r="AO244" s="10">
        <f>'A) Base RI'!AI244</f>
        <v>0</v>
      </c>
      <c r="AP244" s="10">
        <f>'A) Base RI'!AJ244</f>
        <v>0</v>
      </c>
      <c r="AQ244" s="10">
        <f>'A) Base RI'!AK244</f>
        <v>0</v>
      </c>
      <c r="AR244" s="10">
        <f>'A) Base RI'!AN244</f>
        <v>335</v>
      </c>
    </row>
    <row r="245" spans="1:44" x14ac:dyDescent="0.25">
      <c r="A245" s="8">
        <f>'A) Base RI'!A245</f>
        <v>5789</v>
      </c>
      <c r="B245" s="35" t="str">
        <f>'A) Base RI'!B245</f>
        <v>Ferlens</v>
      </c>
      <c r="C245" s="10">
        <f>'A) Base RI'!C245+'A) Base RI'!D245</f>
        <v>650883.7300000001</v>
      </c>
      <c r="D245" s="10">
        <f>'A) Base RI'!AO245</f>
        <v>-1680.58</v>
      </c>
      <c r="E245" s="34">
        <f>'A) Base RI'!AP245</f>
        <v>0</v>
      </c>
      <c r="F245" s="34">
        <f>'A) Base RI'!AQ245</f>
        <v>-0.18</v>
      </c>
      <c r="G245" s="2">
        <f t="shared" si="18"/>
        <v>649202.97000000009</v>
      </c>
      <c r="H245" s="10">
        <f>'A) Base RI'!E245</f>
        <v>0</v>
      </c>
      <c r="I245" s="10">
        <f>'A) Base RI'!F245</f>
        <v>0</v>
      </c>
      <c r="J245" s="10">
        <f>'A) Base RI'!G245+'A) Base RI'!H245</f>
        <v>1161.1500000000001</v>
      </c>
      <c r="K245" s="10">
        <f>'A) Base RI'!I245</f>
        <v>0</v>
      </c>
      <c r="L245" s="10">
        <f>'A) Base RI'!J245</f>
        <v>-1561.45</v>
      </c>
      <c r="M245" s="10">
        <f>'A) Base RI'!K245</f>
        <v>37.5</v>
      </c>
      <c r="N245" s="10">
        <f>'A) Base RI'!Q245</f>
        <v>4294.2700000000004</v>
      </c>
      <c r="O245" s="10">
        <f t="shared" si="19"/>
        <v>49093.85</v>
      </c>
      <c r="P245" s="10">
        <f>'A) Base RI'!L245</f>
        <v>49093.85</v>
      </c>
      <c r="Q245" s="37">
        <f>'A) Base RI'!AR245</f>
        <v>1</v>
      </c>
      <c r="R245" s="2">
        <f t="shared" si="20"/>
        <v>702228.29000000015</v>
      </c>
      <c r="S245" s="36">
        <f>'A) Base RI'!AM245</f>
        <v>76</v>
      </c>
      <c r="T245" s="2">
        <f t="shared" si="21"/>
        <v>653096.94000000018</v>
      </c>
      <c r="U245" s="2">
        <f t="shared" si="22"/>
        <v>9239.8459210526344</v>
      </c>
      <c r="V245" s="10">
        <f>'A) Base RI'!O245</f>
        <v>0</v>
      </c>
      <c r="W245" s="10">
        <f>'A) Base RI'!P245</f>
        <v>11825</v>
      </c>
      <c r="X245" s="10">
        <f>'A) Base RI'!R245</f>
        <v>28677.3</v>
      </c>
      <c r="Y245" s="2">
        <f t="shared" si="23"/>
        <v>40502.300000000003</v>
      </c>
      <c r="Z245" s="10">
        <f>'A) Base RI'!N245</f>
        <v>0</v>
      </c>
      <c r="AA245" s="10">
        <f>'A) Base RI'!S245+'A) Base RI'!T245</f>
        <v>0</v>
      </c>
      <c r="AB245" s="10">
        <f>+'A) Base RI'!U245</f>
        <v>2065</v>
      </c>
      <c r="AC245" s="10">
        <f>'A) Base RI'!V245</f>
        <v>0</v>
      </c>
      <c r="AD245" s="10">
        <f>+'A) Base RI'!W245</f>
        <v>0</v>
      </c>
      <c r="AE245" s="10">
        <f>'A) Base RI'!Y245</f>
        <v>3769.95</v>
      </c>
      <c r="AF245" s="10">
        <f>'A) Base RI'!Z245</f>
        <v>0</v>
      </c>
      <c r="AG245" s="10">
        <f>'A) Base RI'!AA245</f>
        <v>38699.550000000003</v>
      </c>
      <c r="AH245" s="10">
        <f>'A) Base RI'!AB245</f>
        <v>0</v>
      </c>
      <c r="AI245" s="10">
        <f>'A) Base RI'!AC245</f>
        <v>19738.75</v>
      </c>
      <c r="AJ245" s="10">
        <f>'A) Base RI'!AD245</f>
        <v>0</v>
      </c>
      <c r="AK245" s="10">
        <f>'A) Base RI'!AE245</f>
        <v>0</v>
      </c>
      <c r="AL245" s="10">
        <f>'A) Base RI'!AF245</f>
        <v>0</v>
      </c>
      <c r="AM245" s="10">
        <f>'A) Base RI'!AG245</f>
        <v>0</v>
      </c>
      <c r="AN245" s="10">
        <f>'A) Base RI'!AH245</f>
        <v>0</v>
      </c>
      <c r="AO245" s="10">
        <f>'A) Base RI'!AI245</f>
        <v>0</v>
      </c>
      <c r="AP245" s="10">
        <f>'A) Base RI'!AJ245</f>
        <v>0</v>
      </c>
      <c r="AQ245" s="10">
        <f>'A) Base RI'!AK245</f>
        <v>0</v>
      </c>
      <c r="AR245" s="10">
        <f>'A) Base RI'!AN245</f>
        <v>350</v>
      </c>
    </row>
    <row r="246" spans="1:44" x14ac:dyDescent="0.25">
      <c r="A246" s="8">
        <f>'A) Base RI'!A246</f>
        <v>5790</v>
      </c>
      <c r="B246" s="35" t="str">
        <f>'A) Base RI'!B246</f>
        <v>Maracon</v>
      </c>
      <c r="C246" s="10">
        <f>'A) Base RI'!C246+'A) Base RI'!D246</f>
        <v>834723.19</v>
      </c>
      <c r="D246" s="10">
        <f>'A) Base RI'!AO246</f>
        <v>-366.17</v>
      </c>
      <c r="E246" s="34">
        <f>'A) Base RI'!AP246</f>
        <v>0</v>
      </c>
      <c r="F246" s="34">
        <f>'A) Base RI'!AQ246</f>
        <v>-312.48</v>
      </c>
      <c r="G246" s="2">
        <f t="shared" si="18"/>
        <v>834044.53999999992</v>
      </c>
      <c r="H246" s="10">
        <f>'A) Base RI'!E246</f>
        <v>0</v>
      </c>
      <c r="I246" s="10">
        <f>'A) Base RI'!F246</f>
        <v>0</v>
      </c>
      <c r="J246" s="10">
        <f>'A) Base RI'!G246+'A) Base RI'!H246</f>
        <v>3760.9</v>
      </c>
      <c r="K246" s="10">
        <f>'A) Base RI'!I246</f>
        <v>0</v>
      </c>
      <c r="L246" s="10">
        <f>'A) Base RI'!J246</f>
        <v>4682.62</v>
      </c>
      <c r="M246" s="10">
        <f>'A) Base RI'!K246</f>
        <v>2169.5</v>
      </c>
      <c r="N246" s="10">
        <f>'A) Base RI'!Q246</f>
        <v>1853.44</v>
      </c>
      <c r="O246" s="10">
        <f t="shared" si="19"/>
        <v>71397.8</v>
      </c>
      <c r="P246" s="10">
        <f>'A) Base RI'!L246</f>
        <v>71397.8</v>
      </c>
      <c r="Q246" s="37">
        <f>'A) Base RI'!AR246</f>
        <v>1</v>
      </c>
      <c r="R246" s="2">
        <f t="shared" si="20"/>
        <v>917908.79999999993</v>
      </c>
      <c r="S246" s="36">
        <f>'A) Base RI'!AM246</f>
        <v>76</v>
      </c>
      <c r="T246" s="2">
        <f t="shared" si="21"/>
        <v>844341.49999999988</v>
      </c>
      <c r="U246" s="2">
        <f t="shared" si="22"/>
        <v>12077.747368421051</v>
      </c>
      <c r="V246" s="10">
        <f>'A) Base RI'!O246</f>
        <v>0</v>
      </c>
      <c r="W246" s="10">
        <f>'A) Base RI'!P246</f>
        <v>35235.25</v>
      </c>
      <c r="X246" s="10">
        <f>'A) Base RI'!R246</f>
        <v>25058.75</v>
      </c>
      <c r="Y246" s="2">
        <f t="shared" si="23"/>
        <v>60294</v>
      </c>
      <c r="Z246" s="10">
        <f>'A) Base RI'!N246</f>
        <v>0</v>
      </c>
      <c r="AA246" s="10">
        <f>'A) Base RI'!S246+'A) Base RI'!T246</f>
        <v>0</v>
      </c>
      <c r="AB246" s="10">
        <f>+'A) Base RI'!U246</f>
        <v>4900</v>
      </c>
      <c r="AC246" s="10">
        <f>'A) Base RI'!V246</f>
        <v>0</v>
      </c>
      <c r="AD246" s="10">
        <f>+'A) Base RI'!W246</f>
        <v>0</v>
      </c>
      <c r="AE246" s="10">
        <f>'A) Base RI'!Y246</f>
        <v>50992</v>
      </c>
      <c r="AF246" s="10">
        <f>'A) Base RI'!Z246</f>
        <v>0</v>
      </c>
      <c r="AG246" s="10">
        <f>'A) Base RI'!AA246</f>
        <v>57102.5</v>
      </c>
      <c r="AH246" s="10">
        <f>'A) Base RI'!AB246</f>
        <v>0</v>
      </c>
      <c r="AI246" s="10">
        <f>'A) Base RI'!AC246</f>
        <v>23831.8</v>
      </c>
      <c r="AJ246" s="10">
        <f>'A) Base RI'!AD246</f>
        <v>3000</v>
      </c>
      <c r="AK246" s="10">
        <f>'A) Base RI'!AE246</f>
        <v>0</v>
      </c>
      <c r="AL246" s="10">
        <f>'A) Base RI'!AF246</f>
        <v>0</v>
      </c>
      <c r="AM246" s="10">
        <f>'A) Base RI'!AG246</f>
        <v>0</v>
      </c>
      <c r="AN246" s="10">
        <f>'A) Base RI'!AH246</f>
        <v>0</v>
      </c>
      <c r="AO246" s="10">
        <f>'A) Base RI'!AI246</f>
        <v>0</v>
      </c>
      <c r="AP246" s="10">
        <f>'A) Base RI'!AJ246</f>
        <v>0</v>
      </c>
      <c r="AQ246" s="10">
        <f>'A) Base RI'!AK246</f>
        <v>0</v>
      </c>
      <c r="AR246" s="10">
        <f>'A) Base RI'!AN246</f>
        <v>449</v>
      </c>
    </row>
    <row r="247" spans="1:44" x14ac:dyDescent="0.25">
      <c r="A247" s="8">
        <f>'A) Base RI'!A247</f>
        <v>5791</v>
      </c>
      <c r="B247" s="35" t="str">
        <f>'A) Base RI'!B247</f>
        <v>Mézières</v>
      </c>
      <c r="C247" s="10">
        <f>'A) Base RI'!C247+'A) Base RI'!D247</f>
        <v>3196372.57</v>
      </c>
      <c r="D247" s="10">
        <f>'A) Base RI'!AO247</f>
        <v>-23265.25</v>
      </c>
      <c r="E247" s="34">
        <f>'A) Base RI'!AP247</f>
        <v>0</v>
      </c>
      <c r="F247" s="34">
        <f>'A) Base RI'!AQ247</f>
        <v>-148.19999999999999</v>
      </c>
      <c r="G247" s="2">
        <f t="shared" si="18"/>
        <v>3172959.1199999996</v>
      </c>
      <c r="H247" s="10">
        <f>'A) Base RI'!E247</f>
        <v>0</v>
      </c>
      <c r="I247" s="10">
        <f>'A) Base RI'!F247</f>
        <v>0</v>
      </c>
      <c r="J247" s="10">
        <f>'A) Base RI'!G247+'A) Base RI'!H247</f>
        <v>123639.29999999999</v>
      </c>
      <c r="K247" s="10">
        <f>'A) Base RI'!I247</f>
        <v>54947.5</v>
      </c>
      <c r="L247" s="10">
        <f>'A) Base RI'!J247</f>
        <v>65183.29</v>
      </c>
      <c r="M247" s="10">
        <f>'A) Base RI'!K247</f>
        <v>7488.5</v>
      </c>
      <c r="N247" s="10">
        <f>'A) Base RI'!Q247</f>
        <v>2937.55</v>
      </c>
      <c r="O247" s="10">
        <f t="shared" si="19"/>
        <v>205733.9</v>
      </c>
      <c r="P247" s="10">
        <f>'A) Base RI'!L247</f>
        <v>308600.84999999998</v>
      </c>
      <c r="Q247" s="37">
        <f>'A) Base RI'!AR247</f>
        <v>1.5</v>
      </c>
      <c r="R247" s="2">
        <f t="shared" si="20"/>
        <v>3632889.1599999992</v>
      </c>
      <c r="S247" s="36">
        <f>'A) Base RI'!AM247</f>
        <v>76</v>
      </c>
      <c r="T247" s="2">
        <f t="shared" si="21"/>
        <v>3419666.7599999993</v>
      </c>
      <c r="U247" s="2">
        <f t="shared" si="22"/>
        <v>47801.173157894729</v>
      </c>
      <c r="V247" s="10">
        <f>'A) Base RI'!O247</f>
        <v>58072.4</v>
      </c>
      <c r="W247" s="10">
        <f>'A) Base RI'!P247</f>
        <v>91623.1</v>
      </c>
      <c r="X247" s="10">
        <f>'A) Base RI'!R247</f>
        <v>98334.05</v>
      </c>
      <c r="Y247" s="2">
        <f t="shared" si="23"/>
        <v>248029.55</v>
      </c>
      <c r="Z247" s="10">
        <f>'A) Base RI'!N247</f>
        <v>122.8</v>
      </c>
      <c r="AA247" s="10">
        <f>'A) Base RI'!S247+'A) Base RI'!T247</f>
        <v>9274.7000000000007</v>
      </c>
      <c r="AB247" s="10">
        <f>+'A) Base RI'!U247</f>
        <v>3525</v>
      </c>
      <c r="AC247" s="10">
        <f>'A) Base RI'!V247</f>
        <v>21611.9</v>
      </c>
      <c r="AD247" s="10">
        <f>+'A) Base RI'!W247</f>
        <v>0</v>
      </c>
      <c r="AE247" s="10">
        <f>'A) Base RI'!Y247</f>
        <v>0</v>
      </c>
      <c r="AF247" s="10">
        <f>'A) Base RI'!Z247</f>
        <v>0</v>
      </c>
      <c r="AG247" s="10">
        <f>'A) Base RI'!AA247</f>
        <v>130121.35</v>
      </c>
      <c r="AH247" s="10">
        <f>'A) Base RI'!AB247</f>
        <v>0</v>
      </c>
      <c r="AI247" s="10">
        <f>'A) Base RI'!AC247</f>
        <v>118614.99</v>
      </c>
      <c r="AJ247" s="10">
        <f>'A) Base RI'!AD247</f>
        <v>0</v>
      </c>
      <c r="AK247" s="10">
        <f>'A) Base RI'!AE247</f>
        <v>0</v>
      </c>
      <c r="AL247" s="10">
        <f>'A) Base RI'!AF247</f>
        <v>0</v>
      </c>
      <c r="AM247" s="10">
        <f>'A) Base RI'!AG247</f>
        <v>0</v>
      </c>
      <c r="AN247" s="10">
        <f>'A) Base RI'!AH247</f>
        <v>0</v>
      </c>
      <c r="AO247" s="10">
        <f>'A) Base RI'!AI247</f>
        <v>0</v>
      </c>
      <c r="AP247" s="10">
        <f>'A) Base RI'!AJ247</f>
        <v>0</v>
      </c>
      <c r="AQ247" s="10">
        <f>'A) Base RI'!AK247</f>
        <v>0</v>
      </c>
      <c r="AR247" s="10">
        <f>'A) Base RI'!AN247</f>
        <v>1217</v>
      </c>
    </row>
    <row r="248" spans="1:44" x14ac:dyDescent="0.25">
      <c r="A248" s="8">
        <f>'A) Base RI'!A248</f>
        <v>5792</v>
      </c>
      <c r="B248" s="35" t="str">
        <f>'A) Base RI'!B248</f>
        <v>Montpreveyres</v>
      </c>
      <c r="C248" s="10">
        <f>'A) Base RI'!C248+'A) Base RI'!D248</f>
        <v>1075167.72</v>
      </c>
      <c r="D248" s="10">
        <f>'A) Base RI'!AO248</f>
        <v>-17364.48</v>
      </c>
      <c r="E248" s="34">
        <f>'A) Base RI'!AP248</f>
        <v>-4938.6000000000004</v>
      </c>
      <c r="F248" s="34">
        <f>'A) Base RI'!AQ248</f>
        <v>-21.51</v>
      </c>
      <c r="G248" s="2">
        <f t="shared" si="18"/>
        <v>1052843.1299999999</v>
      </c>
      <c r="H248" s="10">
        <f>'A) Base RI'!E248</f>
        <v>0</v>
      </c>
      <c r="I248" s="10">
        <f>'A) Base RI'!F248</f>
        <v>0</v>
      </c>
      <c r="J248" s="10">
        <f>'A) Base RI'!G248+'A) Base RI'!H248</f>
        <v>28524.75</v>
      </c>
      <c r="K248" s="10">
        <f>'A) Base RI'!I248</f>
        <v>0</v>
      </c>
      <c r="L248" s="10">
        <f>'A) Base RI'!J248</f>
        <v>20530.310000000001</v>
      </c>
      <c r="M248" s="10">
        <f>'A) Base RI'!K248</f>
        <v>2260.5</v>
      </c>
      <c r="N248" s="10">
        <f>'A) Base RI'!Q248</f>
        <v>0</v>
      </c>
      <c r="O248" s="10">
        <f t="shared" si="19"/>
        <v>102498.3</v>
      </c>
      <c r="P248" s="10">
        <f>'A) Base RI'!L248</f>
        <v>102498.3</v>
      </c>
      <c r="Q248" s="37">
        <f>'A) Base RI'!AR248</f>
        <v>1</v>
      </c>
      <c r="R248" s="2">
        <f t="shared" si="20"/>
        <v>1206656.99</v>
      </c>
      <c r="S248" s="36">
        <f>'A) Base RI'!AM248</f>
        <v>77</v>
      </c>
      <c r="T248" s="2">
        <f t="shared" si="21"/>
        <v>1101898.19</v>
      </c>
      <c r="U248" s="2">
        <f t="shared" si="22"/>
        <v>15670.869999999999</v>
      </c>
      <c r="V248" s="10">
        <f>'A) Base RI'!O248</f>
        <v>0</v>
      </c>
      <c r="W248" s="10">
        <f>'A) Base RI'!P248</f>
        <v>57819.3</v>
      </c>
      <c r="X248" s="10">
        <f>'A) Base RI'!R248</f>
        <v>76814.3</v>
      </c>
      <c r="Y248" s="2">
        <f t="shared" si="23"/>
        <v>134633.60000000001</v>
      </c>
      <c r="Z248" s="10">
        <f>'A) Base RI'!N248</f>
        <v>244.75</v>
      </c>
      <c r="AA248" s="10">
        <f>'A) Base RI'!S248+'A) Base RI'!T248</f>
        <v>97.25</v>
      </c>
      <c r="AB248" s="10">
        <f>+'A) Base RI'!U248</f>
        <v>3150</v>
      </c>
      <c r="AC248" s="10">
        <f>'A) Base RI'!V248</f>
        <v>0</v>
      </c>
      <c r="AD248" s="10">
        <f>+'A) Base RI'!W248</f>
        <v>0</v>
      </c>
      <c r="AE248" s="10">
        <f>'A) Base RI'!Y248</f>
        <v>25223</v>
      </c>
      <c r="AF248" s="10">
        <f>'A) Base RI'!Z248</f>
        <v>0</v>
      </c>
      <c r="AG248" s="10">
        <f>'A) Base RI'!AA248</f>
        <v>69979.55</v>
      </c>
      <c r="AH248" s="10">
        <f>'A) Base RI'!AB248</f>
        <v>0</v>
      </c>
      <c r="AI248" s="10">
        <f>'A) Base RI'!AC248</f>
        <v>42880</v>
      </c>
      <c r="AJ248" s="10">
        <f>'A) Base RI'!AD248</f>
        <v>24632.400000000001</v>
      </c>
      <c r="AK248" s="10">
        <f>'A) Base RI'!AE248</f>
        <v>0</v>
      </c>
      <c r="AL248" s="10">
        <f>'A) Base RI'!AF248</f>
        <v>0</v>
      </c>
      <c r="AM248" s="10">
        <f>'A) Base RI'!AG248</f>
        <v>0</v>
      </c>
      <c r="AN248" s="10">
        <f>'A) Base RI'!AH248</f>
        <v>14229.2</v>
      </c>
      <c r="AO248" s="10">
        <f>'A) Base RI'!AI248</f>
        <v>0</v>
      </c>
      <c r="AP248" s="10">
        <f>'A) Base RI'!AJ248</f>
        <v>0</v>
      </c>
      <c r="AQ248" s="10">
        <f>'A) Base RI'!AK248</f>
        <v>0</v>
      </c>
      <c r="AR248" s="10">
        <f>'A) Base RI'!AN248</f>
        <v>621</v>
      </c>
    </row>
    <row r="249" spans="1:44" x14ac:dyDescent="0.25">
      <c r="A249" s="8">
        <f>'A) Base RI'!A249</f>
        <v>5798</v>
      </c>
      <c r="B249" s="35" t="str">
        <f>'A) Base RI'!B249</f>
        <v>Ropraz</v>
      </c>
      <c r="C249" s="10">
        <f>'A) Base RI'!C249+'A) Base RI'!D249</f>
        <v>749173.54</v>
      </c>
      <c r="D249" s="10">
        <f>'A) Base RI'!AO249</f>
        <v>-20944.759999999998</v>
      </c>
      <c r="E249" s="34">
        <f>'A) Base RI'!AP249</f>
        <v>0</v>
      </c>
      <c r="F249" s="34">
        <f>'A) Base RI'!AQ249</f>
        <v>-118.55</v>
      </c>
      <c r="G249" s="2">
        <f t="shared" si="18"/>
        <v>728110.23</v>
      </c>
      <c r="H249" s="10">
        <f>'A) Base RI'!E249</f>
        <v>0</v>
      </c>
      <c r="I249" s="10">
        <f>'A) Base RI'!F249</f>
        <v>0</v>
      </c>
      <c r="J249" s="10">
        <f>'A) Base RI'!G249+'A) Base RI'!H249</f>
        <v>59082.450000000004</v>
      </c>
      <c r="K249" s="10">
        <f>'A) Base RI'!I249</f>
        <v>0</v>
      </c>
      <c r="L249" s="10">
        <f>'A) Base RI'!J249</f>
        <v>25220.89</v>
      </c>
      <c r="M249" s="10">
        <f>'A) Base RI'!K249</f>
        <v>3908</v>
      </c>
      <c r="N249" s="10">
        <f>'A) Base RI'!Q249</f>
        <v>0</v>
      </c>
      <c r="O249" s="10">
        <f t="shared" si="19"/>
        <v>34007.65</v>
      </c>
      <c r="P249" s="10">
        <f>'A) Base RI'!L249</f>
        <v>34007.65</v>
      </c>
      <c r="Q249" s="37">
        <f>'A) Base RI'!AR249</f>
        <v>1</v>
      </c>
      <c r="R249" s="2">
        <f t="shared" si="20"/>
        <v>850329.22</v>
      </c>
      <c r="S249" s="36">
        <f>'A) Base RI'!AM249</f>
        <v>77.5</v>
      </c>
      <c r="T249" s="2">
        <f t="shared" si="21"/>
        <v>812413.57</v>
      </c>
      <c r="U249" s="2">
        <f t="shared" si="22"/>
        <v>10971.989935483871</v>
      </c>
      <c r="V249" s="10">
        <f>'A) Base RI'!O249</f>
        <v>24775.200000000001</v>
      </c>
      <c r="W249" s="10">
        <f>'A) Base RI'!P249</f>
        <v>17465.55</v>
      </c>
      <c r="X249" s="10">
        <f>'A) Base RI'!R249</f>
        <v>0</v>
      </c>
      <c r="Y249" s="2">
        <f t="shared" si="23"/>
        <v>42240.75</v>
      </c>
      <c r="Z249" s="10">
        <f>'A) Base RI'!N249</f>
        <v>0</v>
      </c>
      <c r="AA249" s="10">
        <f>'A) Base RI'!S249+'A) Base RI'!T249</f>
        <v>375</v>
      </c>
      <c r="AB249" s="10">
        <f>+'A) Base RI'!U249</f>
        <v>2820</v>
      </c>
      <c r="AC249" s="10">
        <f>'A) Base RI'!V249</f>
        <v>0</v>
      </c>
      <c r="AD249" s="10">
        <f>+'A) Base RI'!W249</f>
        <v>0</v>
      </c>
      <c r="AE249" s="10">
        <f>'A) Base RI'!Y249</f>
        <v>53000</v>
      </c>
      <c r="AF249" s="10">
        <f>'A) Base RI'!Z249</f>
        <v>0</v>
      </c>
      <c r="AG249" s="10">
        <f>'A) Base RI'!AA249</f>
        <v>54829.8</v>
      </c>
      <c r="AH249" s="10">
        <f>'A) Base RI'!AB249</f>
        <v>0</v>
      </c>
      <c r="AI249" s="10">
        <f>'A) Base RI'!AC249</f>
        <v>28199.35</v>
      </c>
      <c r="AJ249" s="10">
        <f>'A) Base RI'!AD249</f>
        <v>24130.7</v>
      </c>
      <c r="AK249" s="10">
        <f>'A) Base RI'!AE249</f>
        <v>0</v>
      </c>
      <c r="AL249" s="10">
        <f>'A) Base RI'!AF249</f>
        <v>0</v>
      </c>
      <c r="AM249" s="10">
        <f>'A) Base RI'!AG249</f>
        <v>0</v>
      </c>
      <c r="AN249" s="10">
        <f>'A) Base RI'!AH249</f>
        <v>0</v>
      </c>
      <c r="AO249" s="10">
        <f>'A) Base RI'!AI249</f>
        <v>0</v>
      </c>
      <c r="AP249" s="10">
        <f>'A) Base RI'!AJ249</f>
        <v>0</v>
      </c>
      <c r="AQ249" s="10">
        <f>'A) Base RI'!AK249</f>
        <v>0</v>
      </c>
      <c r="AR249" s="10">
        <f>'A) Base RI'!AN249</f>
        <v>438</v>
      </c>
    </row>
    <row r="250" spans="1:44" x14ac:dyDescent="0.25">
      <c r="A250" s="8">
        <f>'A) Base RI'!A250</f>
        <v>5799</v>
      </c>
      <c r="B250" s="35" t="str">
        <f>'A) Base RI'!B250</f>
        <v>Servion</v>
      </c>
      <c r="C250" s="10">
        <f>'A) Base RI'!C250+'A) Base RI'!D250</f>
        <v>3778259.25</v>
      </c>
      <c r="D250" s="10">
        <f>'A) Base RI'!AO250</f>
        <v>-54186.42</v>
      </c>
      <c r="E250" s="34">
        <f>'A) Base RI'!AP250</f>
        <v>0</v>
      </c>
      <c r="F250" s="34">
        <f>'A) Base RI'!AQ250</f>
        <v>-68.930000000000007</v>
      </c>
      <c r="G250" s="2">
        <f t="shared" si="18"/>
        <v>3724003.9</v>
      </c>
      <c r="H250" s="10">
        <f>'A) Base RI'!E250</f>
        <v>0</v>
      </c>
      <c r="I250" s="10">
        <f>'A) Base RI'!F250</f>
        <v>0</v>
      </c>
      <c r="J250" s="10">
        <f>'A) Base RI'!G250+'A) Base RI'!H250</f>
        <v>68839.600000000006</v>
      </c>
      <c r="K250" s="10">
        <f>'A) Base RI'!I250</f>
        <v>-33796.300000000003</v>
      </c>
      <c r="L250" s="10">
        <f>'A) Base RI'!J250</f>
        <v>49231.16</v>
      </c>
      <c r="M250" s="10">
        <f>'A) Base RI'!K250</f>
        <v>13591</v>
      </c>
      <c r="N250" s="10">
        <f>'A) Base RI'!Q250</f>
        <v>20713.79</v>
      </c>
      <c r="O250" s="10">
        <f t="shared" si="19"/>
        <v>338724.25</v>
      </c>
      <c r="P250" s="10">
        <f>'A) Base RI'!L250</f>
        <v>338724.25</v>
      </c>
      <c r="Q250" s="37">
        <f>'A) Base RI'!AR250</f>
        <v>1</v>
      </c>
      <c r="R250" s="2">
        <f t="shared" si="20"/>
        <v>4181307.4000000004</v>
      </c>
      <c r="S250" s="36">
        <f>'A) Base RI'!AM250</f>
        <v>69</v>
      </c>
      <c r="T250" s="2">
        <f t="shared" si="21"/>
        <v>3828992.1500000004</v>
      </c>
      <c r="U250" s="2">
        <f t="shared" si="22"/>
        <v>60598.657971014502</v>
      </c>
      <c r="V250" s="10">
        <f>'A) Base RI'!O250</f>
        <v>24294.400000000001</v>
      </c>
      <c r="W250" s="10">
        <f>'A) Base RI'!P250</f>
        <v>139549.85</v>
      </c>
      <c r="X250" s="10">
        <f>'A) Base RI'!R250</f>
        <v>76608.25</v>
      </c>
      <c r="Y250" s="2">
        <f t="shared" si="23"/>
        <v>240452.5</v>
      </c>
      <c r="Z250" s="10">
        <f>'A) Base RI'!N250</f>
        <v>18179.400000000001</v>
      </c>
      <c r="AA250" s="10">
        <f>'A) Base RI'!S250+'A) Base RI'!T250</f>
        <v>655.65</v>
      </c>
      <c r="AB250" s="10">
        <f>+'A) Base RI'!U250</f>
        <v>8300</v>
      </c>
      <c r="AC250" s="10">
        <f>'A) Base RI'!V250</f>
        <v>56061.55</v>
      </c>
      <c r="AD250" s="10">
        <f>+'A) Base RI'!W250</f>
        <v>0</v>
      </c>
      <c r="AE250" s="10">
        <f>'A) Base RI'!Y250</f>
        <v>59403.75</v>
      </c>
      <c r="AF250" s="10">
        <f>'A) Base RI'!Z250</f>
        <v>0</v>
      </c>
      <c r="AG250" s="10">
        <f>'A) Base RI'!AA250</f>
        <v>362500.4</v>
      </c>
      <c r="AH250" s="10">
        <f>'A) Base RI'!AB250</f>
        <v>0</v>
      </c>
      <c r="AI250" s="10">
        <f>'A) Base RI'!AC250</f>
        <v>192788.85</v>
      </c>
      <c r="AJ250" s="10">
        <f>'A) Base RI'!AD250</f>
        <v>0</v>
      </c>
      <c r="AK250" s="10">
        <f>'A) Base RI'!AE250</f>
        <v>0</v>
      </c>
      <c r="AL250" s="10">
        <f>'A) Base RI'!AF250</f>
        <v>0</v>
      </c>
      <c r="AM250" s="10">
        <f>'A) Base RI'!AG250</f>
        <v>0</v>
      </c>
      <c r="AN250" s="10">
        <f>'A) Base RI'!AH250</f>
        <v>56854.65</v>
      </c>
      <c r="AO250" s="10">
        <f>'A) Base RI'!AI250</f>
        <v>0</v>
      </c>
      <c r="AP250" s="10">
        <f>'A) Base RI'!AJ250</f>
        <v>0</v>
      </c>
      <c r="AQ250" s="10">
        <f>'A) Base RI'!AK250</f>
        <v>0</v>
      </c>
      <c r="AR250" s="10">
        <f>'A) Base RI'!AN250</f>
        <v>1918</v>
      </c>
    </row>
    <row r="251" spans="1:44" x14ac:dyDescent="0.25">
      <c r="A251" s="8">
        <f>'A) Base RI'!A251</f>
        <v>5803</v>
      </c>
      <c r="B251" s="35" t="str">
        <f>'A) Base RI'!B251</f>
        <v>Vulliens</v>
      </c>
      <c r="C251" s="10">
        <f>'A) Base RI'!C251+'A) Base RI'!D251</f>
        <v>999639.15</v>
      </c>
      <c r="D251" s="10">
        <f>'A) Base RI'!AO251</f>
        <v>-11815.42</v>
      </c>
      <c r="E251" s="34">
        <f>'A) Base RI'!AP251</f>
        <v>0</v>
      </c>
      <c r="F251" s="34">
        <f>'A) Base RI'!AQ251</f>
        <v>-113.14</v>
      </c>
      <c r="G251" s="2">
        <f t="shared" si="18"/>
        <v>987710.59</v>
      </c>
      <c r="H251" s="10">
        <f>'A) Base RI'!E251</f>
        <v>0</v>
      </c>
      <c r="I251" s="10">
        <f>'A) Base RI'!F251</f>
        <v>0</v>
      </c>
      <c r="J251" s="10">
        <f>'A) Base RI'!G251+'A) Base RI'!H251</f>
        <v>26590.75</v>
      </c>
      <c r="K251" s="10">
        <f>'A) Base RI'!I251</f>
        <v>0</v>
      </c>
      <c r="L251" s="10">
        <f>'A) Base RI'!J251</f>
        <v>16064.15</v>
      </c>
      <c r="M251" s="10">
        <f>'A) Base RI'!K251</f>
        <v>0</v>
      </c>
      <c r="N251" s="10">
        <f>'A) Base RI'!Q251</f>
        <v>3184.24</v>
      </c>
      <c r="O251" s="10">
        <f t="shared" si="19"/>
        <v>75226.95</v>
      </c>
      <c r="P251" s="10">
        <f>'A) Base RI'!L251</f>
        <v>75226.95</v>
      </c>
      <c r="Q251" s="37">
        <f>'A) Base RI'!AR251</f>
        <v>1</v>
      </c>
      <c r="R251" s="2">
        <f t="shared" si="20"/>
        <v>1108776.68</v>
      </c>
      <c r="S251" s="36">
        <f>'A) Base RI'!AM251</f>
        <v>78</v>
      </c>
      <c r="T251" s="2">
        <f t="shared" si="21"/>
        <v>1033549.73</v>
      </c>
      <c r="U251" s="2">
        <f t="shared" si="22"/>
        <v>14215.08564102564</v>
      </c>
      <c r="V251" s="10">
        <f>'A) Base RI'!O251</f>
        <v>63737.599999999999</v>
      </c>
      <c r="W251" s="10">
        <f>'A) Base RI'!P251</f>
        <v>66069.95</v>
      </c>
      <c r="X251" s="10">
        <f>'A) Base RI'!R251</f>
        <v>27578.5</v>
      </c>
      <c r="Y251" s="2">
        <f t="shared" si="23"/>
        <v>157386.04999999999</v>
      </c>
      <c r="Z251" s="10">
        <f>'A) Base RI'!N251</f>
        <v>0</v>
      </c>
      <c r="AA251" s="10">
        <f>'A) Base RI'!S251+'A) Base RI'!T251</f>
        <v>1064.75</v>
      </c>
      <c r="AB251" s="10">
        <f>+'A) Base RI'!U251</f>
        <v>4800</v>
      </c>
      <c r="AC251" s="10">
        <f>'A) Base RI'!V251</f>
        <v>100</v>
      </c>
      <c r="AD251" s="10">
        <f>+'A) Base RI'!W251</f>
        <v>0</v>
      </c>
      <c r="AE251" s="10">
        <f>'A) Base RI'!Y251</f>
        <v>88875</v>
      </c>
      <c r="AF251" s="10">
        <f>'A) Base RI'!Z251</f>
        <v>0</v>
      </c>
      <c r="AG251" s="10">
        <f>'A) Base RI'!AA251</f>
        <v>38362</v>
      </c>
      <c r="AH251" s="10">
        <f>'A) Base RI'!AB251</f>
        <v>0</v>
      </c>
      <c r="AI251" s="10">
        <f>'A) Base RI'!AC251</f>
        <v>26853.85</v>
      </c>
      <c r="AJ251" s="10">
        <f>'A) Base RI'!AD251</f>
        <v>168673.9</v>
      </c>
      <c r="AK251" s="10">
        <f>'A) Base RI'!AE251</f>
        <v>10500</v>
      </c>
      <c r="AL251" s="10">
        <f>'A) Base RI'!AF251</f>
        <v>0</v>
      </c>
      <c r="AM251" s="10">
        <f>'A) Base RI'!AG251</f>
        <v>0</v>
      </c>
      <c r="AN251" s="10">
        <f>'A) Base RI'!AH251</f>
        <v>0</v>
      </c>
      <c r="AO251" s="10">
        <f>'A) Base RI'!AI251</f>
        <v>0</v>
      </c>
      <c r="AP251" s="10">
        <f>'A) Base RI'!AJ251</f>
        <v>0</v>
      </c>
      <c r="AQ251" s="10">
        <f>'A) Base RI'!AK251</f>
        <v>0</v>
      </c>
      <c r="AR251" s="10">
        <f>'A) Base RI'!AN251</f>
        <v>466</v>
      </c>
    </row>
    <row r="252" spans="1:44" x14ac:dyDescent="0.25">
      <c r="A252" s="8">
        <f>'A) Base RI'!A252</f>
        <v>5804</v>
      </c>
      <c r="B252" s="35" t="str">
        <f>'A) Base RI'!B252</f>
        <v>Jorat-Menthue</v>
      </c>
      <c r="C252" s="10">
        <f>'A) Base RI'!C252+'A) Base RI'!D252</f>
        <v>3134143.7</v>
      </c>
      <c r="D252" s="10">
        <f>'A) Base RI'!AO252</f>
        <v>-17228.8</v>
      </c>
      <c r="E252" s="34">
        <f>'A) Base RI'!AP252</f>
        <v>0</v>
      </c>
      <c r="F252" s="34">
        <f>'A) Base RI'!AQ252</f>
        <v>-67.180000000000007</v>
      </c>
      <c r="G252" s="2">
        <f t="shared" si="18"/>
        <v>3116847.72</v>
      </c>
      <c r="H252" s="10">
        <f>'A) Base RI'!E252</f>
        <v>0</v>
      </c>
      <c r="I252" s="10">
        <f>'A) Base RI'!F252</f>
        <v>0</v>
      </c>
      <c r="J252" s="10">
        <f>'A) Base RI'!G252+'A) Base RI'!H252</f>
        <v>68505</v>
      </c>
      <c r="K252" s="10">
        <f>'A) Base RI'!I252</f>
        <v>0</v>
      </c>
      <c r="L252" s="10">
        <f>'A) Base RI'!J252</f>
        <v>62346.63</v>
      </c>
      <c r="M252" s="10">
        <f>'A) Base RI'!K252</f>
        <v>3083</v>
      </c>
      <c r="N252" s="10">
        <f>'A) Base RI'!Q252</f>
        <v>4467.1000000000004</v>
      </c>
      <c r="O252" s="10">
        <f t="shared" si="19"/>
        <v>240675.35</v>
      </c>
      <c r="P252" s="10">
        <f>'A) Base RI'!L252</f>
        <v>240675.35</v>
      </c>
      <c r="Q252" s="37">
        <f>'A) Base RI'!AR252</f>
        <v>1</v>
      </c>
      <c r="R252" s="2">
        <f t="shared" si="20"/>
        <v>3495924.8000000003</v>
      </c>
      <c r="S252" s="36">
        <f>'A) Base RI'!AM252</f>
        <v>72</v>
      </c>
      <c r="T252" s="2">
        <f t="shared" si="21"/>
        <v>3252166.45</v>
      </c>
      <c r="U252" s="2">
        <f t="shared" si="22"/>
        <v>48554.511111111118</v>
      </c>
      <c r="V252" s="10">
        <f>'A) Base RI'!O252</f>
        <v>61</v>
      </c>
      <c r="W252" s="10">
        <f>'A) Base RI'!P252</f>
        <v>75507.5</v>
      </c>
      <c r="X252" s="10">
        <f>'A) Base RI'!R252</f>
        <v>50504.15</v>
      </c>
      <c r="Y252" s="2">
        <f t="shared" si="23"/>
        <v>126072.65</v>
      </c>
      <c r="Z252" s="10">
        <f>'A) Base RI'!N252</f>
        <v>12944.9</v>
      </c>
      <c r="AA252" s="10">
        <f>'A) Base RI'!S252+'A) Base RI'!T252</f>
        <v>1898.85</v>
      </c>
      <c r="AB252" s="10">
        <f>+'A) Base RI'!U252</f>
        <v>12550</v>
      </c>
      <c r="AC252" s="10">
        <f>'A) Base RI'!V252</f>
        <v>0</v>
      </c>
      <c r="AD252" s="10">
        <f>+'A) Base RI'!W252</f>
        <v>0</v>
      </c>
      <c r="AE252" s="10">
        <f>'A) Base RI'!Y252</f>
        <v>122217.45</v>
      </c>
      <c r="AF252" s="10">
        <f>'A) Base RI'!Z252</f>
        <v>0</v>
      </c>
      <c r="AG252" s="10">
        <f>'A) Base RI'!AA252</f>
        <v>256051.4</v>
      </c>
      <c r="AH252" s="10">
        <f>'A) Base RI'!AB252</f>
        <v>0</v>
      </c>
      <c r="AI252" s="10">
        <f>'A) Base RI'!AC252</f>
        <v>144064.9</v>
      </c>
      <c r="AJ252" s="10">
        <f>'A) Base RI'!AD252</f>
        <v>80443.199999999997</v>
      </c>
      <c r="AK252" s="10">
        <f>'A) Base RI'!AE252</f>
        <v>0</v>
      </c>
      <c r="AL252" s="10">
        <f>'A) Base RI'!AF252</f>
        <v>0</v>
      </c>
      <c r="AM252" s="10">
        <f>'A) Base RI'!AG252</f>
        <v>0</v>
      </c>
      <c r="AN252" s="10">
        <f>'A) Base RI'!AH252</f>
        <v>38978.35</v>
      </c>
      <c r="AO252" s="10">
        <f>'A) Base RI'!AI252</f>
        <v>0</v>
      </c>
      <c r="AP252" s="10">
        <f>'A) Base RI'!AJ252</f>
        <v>0</v>
      </c>
      <c r="AQ252" s="10">
        <f>'A) Base RI'!AK252</f>
        <v>0</v>
      </c>
      <c r="AR252" s="10">
        <f>'A) Base RI'!AN252</f>
        <v>1545</v>
      </c>
    </row>
    <row r="253" spans="1:44" x14ac:dyDescent="0.25">
      <c r="A253" s="8">
        <f>'A) Base RI'!A253</f>
        <v>5805</v>
      </c>
      <c r="B253" s="35" t="str">
        <f>'A) Base RI'!B253</f>
        <v>Oron</v>
      </c>
      <c r="C253" s="10">
        <f>'A) Base RI'!C253+'A) Base RI'!D253</f>
        <v>8313644.5199999996</v>
      </c>
      <c r="D253" s="10">
        <f>'A) Base RI'!AO253</f>
        <v>-235199.94</v>
      </c>
      <c r="E253" s="34">
        <f>'A) Base RI'!AP253</f>
        <v>0</v>
      </c>
      <c r="F253" s="34">
        <f>'A) Base RI'!AQ253</f>
        <v>-1840.63</v>
      </c>
      <c r="G253" s="2">
        <f t="shared" si="18"/>
        <v>8076603.9499999993</v>
      </c>
      <c r="H253" s="10">
        <f>'A) Base RI'!E253</f>
        <v>0</v>
      </c>
      <c r="I253" s="10">
        <f>'A) Base RI'!F253</f>
        <v>0</v>
      </c>
      <c r="J253" s="10">
        <f>'A) Base RI'!G253+'A) Base RI'!H253</f>
        <v>837708.25</v>
      </c>
      <c r="K253" s="10">
        <f>'A) Base RI'!I253</f>
        <v>-35137.35</v>
      </c>
      <c r="L253" s="10">
        <f>'A) Base RI'!J253</f>
        <v>312393.52</v>
      </c>
      <c r="M253" s="10">
        <f>'A) Base RI'!K253</f>
        <v>54178</v>
      </c>
      <c r="N253" s="10">
        <f>'A) Base RI'!Q253</f>
        <v>93648.61</v>
      </c>
      <c r="O253" s="10">
        <f t="shared" si="19"/>
        <v>810799.13636363635</v>
      </c>
      <c r="P253" s="10">
        <f>'A) Base RI'!L253</f>
        <v>891879.05</v>
      </c>
      <c r="Q253" s="37">
        <f>'A) Base RI'!AR253</f>
        <v>1.1000000000000001</v>
      </c>
      <c r="R253" s="2">
        <f t="shared" si="20"/>
        <v>10150194.116363635</v>
      </c>
      <c r="S253" s="36">
        <f>'A) Base RI'!AM253</f>
        <v>69</v>
      </c>
      <c r="T253" s="2">
        <f t="shared" si="21"/>
        <v>9285216.9799999986</v>
      </c>
      <c r="U253" s="2">
        <f t="shared" si="22"/>
        <v>147104.2625559947</v>
      </c>
      <c r="V253" s="10">
        <f>'A) Base RI'!O253</f>
        <v>282952.90000000002</v>
      </c>
      <c r="W253" s="10">
        <f>'A) Base RI'!P253</f>
        <v>286626.45</v>
      </c>
      <c r="X253" s="10">
        <f>'A) Base RI'!R253</f>
        <v>229060</v>
      </c>
      <c r="Y253" s="2">
        <f t="shared" si="23"/>
        <v>798639.35000000009</v>
      </c>
      <c r="Z253" s="10">
        <f>'A) Base RI'!N253</f>
        <v>78868.399999999994</v>
      </c>
      <c r="AA253" s="10">
        <f>'A) Base RI'!S253+'A) Base RI'!T253</f>
        <v>49993.4</v>
      </c>
      <c r="AB253" s="10">
        <f>+'A) Base RI'!U253</f>
        <v>35050</v>
      </c>
      <c r="AC253" s="10">
        <f>'A) Base RI'!V253</f>
        <v>2400</v>
      </c>
      <c r="AD253" s="10">
        <f>+'A) Base RI'!W253</f>
        <v>2721.5</v>
      </c>
      <c r="AE253" s="10">
        <f>'A) Base RI'!Y253</f>
        <v>398241</v>
      </c>
      <c r="AF253" s="10">
        <f>'A) Base RI'!Z253</f>
        <v>0</v>
      </c>
      <c r="AG253" s="10">
        <f>'A) Base RI'!AA253</f>
        <v>774267.55</v>
      </c>
      <c r="AH253" s="10">
        <f>'A) Base RI'!AB253</f>
        <v>0</v>
      </c>
      <c r="AI253" s="10">
        <f>'A) Base RI'!AC253</f>
        <v>566624.44999999995</v>
      </c>
      <c r="AJ253" s="10">
        <f>'A) Base RI'!AD253</f>
        <v>215591.55</v>
      </c>
      <c r="AK253" s="10">
        <f>'A) Base RI'!AE253</f>
        <v>0</v>
      </c>
      <c r="AL253" s="10">
        <f>'A) Base RI'!AF253</f>
        <v>0</v>
      </c>
      <c r="AM253" s="10">
        <f>'A) Base RI'!AG253</f>
        <v>0</v>
      </c>
      <c r="AN253" s="10">
        <f>'A) Base RI'!AH253</f>
        <v>0</v>
      </c>
      <c r="AO253" s="10">
        <f>'A) Base RI'!AI253</f>
        <v>0</v>
      </c>
      <c r="AP253" s="10">
        <f>'A) Base RI'!AJ253</f>
        <v>0</v>
      </c>
      <c r="AQ253" s="10">
        <f>'A) Base RI'!AK253</f>
        <v>0</v>
      </c>
      <c r="AR253" s="10">
        <f>'A) Base RI'!AN253</f>
        <v>5397</v>
      </c>
    </row>
    <row r="254" spans="1:44" x14ac:dyDescent="0.25">
      <c r="A254" s="8">
        <f>'A) Base RI'!A254</f>
        <v>5812</v>
      </c>
      <c r="B254" s="35" t="str">
        <f>'A) Base RI'!B254</f>
        <v>Champtauroz</v>
      </c>
      <c r="C254" s="10">
        <f>'A) Base RI'!C254+'A) Base RI'!D254</f>
        <v>167091.88</v>
      </c>
      <c r="D254" s="10">
        <f>'A) Base RI'!AO254</f>
        <v>-4832.17</v>
      </c>
      <c r="E254" s="34">
        <f>'A) Base RI'!AP254</f>
        <v>0</v>
      </c>
      <c r="F254" s="34">
        <f>'A) Base RI'!AQ254</f>
        <v>0</v>
      </c>
      <c r="G254" s="2">
        <f t="shared" si="18"/>
        <v>162259.71</v>
      </c>
      <c r="H254" s="10">
        <f>'A) Base RI'!E254</f>
        <v>0</v>
      </c>
      <c r="I254" s="10">
        <f>'A) Base RI'!F254</f>
        <v>0</v>
      </c>
      <c r="J254" s="10">
        <f>'A) Base RI'!G254+'A) Base RI'!H254</f>
        <v>1426.2</v>
      </c>
      <c r="K254" s="10">
        <f>'A) Base RI'!I254</f>
        <v>0</v>
      </c>
      <c r="L254" s="10">
        <f>'A) Base RI'!J254</f>
        <v>-633.63</v>
      </c>
      <c r="M254" s="10">
        <f>'A) Base RI'!K254</f>
        <v>522</v>
      </c>
      <c r="N254" s="10">
        <f>'A) Base RI'!Q254</f>
        <v>74.95</v>
      </c>
      <c r="O254" s="10">
        <f t="shared" si="19"/>
        <v>15497.125</v>
      </c>
      <c r="P254" s="10">
        <f>'A) Base RI'!L254</f>
        <v>12397.7</v>
      </c>
      <c r="Q254" s="37">
        <f>'A) Base RI'!AR254</f>
        <v>0.8</v>
      </c>
      <c r="R254" s="2">
        <f t="shared" si="20"/>
        <v>179146.35500000001</v>
      </c>
      <c r="S254" s="36">
        <f>'A) Base RI'!AM254</f>
        <v>77</v>
      </c>
      <c r="T254" s="2">
        <f t="shared" si="21"/>
        <v>163127.23000000001</v>
      </c>
      <c r="U254" s="2">
        <f t="shared" si="22"/>
        <v>2326.5760389610391</v>
      </c>
      <c r="V254" s="10">
        <f>'A) Base RI'!O254</f>
        <v>0</v>
      </c>
      <c r="W254" s="10">
        <f>'A) Base RI'!P254</f>
        <v>12100</v>
      </c>
      <c r="X254" s="10">
        <f>'A) Base RI'!R254</f>
        <v>7317.2</v>
      </c>
      <c r="Y254" s="2">
        <f t="shared" si="23"/>
        <v>19417.2</v>
      </c>
      <c r="Z254" s="10">
        <f>'A) Base RI'!N254</f>
        <v>0</v>
      </c>
      <c r="AA254" s="10">
        <f>'A) Base RI'!S254+'A) Base RI'!T254</f>
        <v>0</v>
      </c>
      <c r="AB254" s="10">
        <f>+'A) Base RI'!U254</f>
        <v>520</v>
      </c>
      <c r="AC254" s="10">
        <f>'A) Base RI'!V254</f>
        <v>0</v>
      </c>
      <c r="AD254" s="10">
        <f>+'A) Base RI'!W254</f>
        <v>0</v>
      </c>
      <c r="AE254" s="10">
        <f>'A) Base RI'!Y254</f>
        <v>752.3</v>
      </c>
      <c r="AF254" s="10">
        <f>'A) Base RI'!Z254</f>
        <v>0</v>
      </c>
      <c r="AG254" s="10">
        <f>'A) Base RI'!AA254</f>
        <v>11912.25</v>
      </c>
      <c r="AH254" s="10">
        <f>'A) Base RI'!AB254</f>
        <v>0</v>
      </c>
      <c r="AI254" s="10">
        <f>'A) Base RI'!AC254</f>
        <v>12342</v>
      </c>
      <c r="AJ254" s="10">
        <f>'A) Base RI'!AD254</f>
        <v>0</v>
      </c>
      <c r="AK254" s="10">
        <f>'A) Base RI'!AE254</f>
        <v>0</v>
      </c>
      <c r="AL254" s="10">
        <f>'A) Base RI'!AF254</f>
        <v>0</v>
      </c>
      <c r="AM254" s="10">
        <f>'A) Base RI'!AG254</f>
        <v>0</v>
      </c>
      <c r="AN254" s="10">
        <f>'A) Base RI'!AH254</f>
        <v>2735.8</v>
      </c>
      <c r="AO254" s="10">
        <f>'A) Base RI'!AI254</f>
        <v>0</v>
      </c>
      <c r="AP254" s="10">
        <f>'A) Base RI'!AJ254</f>
        <v>0</v>
      </c>
      <c r="AQ254" s="10">
        <f>'A) Base RI'!AK254</f>
        <v>0</v>
      </c>
      <c r="AR254" s="10">
        <f>'A) Base RI'!AN254</f>
        <v>130</v>
      </c>
    </row>
    <row r="255" spans="1:44" x14ac:dyDescent="0.25">
      <c r="A255" s="8">
        <f>'A) Base RI'!A255</f>
        <v>5813</v>
      </c>
      <c r="B255" s="35" t="str">
        <f>'A) Base RI'!B255</f>
        <v>Chevroux</v>
      </c>
      <c r="C255" s="10">
        <f>'A) Base RI'!C255+'A) Base RI'!D255</f>
        <v>714580.94</v>
      </c>
      <c r="D255" s="10">
        <f>'A) Base RI'!AO255</f>
        <v>-9968.73</v>
      </c>
      <c r="E255" s="34">
        <f>'A) Base RI'!AP255</f>
        <v>0</v>
      </c>
      <c r="F255" s="34">
        <f>'A) Base RI'!AQ255</f>
        <v>-1.72</v>
      </c>
      <c r="G255" s="2">
        <f t="shared" si="18"/>
        <v>704610.49</v>
      </c>
      <c r="H255" s="10">
        <f>'A) Base RI'!E255</f>
        <v>0</v>
      </c>
      <c r="I255" s="10">
        <f>'A) Base RI'!F255</f>
        <v>2770</v>
      </c>
      <c r="J255" s="10">
        <f>'A) Base RI'!G255+'A) Base RI'!H255</f>
        <v>16272.55</v>
      </c>
      <c r="K255" s="10">
        <f>'A) Base RI'!I255</f>
        <v>0</v>
      </c>
      <c r="L255" s="10">
        <f>'A) Base RI'!J255</f>
        <v>10789.56</v>
      </c>
      <c r="M255" s="10">
        <f>'A) Base RI'!K255</f>
        <v>0</v>
      </c>
      <c r="N255" s="10">
        <f>'A) Base RI'!Q255</f>
        <v>131.54</v>
      </c>
      <c r="O255" s="10">
        <f t="shared" si="19"/>
        <v>70658.958333333343</v>
      </c>
      <c r="P255" s="10">
        <f>'A) Base RI'!L255</f>
        <v>84790.75</v>
      </c>
      <c r="Q255" s="37">
        <f>'A) Base RI'!AR255</f>
        <v>1.2</v>
      </c>
      <c r="R255" s="2">
        <f t="shared" si="20"/>
        <v>805233.0983333335</v>
      </c>
      <c r="S255" s="36">
        <f>'A) Base RI'!AM255</f>
        <v>70</v>
      </c>
      <c r="T255" s="2">
        <f t="shared" si="21"/>
        <v>731804.14000000013</v>
      </c>
      <c r="U255" s="2">
        <f t="shared" si="22"/>
        <v>11503.329976190478</v>
      </c>
      <c r="V255" s="10">
        <f>'A) Base RI'!O255</f>
        <v>10378.1</v>
      </c>
      <c r="W255" s="10">
        <f>'A) Base RI'!P255</f>
        <v>20020</v>
      </c>
      <c r="X255" s="10">
        <f>'A) Base RI'!R255</f>
        <v>34091.35</v>
      </c>
      <c r="Y255" s="2">
        <f t="shared" si="23"/>
        <v>64489.45</v>
      </c>
      <c r="Z255" s="10">
        <f>'A) Base RI'!N255</f>
        <v>0</v>
      </c>
      <c r="AA255" s="10">
        <f>'A) Base RI'!S255+'A) Base RI'!T255</f>
        <v>1771.35</v>
      </c>
      <c r="AB255" s="10">
        <f>+'A) Base RI'!U255</f>
        <v>5400</v>
      </c>
      <c r="AC255" s="10">
        <f>'A) Base RI'!V255</f>
        <v>0</v>
      </c>
      <c r="AD255" s="10">
        <f>+'A) Base RI'!W255</f>
        <v>0</v>
      </c>
      <c r="AE255" s="10">
        <f>'A) Base RI'!Y255</f>
        <v>8999.4500000000007</v>
      </c>
      <c r="AF255" s="10">
        <f>'A) Base RI'!Z255</f>
        <v>0</v>
      </c>
      <c r="AG255" s="10">
        <f>'A) Base RI'!AA255</f>
        <v>50406</v>
      </c>
      <c r="AH255" s="10">
        <f>'A) Base RI'!AB255</f>
        <v>0</v>
      </c>
      <c r="AI255" s="10">
        <f>'A) Base RI'!AC255</f>
        <v>52534.65</v>
      </c>
      <c r="AJ255" s="10">
        <f>'A) Base RI'!AD255</f>
        <v>5779.7</v>
      </c>
      <c r="AK255" s="10">
        <f>'A) Base RI'!AE255</f>
        <v>0</v>
      </c>
      <c r="AL255" s="10">
        <f>'A) Base RI'!AF255</f>
        <v>0</v>
      </c>
      <c r="AM255" s="10">
        <f>'A) Base RI'!AG255</f>
        <v>85614</v>
      </c>
      <c r="AN255" s="10">
        <f>'A) Base RI'!AH255</f>
        <v>0</v>
      </c>
      <c r="AO255" s="10">
        <f>'A) Base RI'!AI255</f>
        <v>16381.5</v>
      </c>
      <c r="AP255" s="10">
        <f>'A) Base RI'!AJ255</f>
        <v>0</v>
      </c>
      <c r="AQ255" s="10">
        <f>'A) Base RI'!AK255</f>
        <v>0</v>
      </c>
      <c r="AR255" s="10">
        <f>'A) Base RI'!AN255</f>
        <v>446</v>
      </c>
    </row>
    <row r="256" spans="1:44" x14ac:dyDescent="0.25">
      <c r="A256" s="8">
        <f>'A) Base RI'!A256</f>
        <v>5816</v>
      </c>
      <c r="B256" s="35" t="str">
        <f>'A) Base RI'!B256</f>
        <v>Corcelles-près-Payerne</v>
      </c>
      <c r="C256" s="10">
        <f>'A) Base RI'!C256+'A) Base RI'!D256</f>
        <v>3384869.98</v>
      </c>
      <c r="D256" s="10">
        <f>'A) Base RI'!AO256</f>
        <v>-64163.8</v>
      </c>
      <c r="E256" s="34">
        <f>'A) Base RI'!AP256</f>
        <v>0</v>
      </c>
      <c r="F256" s="34">
        <f>'A) Base RI'!AQ256</f>
        <v>-127.57</v>
      </c>
      <c r="G256" s="2">
        <f t="shared" si="18"/>
        <v>3320578.6100000003</v>
      </c>
      <c r="H256" s="10">
        <f>'A) Base RI'!E256</f>
        <v>0</v>
      </c>
      <c r="I256" s="10">
        <f>'A) Base RI'!F256</f>
        <v>0</v>
      </c>
      <c r="J256" s="10">
        <f>'A) Base RI'!G256+'A) Base RI'!H256</f>
        <v>230500.55</v>
      </c>
      <c r="K256" s="10">
        <f>'A) Base RI'!I256</f>
        <v>0</v>
      </c>
      <c r="L256" s="10">
        <f>'A) Base RI'!J256</f>
        <v>188760.21</v>
      </c>
      <c r="M256" s="10">
        <f>'A) Base RI'!K256</f>
        <v>22613.5</v>
      </c>
      <c r="N256" s="10">
        <f>'A) Base RI'!Q256</f>
        <v>18297.8</v>
      </c>
      <c r="O256" s="10">
        <f t="shared" si="19"/>
        <v>297406.14285714284</v>
      </c>
      <c r="P256" s="10">
        <f>'A) Base RI'!L256</f>
        <v>208184.3</v>
      </c>
      <c r="Q256" s="37">
        <f>'A) Base RI'!AR256</f>
        <v>0.7</v>
      </c>
      <c r="R256" s="2">
        <f t="shared" si="20"/>
        <v>4078156.8128571426</v>
      </c>
      <c r="S256" s="36">
        <f>'A) Base RI'!AM256</f>
        <v>72</v>
      </c>
      <c r="T256" s="2">
        <f t="shared" si="21"/>
        <v>3758137.17</v>
      </c>
      <c r="U256" s="2">
        <f t="shared" si="22"/>
        <v>56641.066845238092</v>
      </c>
      <c r="V256" s="10">
        <f>'A) Base RI'!O256</f>
        <v>1261.2</v>
      </c>
      <c r="W256" s="10">
        <f>'A) Base RI'!P256</f>
        <v>120484.85</v>
      </c>
      <c r="X256" s="10">
        <f>'A) Base RI'!R256</f>
        <v>125314.9</v>
      </c>
      <c r="Y256" s="2">
        <f t="shared" si="23"/>
        <v>247060.95</v>
      </c>
      <c r="Z256" s="10">
        <f>'A) Base RI'!N256</f>
        <v>9123.2000000000007</v>
      </c>
      <c r="AA256" s="10">
        <f>'A) Base RI'!S256+'A) Base RI'!T256</f>
        <v>10824.1</v>
      </c>
      <c r="AB256" s="10">
        <f>+'A) Base RI'!U256</f>
        <v>9120</v>
      </c>
      <c r="AC256" s="10">
        <f>'A) Base RI'!V256</f>
        <v>1795.8</v>
      </c>
      <c r="AD256" s="10">
        <f>+'A) Base RI'!W256</f>
        <v>0</v>
      </c>
      <c r="AE256" s="10">
        <f>'A) Base RI'!Y256</f>
        <v>72293.600000000006</v>
      </c>
      <c r="AF256" s="10">
        <f>'A) Base RI'!Z256</f>
        <v>0</v>
      </c>
      <c r="AG256" s="10">
        <f>'A) Base RI'!AA256</f>
        <v>454830.95</v>
      </c>
      <c r="AH256" s="10">
        <f>'A) Base RI'!AB256</f>
        <v>0</v>
      </c>
      <c r="AI256" s="10">
        <f>'A) Base RI'!AC256</f>
        <v>160323.73000000001</v>
      </c>
      <c r="AJ256" s="10">
        <f>'A) Base RI'!AD256</f>
        <v>69383.8</v>
      </c>
      <c r="AK256" s="10">
        <f>'A) Base RI'!AE256</f>
        <v>0</v>
      </c>
      <c r="AL256" s="10">
        <f>'A) Base RI'!AF256</f>
        <v>0</v>
      </c>
      <c r="AM256" s="10">
        <f>'A) Base RI'!AG256</f>
        <v>0</v>
      </c>
      <c r="AN256" s="10">
        <f>'A) Base RI'!AH256</f>
        <v>0</v>
      </c>
      <c r="AO256" s="10">
        <f>'A) Base RI'!AI256</f>
        <v>0</v>
      </c>
      <c r="AP256" s="10">
        <f>'A) Base RI'!AJ256</f>
        <v>0</v>
      </c>
      <c r="AQ256" s="10">
        <f>'A) Base RI'!AK256</f>
        <v>0</v>
      </c>
      <c r="AR256" s="10">
        <f>'A) Base RI'!AN256</f>
        <v>2393</v>
      </c>
    </row>
    <row r="257" spans="1:44" x14ac:dyDescent="0.25">
      <c r="A257" s="8">
        <f>'A) Base RI'!A257</f>
        <v>5817</v>
      </c>
      <c r="B257" s="35" t="str">
        <f>'A) Base RI'!B257</f>
        <v>Grandcour</v>
      </c>
      <c r="C257" s="10">
        <f>'A) Base RI'!C257+'A) Base RI'!D257</f>
        <v>1504292.44</v>
      </c>
      <c r="D257" s="10">
        <f>'A) Base RI'!AO257</f>
        <v>-21376.25</v>
      </c>
      <c r="E257" s="34">
        <f>'A) Base RI'!AP257</f>
        <v>0</v>
      </c>
      <c r="F257" s="34">
        <f>'A) Base RI'!AQ257</f>
        <v>-4.33</v>
      </c>
      <c r="G257" s="2">
        <f t="shared" si="18"/>
        <v>1482911.8599999999</v>
      </c>
      <c r="H257" s="10">
        <f>'A) Base RI'!E257</f>
        <v>0</v>
      </c>
      <c r="I257" s="10">
        <f>'A) Base RI'!F257</f>
        <v>4740</v>
      </c>
      <c r="J257" s="10">
        <f>'A) Base RI'!G257+'A) Base RI'!H257</f>
        <v>31098.55</v>
      </c>
      <c r="K257" s="10">
        <f>'A) Base RI'!I257</f>
        <v>0</v>
      </c>
      <c r="L257" s="10">
        <f>'A) Base RI'!J257</f>
        <v>43441.94</v>
      </c>
      <c r="M257" s="10">
        <f>'A) Base RI'!K257</f>
        <v>3544.5</v>
      </c>
      <c r="N257" s="10">
        <f>'A) Base RI'!Q257</f>
        <v>0</v>
      </c>
      <c r="O257" s="10">
        <f t="shared" si="19"/>
        <v>103011.9</v>
      </c>
      <c r="P257" s="10">
        <f>'A) Base RI'!L257</f>
        <v>103011.9</v>
      </c>
      <c r="Q257" s="37">
        <f>'A) Base RI'!AR257</f>
        <v>1</v>
      </c>
      <c r="R257" s="2">
        <f t="shared" si="20"/>
        <v>1668748.7499999998</v>
      </c>
      <c r="S257" s="36">
        <f>'A) Base RI'!AM257</f>
        <v>79.5</v>
      </c>
      <c r="T257" s="2">
        <f t="shared" si="21"/>
        <v>1557452.3499999999</v>
      </c>
      <c r="U257" s="2">
        <f t="shared" si="22"/>
        <v>20990.550314465407</v>
      </c>
      <c r="V257" s="10">
        <f>'A) Base RI'!O257</f>
        <v>8052</v>
      </c>
      <c r="W257" s="10">
        <f>'A) Base RI'!P257</f>
        <v>42546.75</v>
      </c>
      <c r="X257" s="10">
        <f>'A) Base RI'!R257</f>
        <v>25765.45</v>
      </c>
      <c r="Y257" s="2">
        <f t="shared" si="23"/>
        <v>76364.2</v>
      </c>
      <c r="Z257" s="10">
        <f>'A) Base RI'!N257</f>
        <v>254.85</v>
      </c>
      <c r="AA257" s="10">
        <f>'A) Base RI'!S257+'A) Base RI'!T257</f>
        <v>0</v>
      </c>
      <c r="AB257" s="10">
        <f>+'A) Base RI'!U257</f>
        <v>4125</v>
      </c>
      <c r="AC257" s="10">
        <f>'A) Base RI'!V257</f>
        <v>0</v>
      </c>
      <c r="AD257" s="10">
        <f>+'A) Base RI'!W257</f>
        <v>0</v>
      </c>
      <c r="AE257" s="10">
        <f>'A) Base RI'!Y257</f>
        <v>78148.149999999994</v>
      </c>
      <c r="AF257" s="10">
        <f>'A) Base RI'!Z257</f>
        <v>0</v>
      </c>
      <c r="AG257" s="10">
        <f>'A) Base RI'!AA257</f>
        <v>235681.3</v>
      </c>
      <c r="AH257" s="10">
        <f>'A) Base RI'!AB257</f>
        <v>0</v>
      </c>
      <c r="AI257" s="10">
        <f>'A) Base RI'!AC257</f>
        <v>69815.75</v>
      </c>
      <c r="AJ257" s="10">
        <f>'A) Base RI'!AD257</f>
        <v>45277.5</v>
      </c>
      <c r="AK257" s="10">
        <f>'A) Base RI'!AE257</f>
        <v>0</v>
      </c>
      <c r="AL257" s="10">
        <f>'A) Base RI'!AF257</f>
        <v>0</v>
      </c>
      <c r="AM257" s="10">
        <f>'A) Base RI'!AG257</f>
        <v>0</v>
      </c>
      <c r="AN257" s="10">
        <f>'A) Base RI'!AH257</f>
        <v>27102.15</v>
      </c>
      <c r="AO257" s="10">
        <f>'A) Base RI'!AI257</f>
        <v>0</v>
      </c>
      <c r="AP257" s="10">
        <f>'A) Base RI'!AJ257</f>
        <v>0</v>
      </c>
      <c r="AQ257" s="10">
        <f>'A) Base RI'!AK257</f>
        <v>0</v>
      </c>
      <c r="AR257" s="10">
        <f>'A) Base RI'!AN257</f>
        <v>885</v>
      </c>
    </row>
    <row r="258" spans="1:44" x14ac:dyDescent="0.25">
      <c r="A258" s="8">
        <f>'A) Base RI'!A258</f>
        <v>5819</v>
      </c>
      <c r="B258" s="35" t="str">
        <f>'A) Base RI'!B258</f>
        <v>Henniez</v>
      </c>
      <c r="C258" s="10">
        <f>'A) Base RI'!C258+'A) Base RI'!D258</f>
        <v>435144.9</v>
      </c>
      <c r="D258" s="10">
        <f>'A) Base RI'!AO258</f>
        <v>-8398.57</v>
      </c>
      <c r="E258" s="34">
        <f>'A) Base RI'!AP258</f>
        <v>0</v>
      </c>
      <c r="F258" s="34">
        <f>'A) Base RI'!AQ258</f>
        <v>-250.6</v>
      </c>
      <c r="G258" s="2">
        <f t="shared" si="18"/>
        <v>426495.73000000004</v>
      </c>
      <c r="H258" s="10">
        <f>'A) Base RI'!E258</f>
        <v>0</v>
      </c>
      <c r="I258" s="10">
        <f>'A) Base RI'!F258</f>
        <v>0</v>
      </c>
      <c r="J258" s="10">
        <f>'A) Base RI'!G258+'A) Base RI'!H258</f>
        <v>454418.1</v>
      </c>
      <c r="K258" s="10">
        <f>'A) Base RI'!I258</f>
        <v>0</v>
      </c>
      <c r="L258" s="10">
        <f>'A) Base RI'!J258</f>
        <v>44083.09</v>
      </c>
      <c r="M258" s="10">
        <f>'A) Base RI'!K258</f>
        <v>1413.3</v>
      </c>
      <c r="N258" s="10">
        <f>'A) Base RI'!Q258</f>
        <v>1270.77</v>
      </c>
      <c r="O258" s="10">
        <f t="shared" si="19"/>
        <v>73951.850000000006</v>
      </c>
      <c r="P258" s="10">
        <f>'A) Base RI'!L258</f>
        <v>73951.850000000006</v>
      </c>
      <c r="Q258" s="37">
        <f>'A) Base RI'!AR258</f>
        <v>1</v>
      </c>
      <c r="R258" s="2">
        <f t="shared" si="20"/>
        <v>1001632.8400000001</v>
      </c>
      <c r="S258" s="36">
        <f>'A) Base RI'!AM258</f>
        <v>67</v>
      </c>
      <c r="T258" s="2">
        <f t="shared" si="21"/>
        <v>926267.69000000006</v>
      </c>
      <c r="U258" s="2">
        <f t="shared" si="22"/>
        <v>14949.743880597016</v>
      </c>
      <c r="V258" s="10">
        <f>'A) Base RI'!O258</f>
        <v>287.8</v>
      </c>
      <c r="W258" s="10">
        <f>'A) Base RI'!P258</f>
        <v>24893</v>
      </c>
      <c r="X258" s="10">
        <f>'A) Base RI'!R258</f>
        <v>11659.3</v>
      </c>
      <c r="Y258" s="2">
        <f t="shared" si="23"/>
        <v>36840.1</v>
      </c>
      <c r="Z258" s="10">
        <f>'A) Base RI'!N258</f>
        <v>18513.650000000001</v>
      </c>
      <c r="AA258" s="10">
        <f>'A) Base RI'!S258+'A) Base RI'!T258</f>
        <v>0</v>
      </c>
      <c r="AB258" s="10">
        <f>+'A) Base RI'!U258</f>
        <v>890</v>
      </c>
      <c r="AC258" s="10">
        <f>'A) Base RI'!V258</f>
        <v>0</v>
      </c>
      <c r="AD258" s="10">
        <f>+'A) Base RI'!W258</f>
        <v>0</v>
      </c>
      <c r="AE258" s="10">
        <f>'A) Base RI'!Y258</f>
        <v>7373.62</v>
      </c>
      <c r="AF258" s="10">
        <f>'A) Base RI'!Z258</f>
        <v>0</v>
      </c>
      <c r="AG258" s="10">
        <f>'A) Base RI'!AA258</f>
        <v>16421.599999999999</v>
      </c>
      <c r="AH258" s="10">
        <f>'A) Base RI'!AB258</f>
        <v>0</v>
      </c>
      <c r="AI258" s="10">
        <f>'A) Base RI'!AC258</f>
        <v>35622.199999999997</v>
      </c>
      <c r="AJ258" s="10">
        <f>'A) Base RI'!AD258</f>
        <v>2551.75</v>
      </c>
      <c r="AK258" s="10">
        <f>'A) Base RI'!AE258</f>
        <v>0</v>
      </c>
      <c r="AL258" s="10">
        <f>'A) Base RI'!AF258</f>
        <v>0</v>
      </c>
      <c r="AM258" s="10">
        <f>'A) Base RI'!AG258</f>
        <v>0</v>
      </c>
      <c r="AN258" s="10">
        <f>'A) Base RI'!AH258</f>
        <v>0</v>
      </c>
      <c r="AO258" s="10">
        <f>'A) Base RI'!AI258</f>
        <v>0</v>
      </c>
      <c r="AP258" s="10">
        <f>'A) Base RI'!AJ258</f>
        <v>0</v>
      </c>
      <c r="AQ258" s="10">
        <f>'A) Base RI'!AK258</f>
        <v>0</v>
      </c>
      <c r="AR258" s="10">
        <f>'A) Base RI'!AN258</f>
        <v>338</v>
      </c>
    </row>
    <row r="259" spans="1:44" x14ac:dyDescent="0.25">
      <c r="A259" s="8">
        <f>'A) Base RI'!A259</f>
        <v>5821</v>
      </c>
      <c r="B259" s="35" t="str">
        <f>'A) Base RI'!B259</f>
        <v>Missy</v>
      </c>
      <c r="C259" s="10">
        <f>'A) Base RI'!C259+'A) Base RI'!D259</f>
        <v>472148.08</v>
      </c>
      <c r="D259" s="10">
        <f>'A) Base RI'!AO259</f>
        <v>-12516.84</v>
      </c>
      <c r="E259" s="34">
        <f>'A) Base RI'!AP259</f>
        <v>0</v>
      </c>
      <c r="F259" s="34">
        <f>'A) Base RI'!AQ259</f>
        <v>0</v>
      </c>
      <c r="G259" s="2">
        <f t="shared" si="18"/>
        <v>459631.24</v>
      </c>
      <c r="H259" s="10">
        <f>'A) Base RI'!E259</f>
        <v>0</v>
      </c>
      <c r="I259" s="10">
        <f>'A) Base RI'!F259</f>
        <v>0</v>
      </c>
      <c r="J259" s="10">
        <f>'A) Base RI'!G259+'A) Base RI'!H259</f>
        <v>5519.8</v>
      </c>
      <c r="K259" s="10">
        <f>'A) Base RI'!I259</f>
        <v>0</v>
      </c>
      <c r="L259" s="10">
        <f>'A) Base RI'!J259</f>
        <v>32243.17</v>
      </c>
      <c r="M259" s="10">
        <f>'A) Base RI'!K259</f>
        <v>1306.5</v>
      </c>
      <c r="N259" s="10">
        <f>'A) Base RI'!Q259</f>
        <v>15611.6</v>
      </c>
      <c r="O259" s="10">
        <f t="shared" si="19"/>
        <v>45578.3</v>
      </c>
      <c r="P259" s="10">
        <f>'A) Base RI'!L259</f>
        <v>45578.3</v>
      </c>
      <c r="Q259" s="37">
        <f>'A) Base RI'!AR259</f>
        <v>1</v>
      </c>
      <c r="R259" s="2">
        <f t="shared" si="20"/>
        <v>559890.61</v>
      </c>
      <c r="S259" s="36">
        <f>'A) Base RI'!AM259</f>
        <v>72</v>
      </c>
      <c r="T259" s="2">
        <f t="shared" si="21"/>
        <v>513005.80999999994</v>
      </c>
      <c r="U259" s="2">
        <f t="shared" si="22"/>
        <v>7776.2584722222218</v>
      </c>
      <c r="V259" s="10">
        <f>'A) Base RI'!O259</f>
        <v>0</v>
      </c>
      <c r="W259" s="10">
        <f>'A) Base RI'!P259</f>
        <v>24211</v>
      </c>
      <c r="X259" s="10">
        <f>'A) Base RI'!R259</f>
        <v>14385.1</v>
      </c>
      <c r="Y259" s="2">
        <f t="shared" si="23"/>
        <v>38596.1</v>
      </c>
      <c r="Z259" s="10">
        <f>'A) Base RI'!N259</f>
        <v>0</v>
      </c>
      <c r="AA259" s="10">
        <f>'A) Base RI'!S259+'A) Base RI'!T259</f>
        <v>0</v>
      </c>
      <c r="AB259" s="10">
        <f>+'A) Base RI'!U259</f>
        <v>2550</v>
      </c>
      <c r="AC259" s="10">
        <f>'A) Base RI'!V259</f>
        <v>0</v>
      </c>
      <c r="AD259" s="10">
        <f>+'A) Base RI'!W259</f>
        <v>0</v>
      </c>
      <c r="AE259" s="10">
        <f>'A) Base RI'!Y259</f>
        <v>26880</v>
      </c>
      <c r="AF259" s="10">
        <f>'A) Base RI'!Z259</f>
        <v>0</v>
      </c>
      <c r="AG259" s="10">
        <f>'A) Base RI'!AA259</f>
        <v>52526.5</v>
      </c>
      <c r="AH259" s="10">
        <f>'A) Base RI'!AB259</f>
        <v>0</v>
      </c>
      <c r="AI259" s="10">
        <f>'A) Base RI'!AC259</f>
        <v>23828.3</v>
      </c>
      <c r="AJ259" s="10">
        <f>'A) Base RI'!AD259</f>
        <v>21857.7</v>
      </c>
      <c r="AK259" s="10">
        <f>'A) Base RI'!AE259</f>
        <v>0</v>
      </c>
      <c r="AL259" s="10">
        <f>'A) Base RI'!AF259</f>
        <v>0</v>
      </c>
      <c r="AM259" s="10">
        <f>'A) Base RI'!AG259</f>
        <v>0</v>
      </c>
      <c r="AN259" s="10">
        <f>'A) Base RI'!AH259</f>
        <v>8333.2999999999993</v>
      </c>
      <c r="AO259" s="10">
        <f>'A) Base RI'!AI259</f>
        <v>0</v>
      </c>
      <c r="AP259" s="10">
        <f>'A) Base RI'!AJ259</f>
        <v>72.5</v>
      </c>
      <c r="AQ259" s="10">
        <f>'A) Base RI'!AK259</f>
        <v>0</v>
      </c>
      <c r="AR259" s="10">
        <f>'A) Base RI'!AN259</f>
        <v>361</v>
      </c>
    </row>
    <row r="260" spans="1:44" x14ac:dyDescent="0.25">
      <c r="A260" s="8">
        <f>'A) Base RI'!A260</f>
        <v>5822</v>
      </c>
      <c r="B260" s="35" t="str">
        <f>'A) Base RI'!B260</f>
        <v>Payerne</v>
      </c>
      <c r="C260" s="10">
        <f>'A) Base RI'!C260+'A) Base RI'!D260</f>
        <v>13681715.35</v>
      </c>
      <c r="D260" s="10">
        <f>'A) Base RI'!AO260</f>
        <v>-513437</v>
      </c>
      <c r="E260" s="34">
        <f>'A) Base RI'!AP260</f>
        <v>0</v>
      </c>
      <c r="F260" s="34">
        <f>'A) Base RI'!AQ260</f>
        <v>-1131.3</v>
      </c>
      <c r="G260" s="2">
        <f t="shared" si="18"/>
        <v>13167147.049999999</v>
      </c>
      <c r="H260" s="10">
        <f>'A) Base RI'!E260</f>
        <v>0</v>
      </c>
      <c r="I260" s="10">
        <f>'A) Base RI'!F260</f>
        <v>0</v>
      </c>
      <c r="J260" s="10">
        <f>'A) Base RI'!G260+'A) Base RI'!H260</f>
        <v>1908993.6</v>
      </c>
      <c r="K260" s="10">
        <f>'A) Base RI'!I260</f>
        <v>0</v>
      </c>
      <c r="L260" s="10">
        <f>'A) Base RI'!J260</f>
        <v>789087.44</v>
      </c>
      <c r="M260" s="10">
        <f>'A) Base RI'!K260</f>
        <v>155208.70000000001</v>
      </c>
      <c r="N260" s="10">
        <f>'A) Base RI'!Q260</f>
        <v>122624.91</v>
      </c>
      <c r="O260" s="10">
        <f t="shared" si="19"/>
        <v>1218963.6499999999</v>
      </c>
      <c r="P260" s="10">
        <f>'A) Base RI'!L260</f>
        <v>1218963.6499999999</v>
      </c>
      <c r="Q260" s="37">
        <f>'A) Base RI'!AR260</f>
        <v>1</v>
      </c>
      <c r="R260" s="2">
        <f t="shared" si="20"/>
        <v>17362025.349999998</v>
      </c>
      <c r="S260" s="36">
        <f>'A) Base RI'!AM260</f>
        <v>75</v>
      </c>
      <c r="T260" s="2">
        <f t="shared" si="21"/>
        <v>15987852.999999998</v>
      </c>
      <c r="U260" s="2">
        <f t="shared" si="22"/>
        <v>231493.6713333333</v>
      </c>
      <c r="V260" s="10">
        <f>'A) Base RI'!O260</f>
        <v>1531872.7</v>
      </c>
      <c r="W260" s="10">
        <f>'A) Base RI'!P260</f>
        <v>548393.9</v>
      </c>
      <c r="X260" s="10">
        <f>'A) Base RI'!R260</f>
        <v>372110.4</v>
      </c>
      <c r="Y260" s="2">
        <f t="shared" si="23"/>
        <v>2452377</v>
      </c>
      <c r="Z260" s="10">
        <f>'A) Base RI'!N260</f>
        <v>64714.25</v>
      </c>
      <c r="AA260" s="10">
        <f>'A) Base RI'!S260+'A) Base RI'!T260</f>
        <v>118362.25</v>
      </c>
      <c r="AB260" s="10">
        <f>+'A) Base RI'!U260</f>
        <v>26225</v>
      </c>
      <c r="AC260" s="10">
        <f>'A) Base RI'!V260</f>
        <v>51934.15</v>
      </c>
      <c r="AD260" s="10">
        <f>+'A) Base RI'!W260</f>
        <v>0</v>
      </c>
      <c r="AE260" s="10">
        <f>'A) Base RI'!Y260</f>
        <v>911569.85</v>
      </c>
      <c r="AF260" s="10">
        <f>'A) Base RI'!Z260</f>
        <v>0</v>
      </c>
      <c r="AG260" s="10">
        <f>'A) Base RI'!AA260</f>
        <v>2241459.2999999998</v>
      </c>
      <c r="AH260" s="10">
        <f>'A) Base RI'!AB260</f>
        <v>0</v>
      </c>
      <c r="AI260" s="10">
        <f>'A) Base RI'!AC260</f>
        <v>1111882.23</v>
      </c>
      <c r="AJ260" s="10">
        <f>'A) Base RI'!AD260</f>
        <v>448966.15</v>
      </c>
      <c r="AK260" s="10">
        <f>'A) Base RI'!AE260</f>
        <v>0</v>
      </c>
      <c r="AL260" s="10">
        <f>'A) Base RI'!AF260</f>
        <v>0</v>
      </c>
      <c r="AM260" s="10">
        <f>'A) Base RI'!AG260</f>
        <v>1020</v>
      </c>
      <c r="AN260" s="10">
        <f>'A) Base RI'!AH260</f>
        <v>0</v>
      </c>
      <c r="AO260" s="10">
        <f>'A) Base RI'!AI260</f>
        <v>0</v>
      </c>
      <c r="AP260" s="10">
        <f>'A) Base RI'!AJ260</f>
        <v>0</v>
      </c>
      <c r="AQ260" s="10">
        <f>'A) Base RI'!AK260</f>
        <v>0</v>
      </c>
      <c r="AR260" s="10">
        <f>'A) Base RI'!AN260</f>
        <v>9301</v>
      </c>
    </row>
    <row r="261" spans="1:44" x14ac:dyDescent="0.25">
      <c r="A261" s="8">
        <f>'A) Base RI'!A261</f>
        <v>5827</v>
      </c>
      <c r="B261" s="35" t="str">
        <f>'A) Base RI'!B261</f>
        <v>Trey</v>
      </c>
      <c r="C261" s="10">
        <f>'A) Base RI'!C261+'A) Base RI'!D261</f>
        <v>435079.35</v>
      </c>
      <c r="D261" s="10">
        <f>'A) Base RI'!AO261</f>
        <v>-5180.71</v>
      </c>
      <c r="E261" s="34">
        <f>'A) Base RI'!AP261</f>
        <v>0</v>
      </c>
      <c r="F261" s="34">
        <f>'A) Base RI'!AQ261</f>
        <v>0</v>
      </c>
      <c r="G261" s="2">
        <f t="shared" si="18"/>
        <v>429898.63999999996</v>
      </c>
      <c r="H261" s="10">
        <f>'A) Base RI'!E261</f>
        <v>0</v>
      </c>
      <c r="I261" s="10">
        <f>'A) Base RI'!F261</f>
        <v>1370</v>
      </c>
      <c r="J261" s="10">
        <f>'A) Base RI'!G261+'A) Base RI'!H261</f>
        <v>20326.599999999999</v>
      </c>
      <c r="K261" s="10">
        <f>'A) Base RI'!I261</f>
        <v>0</v>
      </c>
      <c r="L261" s="10">
        <f>'A) Base RI'!J261</f>
        <v>16416.759999999998</v>
      </c>
      <c r="M261" s="10">
        <f>'A) Base RI'!K261</f>
        <v>112</v>
      </c>
      <c r="N261" s="10">
        <f>'A) Base RI'!Q261</f>
        <v>-5530.66</v>
      </c>
      <c r="O261" s="10">
        <f t="shared" si="19"/>
        <v>33800.050000000003</v>
      </c>
      <c r="P261" s="10">
        <f>'A) Base RI'!L261</f>
        <v>33800.050000000003</v>
      </c>
      <c r="Q261" s="37">
        <f>'A) Base RI'!AR261</f>
        <v>1</v>
      </c>
      <c r="R261" s="2">
        <f t="shared" si="20"/>
        <v>496393.38999999996</v>
      </c>
      <c r="S261" s="36">
        <f>'A) Base RI'!AM261</f>
        <v>80</v>
      </c>
      <c r="T261" s="2">
        <f t="shared" si="21"/>
        <v>461111.33999999997</v>
      </c>
      <c r="U261" s="2">
        <f t="shared" si="22"/>
        <v>6204.9173749999991</v>
      </c>
      <c r="V261" s="10">
        <f>'A) Base RI'!O261</f>
        <v>0</v>
      </c>
      <c r="W261" s="10">
        <f>'A) Base RI'!P261</f>
        <v>25635.4</v>
      </c>
      <c r="X261" s="10">
        <f>'A) Base RI'!R261</f>
        <v>33020.9</v>
      </c>
      <c r="Y261" s="2">
        <f t="shared" si="23"/>
        <v>58656.3</v>
      </c>
      <c r="Z261" s="10">
        <f>'A) Base RI'!N261</f>
        <v>24264.25</v>
      </c>
      <c r="AA261" s="10">
        <f>'A) Base RI'!S261+'A) Base RI'!T261</f>
        <v>0</v>
      </c>
      <c r="AB261" s="10">
        <f>+'A) Base RI'!U261</f>
        <v>1525</v>
      </c>
      <c r="AC261" s="10">
        <f>'A) Base RI'!V261</f>
        <v>0</v>
      </c>
      <c r="AD261" s="10">
        <f>+'A) Base RI'!W261</f>
        <v>0</v>
      </c>
      <c r="AE261" s="10">
        <f>'A) Base RI'!Y261</f>
        <v>0</v>
      </c>
      <c r="AF261" s="10">
        <f>'A) Base RI'!Z261</f>
        <v>0</v>
      </c>
      <c r="AG261" s="10">
        <f>'A) Base RI'!AA261</f>
        <v>42364.4</v>
      </c>
      <c r="AH261" s="10">
        <f>'A) Base RI'!AB261</f>
        <v>0</v>
      </c>
      <c r="AI261" s="10">
        <f>'A) Base RI'!AC261</f>
        <v>13100</v>
      </c>
      <c r="AJ261" s="10">
        <f>'A) Base RI'!AD261</f>
        <v>0</v>
      </c>
      <c r="AK261" s="10">
        <f>'A) Base RI'!AE261</f>
        <v>0</v>
      </c>
      <c r="AL261" s="10">
        <f>'A) Base RI'!AF261</f>
        <v>0</v>
      </c>
      <c r="AM261" s="10">
        <f>'A) Base RI'!AG261</f>
        <v>0</v>
      </c>
      <c r="AN261" s="10">
        <f>'A) Base RI'!AH261</f>
        <v>0</v>
      </c>
      <c r="AO261" s="10">
        <f>'A) Base RI'!AI261</f>
        <v>0</v>
      </c>
      <c r="AP261" s="10">
        <f>'A) Base RI'!AJ261</f>
        <v>0</v>
      </c>
      <c r="AQ261" s="10">
        <f>'A) Base RI'!AK261</f>
        <v>0</v>
      </c>
      <c r="AR261" s="10">
        <f>'A) Base RI'!AN261</f>
        <v>260</v>
      </c>
    </row>
    <row r="262" spans="1:44" x14ac:dyDescent="0.25">
      <c r="A262" s="8">
        <f>'A) Base RI'!A262</f>
        <v>5828</v>
      </c>
      <c r="B262" s="35" t="str">
        <f>'A) Base RI'!B262</f>
        <v>Treytorrens (Payerne)</v>
      </c>
      <c r="C262" s="10">
        <f>'A) Base RI'!C262+'A) Base RI'!D262</f>
        <v>179465.72</v>
      </c>
      <c r="D262" s="10">
        <f>'A) Base RI'!AO262</f>
        <v>-4036</v>
      </c>
      <c r="E262" s="34">
        <f>'A) Base RI'!AP262</f>
        <v>0</v>
      </c>
      <c r="F262" s="34">
        <f>'A) Base RI'!AQ262</f>
        <v>-0.13</v>
      </c>
      <c r="G262" s="2">
        <f t="shared" si="18"/>
        <v>175429.59</v>
      </c>
      <c r="H262" s="10">
        <f>'A) Base RI'!E262</f>
        <v>0</v>
      </c>
      <c r="I262" s="10">
        <f>'A) Base RI'!F262</f>
        <v>0</v>
      </c>
      <c r="J262" s="10">
        <f>'A) Base RI'!G262+'A) Base RI'!H262</f>
        <v>1249.45</v>
      </c>
      <c r="K262" s="10">
        <f>'A) Base RI'!I262</f>
        <v>0</v>
      </c>
      <c r="L262" s="10">
        <f>'A) Base RI'!J262</f>
        <v>1499.69</v>
      </c>
      <c r="M262" s="10">
        <f>'A) Base RI'!K262</f>
        <v>0</v>
      </c>
      <c r="N262" s="10">
        <f>'A) Base RI'!Q262</f>
        <v>5785.05</v>
      </c>
      <c r="O262" s="10">
        <f t="shared" si="19"/>
        <v>13649.199999999999</v>
      </c>
      <c r="P262" s="10">
        <f>'A) Base RI'!L262</f>
        <v>20473.8</v>
      </c>
      <c r="Q262" s="37">
        <f>'A) Base RI'!AR262</f>
        <v>1.5</v>
      </c>
      <c r="R262" s="2">
        <f t="shared" si="20"/>
        <v>197612.98</v>
      </c>
      <c r="S262" s="36">
        <f>'A) Base RI'!AM262</f>
        <v>84</v>
      </c>
      <c r="T262" s="2">
        <f t="shared" si="21"/>
        <v>183963.78</v>
      </c>
      <c r="U262" s="2">
        <f t="shared" si="22"/>
        <v>2352.5354761904764</v>
      </c>
      <c r="V262" s="10">
        <f>'A) Base RI'!O262</f>
        <v>892.6</v>
      </c>
      <c r="W262" s="10">
        <f>'A) Base RI'!P262</f>
        <v>4015.9</v>
      </c>
      <c r="X262" s="10">
        <f>'A) Base RI'!R262</f>
        <v>5391.1</v>
      </c>
      <c r="Y262" s="2">
        <f t="shared" si="23"/>
        <v>10299.6</v>
      </c>
      <c r="Z262" s="10">
        <f>'A) Base RI'!N262</f>
        <v>0</v>
      </c>
      <c r="AA262" s="10">
        <f>'A) Base RI'!S262+'A) Base RI'!T262</f>
        <v>0</v>
      </c>
      <c r="AB262" s="10">
        <f>+'A) Base RI'!U262</f>
        <v>520</v>
      </c>
      <c r="AC262" s="10">
        <f>'A) Base RI'!V262</f>
        <v>0</v>
      </c>
      <c r="AD262" s="10">
        <f>+'A) Base RI'!W262</f>
        <v>0</v>
      </c>
      <c r="AE262" s="10">
        <f>'A) Base RI'!Y262</f>
        <v>0</v>
      </c>
      <c r="AF262" s="10">
        <f>'A) Base RI'!Z262</f>
        <v>0</v>
      </c>
      <c r="AG262" s="10">
        <f>'A) Base RI'!AA262</f>
        <v>20534.5</v>
      </c>
      <c r="AH262" s="10">
        <f>'A) Base RI'!AB262</f>
        <v>0</v>
      </c>
      <c r="AI262" s="10">
        <f>'A) Base RI'!AC262</f>
        <v>11034.75</v>
      </c>
      <c r="AJ262" s="10">
        <f>'A) Base RI'!AD262</f>
        <v>0</v>
      </c>
      <c r="AK262" s="10">
        <f>'A) Base RI'!AE262</f>
        <v>0</v>
      </c>
      <c r="AL262" s="10">
        <f>'A) Base RI'!AF262</f>
        <v>0</v>
      </c>
      <c r="AM262" s="10">
        <f>'A) Base RI'!AG262</f>
        <v>0</v>
      </c>
      <c r="AN262" s="10">
        <f>'A) Base RI'!AH262</f>
        <v>2731.3</v>
      </c>
      <c r="AO262" s="10">
        <f>'A) Base RI'!AI262</f>
        <v>0</v>
      </c>
      <c r="AP262" s="10">
        <f>'A) Base RI'!AJ262</f>
        <v>0</v>
      </c>
      <c r="AQ262" s="10">
        <f>'A) Base RI'!AK262</f>
        <v>0</v>
      </c>
      <c r="AR262" s="10">
        <f>'A) Base RI'!AN262</f>
        <v>131</v>
      </c>
    </row>
    <row r="263" spans="1:44" x14ac:dyDescent="0.25">
      <c r="A263" s="8">
        <f>'A) Base RI'!A263</f>
        <v>5830</v>
      </c>
      <c r="B263" s="35" t="str">
        <f>'A) Base RI'!B263</f>
        <v>Villarzel</v>
      </c>
      <c r="C263" s="10">
        <f>'A) Base RI'!C263+'A) Base RI'!D263</f>
        <v>707188.68</v>
      </c>
      <c r="D263" s="10">
        <f>'A) Base RI'!AO263</f>
        <v>-13598.79</v>
      </c>
      <c r="E263" s="34">
        <f>'A) Base RI'!AP263</f>
        <v>0</v>
      </c>
      <c r="F263" s="34">
        <f>'A) Base RI'!AQ263</f>
        <v>-6.08</v>
      </c>
      <c r="G263" s="2">
        <f t="shared" si="18"/>
        <v>693583.81</v>
      </c>
      <c r="H263" s="10">
        <f>'A) Base RI'!E263</f>
        <v>0</v>
      </c>
      <c r="I263" s="10">
        <f>'A) Base RI'!F263</f>
        <v>2490</v>
      </c>
      <c r="J263" s="10">
        <f>'A) Base RI'!G263+'A) Base RI'!H263</f>
        <v>7384.55</v>
      </c>
      <c r="K263" s="10">
        <f>'A) Base RI'!I263</f>
        <v>0</v>
      </c>
      <c r="L263" s="10">
        <f>'A) Base RI'!J263</f>
        <v>10967.04</v>
      </c>
      <c r="M263" s="10">
        <f>'A) Base RI'!K263</f>
        <v>1360.5</v>
      </c>
      <c r="N263" s="10">
        <f>'A) Base RI'!Q263</f>
        <v>0</v>
      </c>
      <c r="O263" s="10">
        <f t="shared" si="19"/>
        <v>53467.85</v>
      </c>
      <c r="P263" s="10">
        <f>'A) Base RI'!L263</f>
        <v>53467.85</v>
      </c>
      <c r="Q263" s="37">
        <f>'A) Base RI'!AR263</f>
        <v>1</v>
      </c>
      <c r="R263" s="2">
        <f t="shared" si="20"/>
        <v>769253.75000000012</v>
      </c>
      <c r="S263" s="36">
        <f>'A) Base RI'!AM263</f>
        <v>79</v>
      </c>
      <c r="T263" s="2">
        <f t="shared" si="21"/>
        <v>711935.40000000014</v>
      </c>
      <c r="U263" s="2">
        <f t="shared" si="22"/>
        <v>9737.3892405063307</v>
      </c>
      <c r="V263" s="10">
        <f>'A) Base RI'!O263</f>
        <v>0</v>
      </c>
      <c r="W263" s="10">
        <f>'A) Base RI'!P263</f>
        <v>28417.85</v>
      </c>
      <c r="X263" s="10">
        <f>'A) Base RI'!R263</f>
        <v>28796.7</v>
      </c>
      <c r="Y263" s="2">
        <f t="shared" si="23"/>
        <v>57214.55</v>
      </c>
      <c r="Z263" s="10">
        <f>'A) Base RI'!N263</f>
        <v>0</v>
      </c>
      <c r="AA263" s="10">
        <f>'A) Base RI'!S263+'A) Base RI'!T263</f>
        <v>0</v>
      </c>
      <c r="AB263" s="10">
        <f>+'A) Base RI'!U263</f>
        <v>2400</v>
      </c>
      <c r="AC263" s="10">
        <f>'A) Base RI'!V263</f>
        <v>0</v>
      </c>
      <c r="AD263" s="10">
        <f>+'A) Base RI'!W263</f>
        <v>0</v>
      </c>
      <c r="AE263" s="10">
        <f>'A) Base RI'!Y263</f>
        <v>7000</v>
      </c>
      <c r="AF263" s="10">
        <f>'A) Base RI'!Z263</f>
        <v>0</v>
      </c>
      <c r="AG263" s="10">
        <f>'A) Base RI'!AA263</f>
        <v>58523.85</v>
      </c>
      <c r="AH263" s="10">
        <f>'A) Base RI'!AB263</f>
        <v>0</v>
      </c>
      <c r="AI263" s="10">
        <f>'A) Base RI'!AC263</f>
        <v>25601.7</v>
      </c>
      <c r="AJ263" s="10">
        <f>'A) Base RI'!AD263</f>
        <v>2000</v>
      </c>
      <c r="AK263" s="10">
        <f>'A) Base RI'!AE263</f>
        <v>0</v>
      </c>
      <c r="AL263" s="10">
        <f>'A) Base RI'!AF263</f>
        <v>0</v>
      </c>
      <c r="AM263" s="10">
        <f>'A) Base RI'!AG263</f>
        <v>0</v>
      </c>
      <c r="AN263" s="10">
        <f>'A) Base RI'!AH263</f>
        <v>0</v>
      </c>
      <c r="AO263" s="10">
        <f>'A) Base RI'!AI263</f>
        <v>0</v>
      </c>
      <c r="AP263" s="10">
        <f>'A) Base RI'!AJ263</f>
        <v>0</v>
      </c>
      <c r="AQ263" s="10">
        <f>'A) Base RI'!AK263</f>
        <v>0</v>
      </c>
      <c r="AR263" s="10">
        <f>'A) Base RI'!AN263</f>
        <v>424</v>
      </c>
    </row>
    <row r="264" spans="1:44" x14ac:dyDescent="0.25">
      <c r="A264" s="8">
        <f>'A) Base RI'!A264</f>
        <v>5831</v>
      </c>
      <c r="B264" s="35" t="str">
        <f>'A) Base RI'!B264</f>
        <v>Valbroye</v>
      </c>
      <c r="C264" s="10">
        <f>'A) Base RI'!C264+'A) Base RI'!D264</f>
        <v>4593737.87</v>
      </c>
      <c r="D264" s="10">
        <f>'A) Base RI'!AO264</f>
        <v>-83670.2</v>
      </c>
      <c r="E264" s="34">
        <f>'A) Base RI'!AP264</f>
        <v>0</v>
      </c>
      <c r="F264" s="34">
        <f>'A) Base RI'!AQ264</f>
        <v>-150.69</v>
      </c>
      <c r="G264" s="2">
        <f t="shared" ref="G264:G324" si="24">SUM(C264:F264)</f>
        <v>4509916.9799999995</v>
      </c>
      <c r="H264" s="10">
        <f>'A) Base RI'!E264</f>
        <v>0</v>
      </c>
      <c r="I264" s="10">
        <f>'A) Base RI'!F264</f>
        <v>0</v>
      </c>
      <c r="J264" s="10">
        <f>'A) Base RI'!G264+'A) Base RI'!H264</f>
        <v>416448.7</v>
      </c>
      <c r="K264" s="10">
        <f>'A) Base RI'!I264</f>
        <v>0</v>
      </c>
      <c r="L264" s="10">
        <f>'A) Base RI'!J264</f>
        <v>157629.22</v>
      </c>
      <c r="M264" s="10">
        <f>'A) Base RI'!K264</f>
        <v>15634.5</v>
      </c>
      <c r="N264" s="10">
        <f>'A) Base RI'!Q264</f>
        <v>-1331.71</v>
      </c>
      <c r="O264" s="10">
        <f t="shared" ref="O264:O324" si="25">(P264/Q264)*1</f>
        <v>387118.83333333331</v>
      </c>
      <c r="P264" s="10">
        <f>'A) Base RI'!L264</f>
        <v>232271.3</v>
      </c>
      <c r="Q264" s="37">
        <f>'A) Base RI'!AR264</f>
        <v>0.6</v>
      </c>
      <c r="R264" s="2">
        <f t="shared" ref="R264:R324" si="26">SUM(G264:O264)</f>
        <v>5485416.5233333325</v>
      </c>
      <c r="S264" s="36">
        <f>'A) Base RI'!AM264</f>
        <v>73</v>
      </c>
      <c r="T264" s="2">
        <f t="shared" ref="T264:T324" si="27">(G264+H264+J264+K264+L264+N264)</f>
        <v>5082663.1899999995</v>
      </c>
      <c r="U264" s="2">
        <f t="shared" ref="U264:U324" si="28">R264/S264</f>
        <v>75142.69210045661</v>
      </c>
      <c r="V264" s="10">
        <f>'A) Base RI'!O264</f>
        <v>109325.7</v>
      </c>
      <c r="W264" s="10">
        <f>'A) Base RI'!P264</f>
        <v>128402.45</v>
      </c>
      <c r="X264" s="10">
        <f>'A) Base RI'!R264</f>
        <v>84098.85</v>
      </c>
      <c r="Y264" s="2">
        <f t="shared" ref="Y264:Y324" si="29">SUM(V264:X264)</f>
        <v>321827</v>
      </c>
      <c r="Z264" s="10">
        <f>'A) Base RI'!N264</f>
        <v>31674.95</v>
      </c>
      <c r="AA264" s="10">
        <f>'A) Base RI'!S264+'A) Base RI'!T264</f>
        <v>0</v>
      </c>
      <c r="AB264" s="10">
        <f>+'A) Base RI'!U264</f>
        <v>15225</v>
      </c>
      <c r="AC264" s="10">
        <f>'A) Base RI'!V264</f>
        <v>0</v>
      </c>
      <c r="AD264" s="10">
        <f>+'A) Base RI'!W264</f>
        <v>0</v>
      </c>
      <c r="AE264" s="10">
        <f>'A) Base RI'!Y264</f>
        <v>223742</v>
      </c>
      <c r="AF264" s="10">
        <f>'A) Base RI'!Z264</f>
        <v>0</v>
      </c>
      <c r="AG264" s="10">
        <f>'A) Base RI'!AA264</f>
        <v>307880.7</v>
      </c>
      <c r="AH264" s="10">
        <f>'A) Base RI'!AB264</f>
        <v>0</v>
      </c>
      <c r="AI264" s="10">
        <f>'A) Base RI'!AC264</f>
        <v>255299.57</v>
      </c>
      <c r="AJ264" s="10">
        <f>'A) Base RI'!AD264</f>
        <v>57946.45</v>
      </c>
      <c r="AK264" s="10">
        <f>'A) Base RI'!AE264</f>
        <v>0</v>
      </c>
      <c r="AL264" s="10">
        <f>'A) Base RI'!AF264</f>
        <v>0</v>
      </c>
      <c r="AM264" s="10">
        <f>'A) Base RI'!AG264</f>
        <v>0</v>
      </c>
      <c r="AN264" s="10">
        <f>'A) Base RI'!AH264</f>
        <v>133426.95000000001</v>
      </c>
      <c r="AO264" s="10">
        <f>'A) Base RI'!AI264</f>
        <v>0</v>
      </c>
      <c r="AP264" s="10">
        <f>'A) Base RI'!AJ264</f>
        <v>0</v>
      </c>
      <c r="AQ264" s="10">
        <f>'A) Base RI'!AK264</f>
        <v>0</v>
      </c>
      <c r="AR264" s="10">
        <f>'A) Base RI'!AN264</f>
        <v>2974</v>
      </c>
    </row>
    <row r="265" spans="1:44" x14ac:dyDescent="0.25">
      <c r="A265" s="8">
        <f>'A) Base RI'!A265</f>
        <v>5841</v>
      </c>
      <c r="B265" s="35" t="str">
        <f>'A) Base RI'!B265</f>
        <v>Château-d'Oex</v>
      </c>
      <c r="C265" s="10">
        <f>'A) Base RI'!C265+'A) Base RI'!D265</f>
        <v>6833502.5800000001</v>
      </c>
      <c r="D265" s="10">
        <f>'A) Base RI'!AO265</f>
        <v>-188026.66</v>
      </c>
      <c r="E265" s="34">
        <f>'A) Base RI'!AP265</f>
        <v>0</v>
      </c>
      <c r="F265" s="34">
        <f>'A) Base RI'!AQ265</f>
        <v>-800.02</v>
      </c>
      <c r="G265" s="2">
        <f t="shared" si="24"/>
        <v>6644675.9000000004</v>
      </c>
      <c r="H265" s="10">
        <f>'A) Base RI'!E265</f>
        <v>0</v>
      </c>
      <c r="I265" s="10">
        <f>'A) Base RI'!F265</f>
        <v>0</v>
      </c>
      <c r="J265" s="10">
        <f>'A) Base RI'!G265+'A) Base RI'!H265</f>
        <v>409438.05</v>
      </c>
      <c r="K265" s="10">
        <f>'A) Base RI'!I265</f>
        <v>448662.6</v>
      </c>
      <c r="L265" s="10">
        <f>'A) Base RI'!J265</f>
        <v>394498.73</v>
      </c>
      <c r="M265" s="10">
        <f>'A) Base RI'!K265</f>
        <v>32864</v>
      </c>
      <c r="N265" s="10">
        <f>'A) Base RI'!Q265</f>
        <v>17982.62</v>
      </c>
      <c r="O265" s="10">
        <f t="shared" si="25"/>
        <v>887838.91999999993</v>
      </c>
      <c r="P265" s="10">
        <f>'A) Base RI'!L265</f>
        <v>1331758.3799999999</v>
      </c>
      <c r="Q265" s="37">
        <f>'A) Base RI'!AR265</f>
        <v>1.5</v>
      </c>
      <c r="R265" s="2">
        <f t="shared" si="26"/>
        <v>8835960.8200000003</v>
      </c>
      <c r="S265" s="36">
        <f>'A) Base RI'!AM265</f>
        <v>83</v>
      </c>
      <c r="T265" s="2">
        <f t="shared" si="27"/>
        <v>7915257.8999999994</v>
      </c>
      <c r="U265" s="2">
        <f t="shared" si="28"/>
        <v>106457.35927710844</v>
      </c>
      <c r="V265" s="10">
        <f>'A) Base RI'!O265</f>
        <v>316487.7</v>
      </c>
      <c r="W265" s="10">
        <f>'A) Base RI'!P265</f>
        <v>445879.5</v>
      </c>
      <c r="X265" s="10">
        <f>'A) Base RI'!R265</f>
        <v>405446.1</v>
      </c>
      <c r="Y265" s="2">
        <f t="shared" si="29"/>
        <v>1167813.2999999998</v>
      </c>
      <c r="Z265" s="10">
        <f>'A) Base RI'!N265</f>
        <v>0</v>
      </c>
      <c r="AA265" s="10">
        <f>'A) Base RI'!S265+'A) Base RI'!T265</f>
        <v>35444.300000000003</v>
      </c>
      <c r="AB265" s="10">
        <f>+'A) Base RI'!U265</f>
        <v>22920</v>
      </c>
      <c r="AC265" s="10">
        <f>'A) Base RI'!V265</f>
        <v>943.3</v>
      </c>
      <c r="AD265" s="10">
        <f>+'A) Base RI'!W265</f>
        <v>0</v>
      </c>
      <c r="AE265" s="10">
        <f>'A) Base RI'!Y265</f>
        <v>156918.57999999999</v>
      </c>
      <c r="AF265" s="10">
        <f>'A) Base RI'!Z265</f>
        <v>0</v>
      </c>
      <c r="AG265" s="10">
        <f>'A) Base RI'!AA265</f>
        <v>1072117.04</v>
      </c>
      <c r="AH265" s="10">
        <f>'A) Base RI'!AB265</f>
        <v>0</v>
      </c>
      <c r="AI265" s="10">
        <f>'A) Base RI'!AC265</f>
        <v>619081.23</v>
      </c>
      <c r="AJ265" s="10">
        <f>'A) Base RI'!AD265</f>
        <v>0</v>
      </c>
      <c r="AK265" s="10">
        <f>'A) Base RI'!AE265</f>
        <v>0</v>
      </c>
      <c r="AL265" s="10">
        <f>'A) Base RI'!AF265</f>
        <v>0</v>
      </c>
      <c r="AM265" s="10">
        <f>'A) Base RI'!AG265</f>
        <v>516636.9</v>
      </c>
      <c r="AN265" s="10">
        <f>'A) Base RI'!AH265</f>
        <v>158665.9</v>
      </c>
      <c r="AO265" s="10">
        <f>'A) Base RI'!AI265</f>
        <v>0</v>
      </c>
      <c r="AP265" s="10">
        <f>'A) Base RI'!AJ265</f>
        <v>0</v>
      </c>
      <c r="AQ265" s="10">
        <f>'A) Base RI'!AK265</f>
        <v>0</v>
      </c>
      <c r="AR265" s="10">
        <f>'A) Base RI'!AN265</f>
        <v>3477</v>
      </c>
    </row>
    <row r="266" spans="1:44" x14ac:dyDescent="0.25">
      <c r="A266" s="8">
        <f>'A) Base RI'!A266</f>
        <v>5842</v>
      </c>
      <c r="B266" s="35" t="str">
        <f>'A) Base RI'!B266</f>
        <v>Rossinière</v>
      </c>
      <c r="C266" s="10">
        <f>'A) Base RI'!C266+'A) Base RI'!D266</f>
        <v>968130.45</v>
      </c>
      <c r="D266" s="10">
        <f>'A) Base RI'!AO266</f>
        <v>-6930.42</v>
      </c>
      <c r="E266" s="34">
        <f>'A) Base RI'!AP266</f>
        <v>0</v>
      </c>
      <c r="F266" s="34">
        <f>'A) Base RI'!AQ266</f>
        <v>-418.58</v>
      </c>
      <c r="G266" s="2">
        <f t="shared" si="24"/>
        <v>960781.45</v>
      </c>
      <c r="H266" s="10">
        <f>'A) Base RI'!E266</f>
        <v>0</v>
      </c>
      <c r="I266" s="10">
        <f>'A) Base RI'!F266</f>
        <v>0</v>
      </c>
      <c r="J266" s="10">
        <f>'A) Base RI'!G266+'A) Base RI'!H266</f>
        <v>12191.15</v>
      </c>
      <c r="K266" s="10">
        <f>'A) Base RI'!I266</f>
        <v>20833.599999999999</v>
      </c>
      <c r="L266" s="10">
        <f>'A) Base RI'!J266</f>
        <v>16773.27</v>
      </c>
      <c r="M266" s="10">
        <f>'A) Base RI'!K266</f>
        <v>387.5</v>
      </c>
      <c r="N266" s="10">
        <f>'A) Base RI'!Q266</f>
        <v>0</v>
      </c>
      <c r="O266" s="10">
        <f t="shared" si="25"/>
        <v>84104.400000000009</v>
      </c>
      <c r="P266" s="10">
        <f>'A) Base RI'!L266</f>
        <v>126156.6</v>
      </c>
      <c r="Q266" s="37">
        <f>'A) Base RI'!AR266</f>
        <v>1.5</v>
      </c>
      <c r="R266" s="2">
        <f t="shared" si="26"/>
        <v>1095071.3699999999</v>
      </c>
      <c r="S266" s="36">
        <f>'A) Base RI'!AM266</f>
        <v>81</v>
      </c>
      <c r="T266" s="2">
        <f t="shared" si="27"/>
        <v>1010579.47</v>
      </c>
      <c r="U266" s="2">
        <f t="shared" si="28"/>
        <v>13519.399629629628</v>
      </c>
      <c r="V266" s="10">
        <f>'A) Base RI'!O266</f>
        <v>160449.20000000001</v>
      </c>
      <c r="W266" s="10">
        <f>'A) Base RI'!P266</f>
        <v>26405.35</v>
      </c>
      <c r="X266" s="10">
        <f>'A) Base RI'!R266</f>
        <v>25996.2</v>
      </c>
      <c r="Y266" s="2">
        <f t="shared" si="29"/>
        <v>212850.75000000003</v>
      </c>
      <c r="Z266" s="10">
        <f>'A) Base RI'!N266</f>
        <v>0</v>
      </c>
      <c r="AA266" s="10">
        <f>'A) Base RI'!S266+'A) Base RI'!T266</f>
        <v>0</v>
      </c>
      <c r="AB266" s="10">
        <f>+'A) Base RI'!U266</f>
        <v>3440</v>
      </c>
      <c r="AC266" s="10">
        <f>'A) Base RI'!V266</f>
        <v>0</v>
      </c>
      <c r="AD266" s="10">
        <f>+'A) Base RI'!W266</f>
        <v>0</v>
      </c>
      <c r="AE266" s="10">
        <f>'A) Base RI'!Y266</f>
        <v>54508.95</v>
      </c>
      <c r="AF266" s="10">
        <f>'A) Base RI'!Z266</f>
        <v>0</v>
      </c>
      <c r="AG266" s="10">
        <f>'A) Base RI'!AA266</f>
        <v>77833.3</v>
      </c>
      <c r="AH266" s="10">
        <f>'A) Base RI'!AB266</f>
        <v>0</v>
      </c>
      <c r="AI266" s="10">
        <f>'A) Base RI'!AC266</f>
        <v>40641.449999999997</v>
      </c>
      <c r="AJ266" s="10">
        <f>'A) Base RI'!AD266</f>
        <v>21510</v>
      </c>
      <c r="AK266" s="10">
        <f>'A) Base RI'!AE266</f>
        <v>0</v>
      </c>
      <c r="AL266" s="10">
        <f>'A) Base RI'!AF266</f>
        <v>0</v>
      </c>
      <c r="AM266" s="10">
        <f>'A) Base RI'!AG266</f>
        <v>0</v>
      </c>
      <c r="AN266" s="10">
        <f>'A) Base RI'!AH266</f>
        <v>0</v>
      </c>
      <c r="AO266" s="10">
        <f>'A) Base RI'!AI266</f>
        <v>0</v>
      </c>
      <c r="AP266" s="10">
        <f>'A) Base RI'!AJ266</f>
        <v>0</v>
      </c>
      <c r="AQ266" s="10">
        <f>'A) Base RI'!AK266</f>
        <v>0</v>
      </c>
      <c r="AR266" s="10">
        <f>'A) Base RI'!AN266</f>
        <v>546</v>
      </c>
    </row>
    <row r="267" spans="1:44" x14ac:dyDescent="0.25">
      <c r="A267" s="8">
        <f>'A) Base RI'!A267</f>
        <v>5843</v>
      </c>
      <c r="B267" s="35" t="str">
        <f>'A) Base RI'!B267</f>
        <v>Rougemont</v>
      </c>
      <c r="C267" s="10">
        <f>'A) Base RI'!C267+'A) Base RI'!D267</f>
        <v>3399535.02</v>
      </c>
      <c r="D267" s="10">
        <f>'A) Base RI'!AO267</f>
        <v>-6623.46</v>
      </c>
      <c r="E267" s="34">
        <f>'A) Base RI'!AP267</f>
        <v>0</v>
      </c>
      <c r="F267" s="34">
        <f>'A) Base RI'!AQ267</f>
        <v>-6102.86</v>
      </c>
      <c r="G267" s="2">
        <f t="shared" si="24"/>
        <v>3386808.7</v>
      </c>
      <c r="H267" s="10">
        <f>'A) Base RI'!E267</f>
        <v>0</v>
      </c>
      <c r="I267" s="10">
        <f>'A) Base RI'!F267</f>
        <v>0</v>
      </c>
      <c r="J267" s="10">
        <f>'A) Base RI'!G267+'A) Base RI'!H267</f>
        <v>254909.15000000002</v>
      </c>
      <c r="K267" s="10">
        <f>'A) Base RI'!I267</f>
        <v>1593270.22</v>
      </c>
      <c r="L267" s="10">
        <f>'A) Base RI'!J267</f>
        <v>100403.79</v>
      </c>
      <c r="M267" s="10">
        <f>'A) Base RI'!K267</f>
        <v>28267</v>
      </c>
      <c r="N267" s="10">
        <f>'A) Base RI'!Q267</f>
        <v>6126.52</v>
      </c>
      <c r="O267" s="10">
        <f t="shared" si="25"/>
        <v>716941.33333333337</v>
      </c>
      <c r="P267" s="10">
        <f>'A) Base RI'!L267</f>
        <v>1075412</v>
      </c>
      <c r="Q267" s="37">
        <f>'A) Base RI'!AR267</f>
        <v>1.5</v>
      </c>
      <c r="R267" s="2">
        <f t="shared" si="26"/>
        <v>6086726.7133333329</v>
      </c>
      <c r="S267" s="36">
        <f>'A) Base RI'!AM267</f>
        <v>69</v>
      </c>
      <c r="T267" s="2">
        <f t="shared" si="27"/>
        <v>5341518.38</v>
      </c>
      <c r="U267" s="2">
        <f t="shared" si="28"/>
        <v>88213.430628019312</v>
      </c>
      <c r="V267" s="10">
        <f>'A) Base RI'!O267</f>
        <v>589253.9</v>
      </c>
      <c r="W267" s="10">
        <f>'A) Base RI'!P267</f>
        <v>215426.9</v>
      </c>
      <c r="X267" s="10">
        <f>'A) Base RI'!R267</f>
        <v>876013.55</v>
      </c>
      <c r="Y267" s="2">
        <f t="shared" si="29"/>
        <v>1680694.35</v>
      </c>
      <c r="Z267" s="10">
        <f>'A) Base RI'!N267</f>
        <v>0</v>
      </c>
      <c r="AA267" s="10">
        <f>'A) Base RI'!S267+'A) Base RI'!T267</f>
        <v>2430.5</v>
      </c>
      <c r="AB267" s="10">
        <f>+'A) Base RI'!U267</f>
        <v>5370</v>
      </c>
      <c r="AC267" s="10">
        <f>'A) Base RI'!V267</f>
        <v>0</v>
      </c>
      <c r="AD267" s="10">
        <f>+'A) Base RI'!W267</f>
        <v>0</v>
      </c>
      <c r="AE267" s="10">
        <f>'A) Base RI'!Y267</f>
        <v>78000</v>
      </c>
      <c r="AF267" s="10">
        <f>'A) Base RI'!Z267</f>
        <v>0</v>
      </c>
      <c r="AG267" s="10">
        <f>'A) Base RI'!AA267</f>
        <v>227440</v>
      </c>
      <c r="AH267" s="10">
        <f>'A) Base RI'!AB267</f>
        <v>0</v>
      </c>
      <c r="AI267" s="10">
        <f>'A) Base RI'!AC267</f>
        <v>234747</v>
      </c>
      <c r="AJ267" s="10">
        <f>'A) Base RI'!AD267</f>
        <v>137850</v>
      </c>
      <c r="AK267" s="10">
        <f>'A) Base RI'!AE267</f>
        <v>0</v>
      </c>
      <c r="AL267" s="10">
        <f>'A) Base RI'!AF267</f>
        <v>0</v>
      </c>
      <c r="AM267" s="10">
        <f>'A) Base RI'!AG267</f>
        <v>766146</v>
      </c>
      <c r="AN267" s="10">
        <f>'A) Base RI'!AH267</f>
        <v>85439</v>
      </c>
      <c r="AO267" s="10">
        <f>'A) Base RI'!AI267</f>
        <v>0</v>
      </c>
      <c r="AP267" s="10">
        <f>'A) Base RI'!AJ267</f>
        <v>0</v>
      </c>
      <c r="AQ267" s="10">
        <f>'A) Base RI'!AK267</f>
        <v>0</v>
      </c>
      <c r="AR267" s="10">
        <f>'A) Base RI'!AN267</f>
        <v>892</v>
      </c>
    </row>
    <row r="268" spans="1:44" x14ac:dyDescent="0.25">
      <c r="A268" s="8">
        <f>'A) Base RI'!A268</f>
        <v>5851</v>
      </c>
      <c r="B268" s="35" t="str">
        <f>'A) Base RI'!B268</f>
        <v>Allaman</v>
      </c>
      <c r="C268" s="10">
        <f>'A) Base RI'!C268+'A) Base RI'!D268</f>
        <v>1025235.22</v>
      </c>
      <c r="D268" s="10">
        <f>'A) Base RI'!AO268</f>
        <v>-9934.33</v>
      </c>
      <c r="E268" s="34">
        <f>'A) Base RI'!AP268</f>
        <v>0</v>
      </c>
      <c r="F268" s="34">
        <f>'A) Base RI'!AQ268</f>
        <v>-277.47000000000003</v>
      </c>
      <c r="G268" s="2">
        <f t="shared" si="24"/>
        <v>1015023.42</v>
      </c>
      <c r="H268" s="10">
        <f>'A) Base RI'!E268</f>
        <v>0</v>
      </c>
      <c r="I268" s="10">
        <f>'A) Base RI'!F268</f>
        <v>0</v>
      </c>
      <c r="J268" s="10">
        <f>'A) Base RI'!G268+'A) Base RI'!H268</f>
        <v>292733.05</v>
      </c>
      <c r="K268" s="10">
        <f>'A) Base RI'!I268</f>
        <v>77283.350000000006</v>
      </c>
      <c r="L268" s="10">
        <f>'A) Base RI'!J268</f>
        <v>53521.59</v>
      </c>
      <c r="M268" s="10">
        <f>'A) Base RI'!K268</f>
        <v>27171</v>
      </c>
      <c r="N268" s="10">
        <f>'A) Base RI'!Q268</f>
        <v>254.33</v>
      </c>
      <c r="O268" s="10">
        <f t="shared" si="25"/>
        <v>201852.27272727271</v>
      </c>
      <c r="P268" s="10">
        <f>'A) Base RI'!L268</f>
        <v>222037.5</v>
      </c>
      <c r="Q268" s="37">
        <f>'A) Base RI'!AR268</f>
        <v>1.1000000000000001</v>
      </c>
      <c r="R268" s="2">
        <f t="shared" si="26"/>
        <v>1667839.0127272729</v>
      </c>
      <c r="S268" s="36">
        <f>'A) Base RI'!AM268</f>
        <v>62</v>
      </c>
      <c r="T268" s="2">
        <f t="shared" si="27"/>
        <v>1438815.7400000002</v>
      </c>
      <c r="U268" s="2">
        <f t="shared" si="28"/>
        <v>26900.629237536661</v>
      </c>
      <c r="V268" s="10">
        <f>'A) Base RI'!O268</f>
        <v>10856.9</v>
      </c>
      <c r="W268" s="10">
        <f>'A) Base RI'!P268</f>
        <v>10333.200000000001</v>
      </c>
      <c r="X268" s="10">
        <f>'A) Base RI'!R268</f>
        <v>855188.45</v>
      </c>
      <c r="Y268" s="2">
        <f t="shared" si="29"/>
        <v>876378.54999999993</v>
      </c>
      <c r="Z268" s="10">
        <f>'A) Base RI'!N268</f>
        <v>34609.599999999999</v>
      </c>
      <c r="AA268" s="10">
        <f>'A) Base RI'!S268+'A) Base RI'!T268</f>
        <v>48199.45</v>
      </c>
      <c r="AB268" s="10">
        <f>+'A) Base RI'!U268</f>
        <v>1900</v>
      </c>
      <c r="AC268" s="10">
        <f>'A) Base RI'!V268</f>
        <v>0</v>
      </c>
      <c r="AD268" s="10">
        <f>+'A) Base RI'!W268</f>
        <v>0</v>
      </c>
      <c r="AE268" s="10">
        <f>'A) Base RI'!Y268</f>
        <v>0</v>
      </c>
      <c r="AF268" s="10">
        <f>'A) Base RI'!Z268</f>
        <v>0</v>
      </c>
      <c r="AG268" s="10">
        <f>'A) Base RI'!AA268</f>
        <v>185928.3</v>
      </c>
      <c r="AH268" s="10">
        <f>'A) Base RI'!AB268</f>
        <v>0</v>
      </c>
      <c r="AI268" s="10">
        <f>'A) Base RI'!AC268</f>
        <v>23969.45</v>
      </c>
      <c r="AJ268" s="10">
        <f>'A) Base RI'!AD268</f>
        <v>0</v>
      </c>
      <c r="AK268" s="10">
        <f>'A) Base RI'!AE268</f>
        <v>0</v>
      </c>
      <c r="AL268" s="10">
        <f>'A) Base RI'!AF268</f>
        <v>0</v>
      </c>
      <c r="AM268" s="10">
        <f>'A) Base RI'!AG268</f>
        <v>0</v>
      </c>
      <c r="AN268" s="10">
        <f>'A) Base RI'!AH268</f>
        <v>56649.95</v>
      </c>
      <c r="AO268" s="10">
        <f>'A) Base RI'!AI268</f>
        <v>0</v>
      </c>
      <c r="AP268" s="10">
        <f>'A) Base RI'!AJ268</f>
        <v>0</v>
      </c>
      <c r="AQ268" s="10">
        <f>'A) Base RI'!AK268</f>
        <v>0</v>
      </c>
      <c r="AR268" s="10">
        <f>'A) Base RI'!AN268</f>
        <v>432</v>
      </c>
    </row>
    <row r="269" spans="1:44" x14ac:dyDescent="0.25">
      <c r="A269" s="8">
        <f>'A) Base RI'!A269</f>
        <v>5852</v>
      </c>
      <c r="B269" s="35" t="str">
        <f>'A) Base RI'!B269</f>
        <v>Bursinel</v>
      </c>
      <c r="C269" s="10">
        <f>'A) Base RI'!C269+'A) Base RI'!D269</f>
        <v>1432659.42</v>
      </c>
      <c r="D269" s="10">
        <f>'A) Base RI'!AO269</f>
        <v>-35588.120000000003</v>
      </c>
      <c r="E269" s="34">
        <f>'A) Base RI'!AP269</f>
        <v>0</v>
      </c>
      <c r="F269" s="34">
        <f>'A) Base RI'!AQ269</f>
        <v>-213.14</v>
      </c>
      <c r="G269" s="2">
        <f t="shared" si="24"/>
        <v>1396858.16</v>
      </c>
      <c r="H269" s="10">
        <f>'A) Base RI'!E269</f>
        <v>0</v>
      </c>
      <c r="I269" s="10">
        <f>'A) Base RI'!F269</f>
        <v>0</v>
      </c>
      <c r="J269" s="10">
        <f>'A) Base RI'!G269+'A) Base RI'!H269</f>
        <v>17329.449999999997</v>
      </c>
      <c r="K269" s="10">
        <f>'A) Base RI'!I269</f>
        <v>321122</v>
      </c>
      <c r="L269" s="10">
        <f>'A) Base RI'!J269</f>
        <v>42172.88</v>
      </c>
      <c r="M269" s="10">
        <f>'A) Base RI'!K269</f>
        <v>7815</v>
      </c>
      <c r="N269" s="10">
        <f>'A) Base RI'!Q269</f>
        <v>4877.99</v>
      </c>
      <c r="O269" s="10">
        <f t="shared" si="25"/>
        <v>169734.6</v>
      </c>
      <c r="P269" s="10">
        <f>'A) Base RI'!L269</f>
        <v>169734.6</v>
      </c>
      <c r="Q269" s="37">
        <f>'A) Base RI'!AR269</f>
        <v>1</v>
      </c>
      <c r="R269" s="2">
        <f t="shared" si="26"/>
        <v>1959910.0799999998</v>
      </c>
      <c r="S269" s="36">
        <f>'A) Base RI'!AM269</f>
        <v>65.5</v>
      </c>
      <c r="T269" s="2">
        <f t="shared" si="27"/>
        <v>1782360.4799999997</v>
      </c>
      <c r="U269" s="2">
        <f t="shared" si="28"/>
        <v>29922.291297709922</v>
      </c>
      <c r="V269" s="10">
        <f>'A) Base RI'!O269</f>
        <v>0</v>
      </c>
      <c r="W269" s="10">
        <f>'A) Base RI'!P269</f>
        <v>21175</v>
      </c>
      <c r="X269" s="10">
        <f>'A) Base RI'!R269</f>
        <v>6166.7</v>
      </c>
      <c r="Y269" s="2">
        <f t="shared" si="29"/>
        <v>27341.7</v>
      </c>
      <c r="Z269" s="10">
        <f>'A) Base RI'!N269</f>
        <v>8097.2</v>
      </c>
      <c r="AA269" s="10">
        <f>'A) Base RI'!S269+'A) Base RI'!T269</f>
        <v>0</v>
      </c>
      <c r="AB269" s="10">
        <f>+'A) Base RI'!U269</f>
        <v>3570</v>
      </c>
      <c r="AC269" s="10">
        <f>'A) Base RI'!V269</f>
        <v>0</v>
      </c>
      <c r="AD269" s="10">
        <f>+'A) Base RI'!W269</f>
        <v>0</v>
      </c>
      <c r="AE269" s="10">
        <f>'A) Base RI'!Y269</f>
        <v>117614.5</v>
      </c>
      <c r="AF269" s="10">
        <f>'A) Base RI'!Z269</f>
        <v>0</v>
      </c>
      <c r="AG269" s="10">
        <f>'A) Base RI'!AA269</f>
        <v>37377</v>
      </c>
      <c r="AH269" s="10">
        <f>'A) Base RI'!AB269</f>
        <v>0</v>
      </c>
      <c r="AI269" s="10">
        <f>'A) Base RI'!AC269</f>
        <v>24159.9</v>
      </c>
      <c r="AJ269" s="10">
        <f>'A) Base RI'!AD269</f>
        <v>0</v>
      </c>
      <c r="AK269" s="10">
        <f>'A) Base RI'!AE269</f>
        <v>0</v>
      </c>
      <c r="AL269" s="10">
        <f>'A) Base RI'!AF269</f>
        <v>0</v>
      </c>
      <c r="AM269" s="10">
        <f>'A) Base RI'!AG269</f>
        <v>9276</v>
      </c>
      <c r="AN269" s="10">
        <f>'A) Base RI'!AH269</f>
        <v>0</v>
      </c>
      <c r="AO269" s="10">
        <f>'A) Base RI'!AI269</f>
        <v>0</v>
      </c>
      <c r="AP269" s="10">
        <f>'A) Base RI'!AJ269</f>
        <v>0</v>
      </c>
      <c r="AQ269" s="10">
        <f>'A) Base RI'!AK269</f>
        <v>0</v>
      </c>
      <c r="AR269" s="10">
        <f>'A) Base RI'!AN269</f>
        <v>485</v>
      </c>
    </row>
    <row r="270" spans="1:44" x14ac:dyDescent="0.25">
      <c r="A270" s="8">
        <f>'A) Base RI'!A270</f>
        <v>5853</v>
      </c>
      <c r="B270" s="35" t="str">
        <f>'A) Base RI'!B270</f>
        <v>Bursins</v>
      </c>
      <c r="C270" s="10">
        <f>'A) Base RI'!C270+'A) Base RI'!D270</f>
        <v>2376424.9</v>
      </c>
      <c r="D270" s="10">
        <f>'A) Base RI'!AO270</f>
        <v>-41098.03</v>
      </c>
      <c r="E270" s="34">
        <f>'A) Base RI'!AP270</f>
        <v>0</v>
      </c>
      <c r="F270" s="34">
        <f>'A) Base RI'!AQ270</f>
        <v>-149.99</v>
      </c>
      <c r="G270" s="2">
        <f t="shared" si="24"/>
        <v>2335176.88</v>
      </c>
      <c r="H270" s="10">
        <f>'A) Base RI'!E270</f>
        <v>0</v>
      </c>
      <c r="I270" s="10">
        <f>'A) Base RI'!F270</f>
        <v>0</v>
      </c>
      <c r="J270" s="10">
        <f>'A) Base RI'!G270+'A) Base RI'!H270</f>
        <v>94762.25</v>
      </c>
      <c r="K270" s="10">
        <f>'A) Base RI'!I270</f>
        <v>184424.35</v>
      </c>
      <c r="L270" s="10">
        <f>'A) Base RI'!J270</f>
        <v>65180.06</v>
      </c>
      <c r="M270" s="10">
        <f>'A) Base RI'!K270</f>
        <v>-20837</v>
      </c>
      <c r="N270" s="10">
        <f>'A) Base RI'!Q270</f>
        <v>31512.02</v>
      </c>
      <c r="O270" s="10">
        <f t="shared" si="25"/>
        <v>188350.3</v>
      </c>
      <c r="P270" s="10">
        <f>'A) Base RI'!L270</f>
        <v>188350.3</v>
      </c>
      <c r="Q270" s="37">
        <f>'A) Base RI'!AR270</f>
        <v>1</v>
      </c>
      <c r="R270" s="2">
        <f t="shared" si="26"/>
        <v>2878568.86</v>
      </c>
      <c r="S270" s="36">
        <f>'A) Base RI'!AM270</f>
        <v>71</v>
      </c>
      <c r="T270" s="2">
        <f t="shared" si="27"/>
        <v>2711055.56</v>
      </c>
      <c r="U270" s="2">
        <f t="shared" si="28"/>
        <v>40543.223380281692</v>
      </c>
      <c r="V270" s="10">
        <f>'A) Base RI'!O270</f>
        <v>230659</v>
      </c>
      <c r="W270" s="10">
        <f>'A) Base RI'!P270</f>
        <v>102437.6</v>
      </c>
      <c r="X270" s="10">
        <f>'A) Base RI'!R270</f>
        <v>14094.95</v>
      </c>
      <c r="Y270" s="2">
        <f t="shared" si="29"/>
        <v>347191.55</v>
      </c>
      <c r="Z270" s="10">
        <f>'A) Base RI'!N270</f>
        <v>56250.6</v>
      </c>
      <c r="AA270" s="10">
        <f>'A) Base RI'!S270+'A) Base RI'!T270</f>
        <v>15240.55</v>
      </c>
      <c r="AB270" s="10">
        <f>+'A) Base RI'!U270</f>
        <v>4250</v>
      </c>
      <c r="AC270" s="10">
        <f>'A) Base RI'!V270</f>
        <v>0</v>
      </c>
      <c r="AD270" s="10">
        <f>+'A) Base RI'!W270</f>
        <v>0</v>
      </c>
      <c r="AE270" s="10">
        <f>'A) Base RI'!Y270</f>
        <v>-4463.7</v>
      </c>
      <c r="AF270" s="10">
        <f>'A) Base RI'!Z270</f>
        <v>0</v>
      </c>
      <c r="AG270" s="10">
        <f>'A) Base RI'!AA270</f>
        <v>157831.1</v>
      </c>
      <c r="AH270" s="10">
        <f>'A) Base RI'!AB270</f>
        <v>0</v>
      </c>
      <c r="AI270" s="10">
        <f>'A) Base RI'!AC270</f>
        <v>43999.5</v>
      </c>
      <c r="AJ270" s="10">
        <f>'A) Base RI'!AD270</f>
        <v>0</v>
      </c>
      <c r="AK270" s="10">
        <f>'A) Base RI'!AE270</f>
        <v>0</v>
      </c>
      <c r="AL270" s="10">
        <f>'A) Base RI'!AF270</f>
        <v>0</v>
      </c>
      <c r="AM270" s="10">
        <f>'A) Base RI'!AG270</f>
        <v>9000</v>
      </c>
      <c r="AN270" s="10">
        <f>'A) Base RI'!AH270</f>
        <v>0</v>
      </c>
      <c r="AO270" s="10">
        <f>'A) Base RI'!AI270</f>
        <v>0</v>
      </c>
      <c r="AP270" s="10">
        <f>'A) Base RI'!AJ270</f>
        <v>0</v>
      </c>
      <c r="AQ270" s="10">
        <f>'A) Base RI'!AK270</f>
        <v>0</v>
      </c>
      <c r="AR270" s="10">
        <f>'A) Base RI'!AN270</f>
        <v>766</v>
      </c>
    </row>
    <row r="271" spans="1:44" x14ac:dyDescent="0.25">
      <c r="A271" s="8">
        <f>'A) Base RI'!A271</f>
        <v>5854</v>
      </c>
      <c r="B271" s="35" t="str">
        <f>'A) Base RI'!B271</f>
        <v>Burtigny</v>
      </c>
      <c r="C271" s="10">
        <f>'A) Base RI'!C271+'A) Base RI'!D271</f>
        <v>764669.45</v>
      </c>
      <c r="D271" s="10">
        <f>'A) Base RI'!AO271</f>
        <v>-33869.4</v>
      </c>
      <c r="E271" s="34">
        <f>'A) Base RI'!AP271</f>
        <v>0</v>
      </c>
      <c r="F271" s="34">
        <f>'A) Base RI'!AQ271</f>
        <v>-105.29</v>
      </c>
      <c r="G271" s="2">
        <f t="shared" si="24"/>
        <v>730694.75999999989</v>
      </c>
      <c r="H271" s="10">
        <f>'A) Base RI'!E271</f>
        <v>0</v>
      </c>
      <c r="I271" s="10">
        <f>'A) Base RI'!F271</f>
        <v>0</v>
      </c>
      <c r="J271" s="10">
        <f>'A) Base RI'!G271+'A) Base RI'!H271</f>
        <v>50999.450000000004</v>
      </c>
      <c r="K271" s="10">
        <f>'A) Base RI'!I271</f>
        <v>0</v>
      </c>
      <c r="L271" s="10">
        <f>'A) Base RI'!J271</f>
        <v>1689.25</v>
      </c>
      <c r="M271" s="10">
        <f>'A) Base RI'!K271</f>
        <v>1269</v>
      </c>
      <c r="N271" s="10">
        <f>'A) Base RI'!Q271</f>
        <v>0</v>
      </c>
      <c r="O271" s="10">
        <f t="shared" si="25"/>
        <v>61570.566666666673</v>
      </c>
      <c r="P271" s="10">
        <f>'A) Base RI'!L271</f>
        <v>92355.85</v>
      </c>
      <c r="Q271" s="37">
        <f>'A) Base RI'!AR271</f>
        <v>1.5</v>
      </c>
      <c r="R271" s="2">
        <f t="shared" si="26"/>
        <v>846223.0266666665</v>
      </c>
      <c r="S271" s="36">
        <f>'A) Base RI'!AM271</f>
        <v>80</v>
      </c>
      <c r="T271" s="2">
        <f t="shared" si="27"/>
        <v>783383.45999999985</v>
      </c>
      <c r="U271" s="2">
        <f t="shared" si="28"/>
        <v>10577.787833333332</v>
      </c>
      <c r="V271" s="10">
        <f>'A) Base RI'!O271</f>
        <v>0</v>
      </c>
      <c r="W271" s="10">
        <f>'A) Base RI'!P271</f>
        <v>34948.699999999997</v>
      </c>
      <c r="X271" s="10">
        <f>'A) Base RI'!R271</f>
        <v>6362.45</v>
      </c>
      <c r="Y271" s="2">
        <f t="shared" si="29"/>
        <v>41311.149999999994</v>
      </c>
      <c r="Z271" s="10">
        <f>'A) Base RI'!N271</f>
        <v>21571.65</v>
      </c>
      <c r="AA271" s="10">
        <f>'A) Base RI'!S271+'A) Base RI'!T271</f>
        <v>0</v>
      </c>
      <c r="AB271" s="10">
        <f>+'A) Base RI'!U271</f>
        <v>1050</v>
      </c>
      <c r="AC271" s="10">
        <f>'A) Base RI'!V271</f>
        <v>0</v>
      </c>
      <c r="AD271" s="10">
        <f>+'A) Base RI'!W271</f>
        <v>0</v>
      </c>
      <c r="AE271" s="10">
        <f>'A) Base RI'!Y271</f>
        <v>25244</v>
      </c>
      <c r="AF271" s="10">
        <f>'A) Base RI'!Z271</f>
        <v>0</v>
      </c>
      <c r="AG271" s="10">
        <f>'A) Base RI'!AA271</f>
        <v>97860.35</v>
      </c>
      <c r="AH271" s="10">
        <f>'A) Base RI'!AB271</f>
        <v>0</v>
      </c>
      <c r="AI271" s="10">
        <f>'A) Base RI'!AC271</f>
        <v>30415</v>
      </c>
      <c r="AJ271" s="10">
        <f>'A) Base RI'!AD271</f>
        <v>0</v>
      </c>
      <c r="AK271" s="10">
        <f>'A) Base RI'!AE271</f>
        <v>0</v>
      </c>
      <c r="AL271" s="10">
        <f>'A) Base RI'!AF271</f>
        <v>0</v>
      </c>
      <c r="AM271" s="10">
        <f>'A) Base RI'!AG271</f>
        <v>752</v>
      </c>
      <c r="AN271" s="10">
        <f>'A) Base RI'!AH271</f>
        <v>7982.05</v>
      </c>
      <c r="AO271" s="10">
        <f>'A) Base RI'!AI271</f>
        <v>0</v>
      </c>
      <c r="AP271" s="10">
        <f>'A) Base RI'!AJ271</f>
        <v>0</v>
      </c>
      <c r="AQ271" s="10">
        <f>'A) Base RI'!AK271</f>
        <v>0</v>
      </c>
      <c r="AR271" s="10">
        <f>'A) Base RI'!AN271</f>
        <v>359</v>
      </c>
    </row>
    <row r="272" spans="1:44" x14ac:dyDescent="0.25">
      <c r="A272" s="8">
        <f>'A) Base RI'!A272</f>
        <v>5855</v>
      </c>
      <c r="B272" s="35" t="str">
        <f>'A) Base RI'!B272</f>
        <v>Dully</v>
      </c>
      <c r="C272" s="10">
        <f>'A) Base RI'!C272+'A) Base RI'!D272</f>
        <v>2853601.5</v>
      </c>
      <c r="D272" s="10">
        <f>'A) Base RI'!AO272</f>
        <v>-6243.07</v>
      </c>
      <c r="E272" s="34">
        <f>'A) Base RI'!AP272</f>
        <v>0</v>
      </c>
      <c r="F272" s="34">
        <f>'A) Base RI'!AQ272</f>
        <v>-1498.19</v>
      </c>
      <c r="G272" s="2">
        <f t="shared" si="24"/>
        <v>2845860.24</v>
      </c>
      <c r="H272" s="10">
        <f>'A) Base RI'!E272</f>
        <v>0</v>
      </c>
      <c r="I272" s="10">
        <f>'A) Base RI'!F272</f>
        <v>0</v>
      </c>
      <c r="J272" s="10">
        <f>'A) Base RI'!G272+'A) Base RI'!H272</f>
        <v>84284.5</v>
      </c>
      <c r="K272" s="10">
        <f>'A) Base RI'!I272</f>
        <v>692574.78</v>
      </c>
      <c r="L272" s="10">
        <f>'A) Base RI'!J272</f>
        <v>-82534.73</v>
      </c>
      <c r="M272" s="10">
        <f>'A) Base RI'!K272</f>
        <v>23822.5</v>
      </c>
      <c r="N272" s="10">
        <f>'A) Base RI'!Q272</f>
        <v>1530.17</v>
      </c>
      <c r="O272" s="10">
        <f t="shared" si="25"/>
        <v>324463.40000000002</v>
      </c>
      <c r="P272" s="10">
        <f>'A) Base RI'!L272</f>
        <v>162231.70000000001</v>
      </c>
      <c r="Q272" s="37">
        <f>'A) Base RI'!AR272</f>
        <v>0.5</v>
      </c>
      <c r="R272" s="2">
        <f t="shared" si="26"/>
        <v>3890000.8600000003</v>
      </c>
      <c r="S272" s="36">
        <f>'A) Base RI'!AM272</f>
        <v>49</v>
      </c>
      <c r="T272" s="2">
        <f t="shared" si="27"/>
        <v>3541714.9600000004</v>
      </c>
      <c r="U272" s="2">
        <f t="shared" si="28"/>
        <v>79387.772653061227</v>
      </c>
      <c r="V272" s="10">
        <f>'A) Base RI'!O272</f>
        <v>0</v>
      </c>
      <c r="W272" s="10">
        <f>'A) Base RI'!P272</f>
        <v>438117.7</v>
      </c>
      <c r="X272" s="10">
        <f>'A) Base RI'!R272</f>
        <v>481664.6</v>
      </c>
      <c r="Y272" s="2">
        <f t="shared" si="29"/>
        <v>919782.3</v>
      </c>
      <c r="Z272" s="10">
        <f>'A) Base RI'!N272</f>
        <v>1937.3</v>
      </c>
      <c r="AA272" s="10">
        <f>'A) Base RI'!S272+'A) Base RI'!T272</f>
        <v>0</v>
      </c>
      <c r="AB272" s="10">
        <f>+'A) Base RI'!U272</f>
        <v>1960</v>
      </c>
      <c r="AC272" s="10">
        <f>'A) Base RI'!V272</f>
        <v>90</v>
      </c>
      <c r="AD272" s="10">
        <f>+'A) Base RI'!W272</f>
        <v>0</v>
      </c>
      <c r="AE272" s="10">
        <f>'A) Base RI'!Y272</f>
        <v>92435.15</v>
      </c>
      <c r="AF272" s="10">
        <f>'A) Base RI'!Z272</f>
        <v>136666.70000000001</v>
      </c>
      <c r="AG272" s="10">
        <f>'A) Base RI'!AA272</f>
        <v>0</v>
      </c>
      <c r="AH272" s="10">
        <f>'A) Base RI'!AB272</f>
        <v>0</v>
      </c>
      <c r="AI272" s="10">
        <f>'A) Base RI'!AC272</f>
        <v>26270.5</v>
      </c>
      <c r="AJ272" s="10">
        <f>'A) Base RI'!AD272</f>
        <v>0</v>
      </c>
      <c r="AK272" s="10">
        <f>'A) Base RI'!AE272</f>
        <v>0</v>
      </c>
      <c r="AL272" s="10">
        <f>'A) Base RI'!AF272</f>
        <v>0</v>
      </c>
      <c r="AM272" s="10">
        <f>'A) Base RI'!AG272</f>
        <v>9203.65</v>
      </c>
      <c r="AN272" s="10">
        <f>'A) Base RI'!AH272</f>
        <v>0</v>
      </c>
      <c r="AO272" s="10">
        <f>'A) Base RI'!AI272</f>
        <v>0</v>
      </c>
      <c r="AP272" s="10">
        <f>'A) Base RI'!AJ272</f>
        <v>0</v>
      </c>
      <c r="AQ272" s="10">
        <f>'A) Base RI'!AK272</f>
        <v>0</v>
      </c>
      <c r="AR272" s="10">
        <f>'A) Base RI'!AN272</f>
        <v>633</v>
      </c>
    </row>
    <row r="273" spans="1:44" x14ac:dyDescent="0.25">
      <c r="A273" s="8">
        <f>'A) Base RI'!A273</f>
        <v>5856</v>
      </c>
      <c r="B273" s="35" t="str">
        <f>'A) Base RI'!B273</f>
        <v>Essertines-sur-Rolle</v>
      </c>
      <c r="C273" s="10">
        <f>'A) Base RI'!C273+'A) Base RI'!D273</f>
        <v>1777983.3599999999</v>
      </c>
      <c r="D273" s="10">
        <f>'A) Base RI'!AO273</f>
        <v>-3398.75</v>
      </c>
      <c r="E273" s="34">
        <f>'A) Base RI'!AP273</f>
        <v>0</v>
      </c>
      <c r="F273" s="34">
        <f>'A) Base RI'!AQ273</f>
        <v>-243.96</v>
      </c>
      <c r="G273" s="2">
        <f t="shared" si="24"/>
        <v>1774340.65</v>
      </c>
      <c r="H273" s="10">
        <f>'A) Base RI'!E273</f>
        <v>0</v>
      </c>
      <c r="I273" s="10">
        <f>'A) Base RI'!F273</f>
        <v>0</v>
      </c>
      <c r="J273" s="10">
        <f>'A) Base RI'!G273+'A) Base RI'!H273</f>
        <v>4245.25</v>
      </c>
      <c r="K273" s="10">
        <f>'A) Base RI'!I273</f>
        <v>167155.5</v>
      </c>
      <c r="L273" s="10">
        <f>'A) Base RI'!J273</f>
        <v>49515.54</v>
      </c>
      <c r="M273" s="10">
        <f>'A) Base RI'!K273</f>
        <v>1786</v>
      </c>
      <c r="N273" s="10">
        <f>'A) Base RI'!Q273</f>
        <v>0</v>
      </c>
      <c r="O273" s="10">
        <f t="shared" si="25"/>
        <v>169627.61538461538</v>
      </c>
      <c r="P273" s="10">
        <f>'A) Base RI'!L273</f>
        <v>220515.9</v>
      </c>
      <c r="Q273" s="37">
        <f>'A) Base RI'!AR273</f>
        <v>1.3</v>
      </c>
      <c r="R273" s="2">
        <f t="shared" si="26"/>
        <v>2166670.5553846154</v>
      </c>
      <c r="S273" s="36">
        <f>'A) Base RI'!AM273</f>
        <v>68</v>
      </c>
      <c r="T273" s="2">
        <f t="shared" si="27"/>
        <v>1995256.94</v>
      </c>
      <c r="U273" s="2">
        <f t="shared" si="28"/>
        <v>31862.802285067875</v>
      </c>
      <c r="V273" s="10">
        <f>'A) Base RI'!O273</f>
        <v>9973.2999999999993</v>
      </c>
      <c r="W273" s="10">
        <f>'A) Base RI'!P273</f>
        <v>51810</v>
      </c>
      <c r="X273" s="10">
        <f>'A) Base RI'!R273</f>
        <v>41026.050000000003</v>
      </c>
      <c r="Y273" s="2">
        <f t="shared" si="29"/>
        <v>102809.35</v>
      </c>
      <c r="Z273" s="10">
        <f>'A) Base RI'!N273</f>
        <v>20042.849999999999</v>
      </c>
      <c r="AA273" s="10">
        <f>'A) Base RI'!S273+'A) Base RI'!T273</f>
        <v>0</v>
      </c>
      <c r="AB273" s="10">
        <f>+'A) Base RI'!U273</f>
        <v>2675</v>
      </c>
      <c r="AC273" s="10">
        <f>'A) Base RI'!V273</f>
        <v>0</v>
      </c>
      <c r="AD273" s="10">
        <f>+'A) Base RI'!W273</f>
        <v>0</v>
      </c>
      <c r="AE273" s="10">
        <f>'A) Base RI'!Y273</f>
        <v>19807.400000000001</v>
      </c>
      <c r="AF273" s="10">
        <f>'A) Base RI'!Z273</f>
        <v>0</v>
      </c>
      <c r="AG273" s="10">
        <f>'A) Base RI'!AA273</f>
        <v>148346.79999999999</v>
      </c>
      <c r="AH273" s="10">
        <f>'A) Base RI'!AB273</f>
        <v>0</v>
      </c>
      <c r="AI273" s="10">
        <f>'A) Base RI'!AC273</f>
        <v>68034.45</v>
      </c>
      <c r="AJ273" s="10">
        <f>'A) Base RI'!AD273</f>
        <v>2092.6999999999998</v>
      </c>
      <c r="AK273" s="10">
        <f>'A) Base RI'!AE273</f>
        <v>0</v>
      </c>
      <c r="AL273" s="10">
        <f>'A) Base RI'!AF273</f>
        <v>0</v>
      </c>
      <c r="AM273" s="10">
        <f>'A) Base RI'!AG273</f>
        <v>0</v>
      </c>
      <c r="AN273" s="10">
        <f>'A) Base RI'!AH273</f>
        <v>0</v>
      </c>
      <c r="AO273" s="10">
        <f>'A) Base RI'!AI273</f>
        <v>0</v>
      </c>
      <c r="AP273" s="10">
        <f>'A) Base RI'!AJ273</f>
        <v>0</v>
      </c>
      <c r="AQ273" s="10">
        <f>'A) Base RI'!AK273</f>
        <v>0</v>
      </c>
      <c r="AR273" s="10">
        <f>'A) Base RI'!AN273</f>
        <v>695</v>
      </c>
    </row>
    <row r="274" spans="1:44" x14ac:dyDescent="0.25">
      <c r="A274" s="8">
        <f>'A) Base RI'!A274</f>
        <v>5857</v>
      </c>
      <c r="B274" s="35" t="str">
        <f>'A) Base RI'!B274</f>
        <v>Gilly</v>
      </c>
      <c r="C274" s="10">
        <f>'A) Base RI'!C274+'A) Base RI'!D274</f>
        <v>3646765.59</v>
      </c>
      <c r="D274" s="10">
        <f>'A) Base RI'!AO274</f>
        <v>-10552.96</v>
      </c>
      <c r="E274" s="34">
        <f>'A) Base RI'!AP274</f>
        <v>0</v>
      </c>
      <c r="F274" s="34">
        <f>'A) Base RI'!AQ274</f>
        <v>-1096.77</v>
      </c>
      <c r="G274" s="2">
        <f t="shared" si="24"/>
        <v>3635115.86</v>
      </c>
      <c r="H274" s="10">
        <f>'A) Base RI'!E274</f>
        <v>0</v>
      </c>
      <c r="I274" s="10">
        <f>'A) Base RI'!F274</f>
        <v>0</v>
      </c>
      <c r="J274" s="10">
        <f>'A) Base RI'!G274+'A) Base RI'!H274</f>
        <v>69515.45</v>
      </c>
      <c r="K274" s="10">
        <f>'A) Base RI'!I274</f>
        <v>-27111.55</v>
      </c>
      <c r="L274" s="10">
        <f>'A) Base RI'!J274</f>
        <v>103071.4</v>
      </c>
      <c r="M274" s="10">
        <f>'A) Base RI'!K274</f>
        <v>8805.5</v>
      </c>
      <c r="N274" s="10">
        <f>'A) Base RI'!Q274</f>
        <v>11008.25</v>
      </c>
      <c r="O274" s="10">
        <f t="shared" si="25"/>
        <v>327264.5</v>
      </c>
      <c r="P274" s="10">
        <f>'A) Base RI'!L274</f>
        <v>327264.5</v>
      </c>
      <c r="Q274" s="37">
        <f>'A) Base RI'!AR274</f>
        <v>1</v>
      </c>
      <c r="R274" s="2">
        <f t="shared" si="26"/>
        <v>4127669.41</v>
      </c>
      <c r="S274" s="36">
        <f>'A) Base RI'!AM274</f>
        <v>66</v>
      </c>
      <c r="T274" s="2">
        <f t="shared" si="27"/>
        <v>3791599.41</v>
      </c>
      <c r="U274" s="2">
        <f t="shared" si="28"/>
        <v>62540.44560606061</v>
      </c>
      <c r="V274" s="10">
        <f>'A) Base RI'!O274</f>
        <v>319661.3</v>
      </c>
      <c r="W274" s="10">
        <f>'A) Base RI'!P274</f>
        <v>484278.3</v>
      </c>
      <c r="X274" s="10">
        <f>'A) Base RI'!R274</f>
        <v>173847.65</v>
      </c>
      <c r="Y274" s="2">
        <f t="shared" si="29"/>
        <v>977787.25</v>
      </c>
      <c r="Z274" s="10">
        <f>'A) Base RI'!N274</f>
        <v>85888.1</v>
      </c>
      <c r="AA274" s="10">
        <f>'A) Base RI'!S274+'A) Base RI'!T274</f>
        <v>0</v>
      </c>
      <c r="AB274" s="10">
        <f>+'A) Base RI'!U274</f>
        <v>2300</v>
      </c>
      <c r="AC274" s="10">
        <f>'A) Base RI'!V274</f>
        <v>0</v>
      </c>
      <c r="AD274" s="10">
        <f>+'A) Base RI'!W274</f>
        <v>0</v>
      </c>
      <c r="AE274" s="10">
        <f>'A) Base RI'!Y274</f>
        <v>222095</v>
      </c>
      <c r="AF274" s="10">
        <f>'A) Base RI'!Z274</f>
        <v>0</v>
      </c>
      <c r="AG274" s="10">
        <f>'A) Base RI'!AA274</f>
        <v>96651.85</v>
      </c>
      <c r="AH274" s="10">
        <f>'A) Base RI'!AB274</f>
        <v>0</v>
      </c>
      <c r="AI274" s="10">
        <f>'A) Base RI'!AC274</f>
        <v>81693.75</v>
      </c>
      <c r="AJ274" s="10">
        <f>'A) Base RI'!AD274</f>
        <v>0</v>
      </c>
      <c r="AK274" s="10">
        <f>'A) Base RI'!AE274</f>
        <v>0</v>
      </c>
      <c r="AL274" s="10">
        <f>'A) Base RI'!AF274</f>
        <v>0</v>
      </c>
      <c r="AM274" s="10">
        <f>'A) Base RI'!AG274</f>
        <v>1651.65</v>
      </c>
      <c r="AN274" s="10">
        <f>'A) Base RI'!AH274</f>
        <v>28622.05</v>
      </c>
      <c r="AO274" s="10">
        <f>'A) Base RI'!AI274</f>
        <v>0</v>
      </c>
      <c r="AP274" s="10">
        <f>'A) Base RI'!AJ274</f>
        <v>0</v>
      </c>
      <c r="AQ274" s="10">
        <f>'A) Base RI'!AK274</f>
        <v>0</v>
      </c>
      <c r="AR274" s="10">
        <f>'A) Base RI'!AN274</f>
        <v>1230</v>
      </c>
    </row>
    <row r="275" spans="1:44" x14ac:dyDescent="0.25">
      <c r="A275" s="8">
        <f>'A) Base RI'!A275</f>
        <v>5858</v>
      </c>
      <c r="B275" s="35" t="str">
        <f>'A) Base RI'!B275</f>
        <v>Luins</v>
      </c>
      <c r="C275" s="10">
        <f>'A) Base RI'!C275+'A) Base RI'!D275</f>
        <v>1761131.94</v>
      </c>
      <c r="D275" s="10">
        <f>'A) Base RI'!AO275</f>
        <v>-28553.16</v>
      </c>
      <c r="E275" s="34">
        <f>'A) Base RI'!AP275</f>
        <v>0</v>
      </c>
      <c r="F275" s="34">
        <f>'A) Base RI'!AQ275</f>
        <v>-465.83</v>
      </c>
      <c r="G275" s="2">
        <f t="shared" si="24"/>
        <v>1732112.95</v>
      </c>
      <c r="H275" s="10">
        <f>'A) Base RI'!E275</f>
        <v>0</v>
      </c>
      <c r="I275" s="10">
        <f>'A) Base RI'!F275</f>
        <v>0</v>
      </c>
      <c r="J275" s="10">
        <f>'A) Base RI'!G275+'A) Base RI'!H275</f>
        <v>19014.849999999999</v>
      </c>
      <c r="K275" s="10">
        <f>'A) Base RI'!I275</f>
        <v>108430.2</v>
      </c>
      <c r="L275" s="10">
        <f>'A) Base RI'!J275</f>
        <v>91937.61</v>
      </c>
      <c r="M275" s="10">
        <f>'A) Base RI'!K275</f>
        <v>1042.2</v>
      </c>
      <c r="N275" s="10">
        <f>'A) Base RI'!Q275</f>
        <v>6913.24</v>
      </c>
      <c r="O275" s="10">
        <f t="shared" si="25"/>
        <v>143267.06666666668</v>
      </c>
      <c r="P275" s="10">
        <f>'A) Base RI'!L275</f>
        <v>214900.6</v>
      </c>
      <c r="Q275" s="37">
        <f>'A) Base RI'!AR275</f>
        <v>1.5</v>
      </c>
      <c r="R275" s="2">
        <f t="shared" si="26"/>
        <v>2102718.1166666667</v>
      </c>
      <c r="S275" s="36">
        <f>'A) Base RI'!AM275</f>
        <v>60</v>
      </c>
      <c r="T275" s="2">
        <f t="shared" si="27"/>
        <v>1958408.85</v>
      </c>
      <c r="U275" s="2">
        <f t="shared" si="28"/>
        <v>35045.301944444444</v>
      </c>
      <c r="V275" s="10">
        <f>'A) Base RI'!O275</f>
        <v>1419</v>
      </c>
      <c r="W275" s="10">
        <f>'A) Base RI'!P275</f>
        <v>14172.85</v>
      </c>
      <c r="X275" s="10">
        <f>'A) Base RI'!R275</f>
        <v>-21957.200000000001</v>
      </c>
      <c r="Y275" s="2">
        <f t="shared" si="29"/>
        <v>-6365.35</v>
      </c>
      <c r="Z275" s="10">
        <f>'A) Base RI'!N275</f>
        <v>13569.15</v>
      </c>
      <c r="AA275" s="10">
        <f>'A) Base RI'!S275+'A) Base RI'!T275</f>
        <v>0</v>
      </c>
      <c r="AB275" s="10">
        <f>+'A) Base RI'!U275</f>
        <v>1560</v>
      </c>
      <c r="AC275" s="10">
        <f>'A) Base RI'!V275</f>
        <v>0</v>
      </c>
      <c r="AD275" s="10">
        <f>+'A) Base RI'!W275</f>
        <v>0</v>
      </c>
      <c r="AE275" s="10">
        <f>'A) Base RI'!Y275</f>
        <v>-3128.4</v>
      </c>
      <c r="AF275" s="10">
        <f>'A) Base RI'!Z275</f>
        <v>0</v>
      </c>
      <c r="AG275" s="10">
        <f>'A) Base RI'!AA275</f>
        <v>23110.5</v>
      </c>
      <c r="AH275" s="10">
        <f>'A) Base RI'!AB275</f>
        <v>0</v>
      </c>
      <c r="AI275" s="10">
        <f>'A) Base RI'!AC275</f>
        <v>35285.599999999999</v>
      </c>
      <c r="AJ275" s="10">
        <f>'A) Base RI'!AD275</f>
        <v>10264.5</v>
      </c>
      <c r="AK275" s="10">
        <f>'A) Base RI'!AE275</f>
        <v>0</v>
      </c>
      <c r="AL275" s="10">
        <f>'A) Base RI'!AF275</f>
        <v>0</v>
      </c>
      <c r="AM275" s="10">
        <f>'A) Base RI'!AG275</f>
        <v>458</v>
      </c>
      <c r="AN275" s="10">
        <f>'A) Base RI'!AH275</f>
        <v>18095.05</v>
      </c>
      <c r="AO275" s="10">
        <f>'A) Base RI'!AI275</f>
        <v>0</v>
      </c>
      <c r="AP275" s="10">
        <f>'A) Base RI'!AJ275</f>
        <v>0</v>
      </c>
      <c r="AQ275" s="10">
        <f>'A) Base RI'!AK275</f>
        <v>0</v>
      </c>
      <c r="AR275" s="10">
        <f>'A) Base RI'!AN275</f>
        <v>625</v>
      </c>
    </row>
    <row r="276" spans="1:44" x14ac:dyDescent="0.25">
      <c r="A276" s="8">
        <f>'A) Base RI'!A276</f>
        <v>5859</v>
      </c>
      <c r="B276" s="35" t="str">
        <f>'A) Base RI'!B276</f>
        <v>Mont-sur-Rolle</v>
      </c>
      <c r="C276" s="10">
        <f>'A) Base RI'!C276+'A) Base RI'!D276</f>
        <v>7216914.3600000003</v>
      </c>
      <c r="D276" s="10">
        <f>'A) Base RI'!AO276</f>
        <v>-59709.2</v>
      </c>
      <c r="E276" s="34">
        <f>'A) Base RI'!AP276</f>
        <v>0</v>
      </c>
      <c r="F276" s="34">
        <f>'A) Base RI'!AQ276</f>
        <v>-2149.92</v>
      </c>
      <c r="G276" s="2">
        <f t="shared" si="24"/>
        <v>7155055.2400000002</v>
      </c>
      <c r="H276" s="10">
        <f>'A) Base RI'!E276</f>
        <v>0</v>
      </c>
      <c r="I276" s="10">
        <f>'A) Base RI'!F276</f>
        <v>0</v>
      </c>
      <c r="J276" s="10">
        <f>'A) Base RI'!G276+'A) Base RI'!H276</f>
        <v>92455.15</v>
      </c>
      <c r="K276" s="10">
        <f>'A) Base RI'!I276</f>
        <v>219514.5</v>
      </c>
      <c r="L276" s="10">
        <f>'A) Base RI'!J276</f>
        <v>246685.91</v>
      </c>
      <c r="M276" s="10">
        <f>'A) Base RI'!K276</f>
        <v>21259.200000000001</v>
      </c>
      <c r="N276" s="10">
        <f>'A) Base RI'!Q276</f>
        <v>16566.48</v>
      </c>
      <c r="O276" s="10">
        <f t="shared" si="25"/>
        <v>596007.9</v>
      </c>
      <c r="P276" s="10">
        <f>'A) Base RI'!L276</f>
        <v>596007.9</v>
      </c>
      <c r="Q276" s="37">
        <f>'A) Base RI'!AR276</f>
        <v>1</v>
      </c>
      <c r="R276" s="2">
        <f t="shared" si="26"/>
        <v>8347544.3800000018</v>
      </c>
      <c r="S276" s="36">
        <f>'A) Base RI'!AM276</f>
        <v>64</v>
      </c>
      <c r="T276" s="2">
        <f t="shared" si="27"/>
        <v>7730277.2800000012</v>
      </c>
      <c r="U276" s="2">
        <f t="shared" si="28"/>
        <v>130430.38093750003</v>
      </c>
      <c r="V276" s="10">
        <f>'A) Base RI'!O276</f>
        <v>43011</v>
      </c>
      <c r="W276" s="10">
        <f>'A) Base RI'!P276</f>
        <v>347015.55</v>
      </c>
      <c r="X276" s="10">
        <f>'A) Base RI'!R276</f>
        <v>269391.55</v>
      </c>
      <c r="Y276" s="2">
        <f t="shared" si="29"/>
        <v>659418.1</v>
      </c>
      <c r="Z276" s="10">
        <f>'A) Base RI'!N276</f>
        <v>70477.75</v>
      </c>
      <c r="AA276" s="10">
        <f>'A) Base RI'!S276+'A) Base RI'!T276</f>
        <v>0</v>
      </c>
      <c r="AB276" s="10">
        <f>+'A) Base RI'!U276</f>
        <v>12950</v>
      </c>
      <c r="AC276" s="10">
        <f>'A) Base RI'!V276</f>
        <v>0</v>
      </c>
      <c r="AD276" s="10">
        <f>+'A) Base RI'!W276</f>
        <v>0</v>
      </c>
      <c r="AE276" s="10">
        <f>'A) Base RI'!Y276</f>
        <v>12754.4</v>
      </c>
      <c r="AF276" s="10">
        <f>'A) Base RI'!Z276</f>
        <v>0</v>
      </c>
      <c r="AG276" s="10">
        <f>'A) Base RI'!AA276</f>
        <v>322787.84999999998</v>
      </c>
      <c r="AH276" s="10">
        <f>'A) Base RI'!AB276</f>
        <v>0</v>
      </c>
      <c r="AI276" s="10">
        <f>'A) Base RI'!AC276</f>
        <v>169227.75</v>
      </c>
      <c r="AJ276" s="10">
        <f>'A) Base RI'!AD276</f>
        <v>0</v>
      </c>
      <c r="AK276" s="10">
        <f>'A) Base RI'!AE276</f>
        <v>0</v>
      </c>
      <c r="AL276" s="10">
        <f>'A) Base RI'!AF276</f>
        <v>0</v>
      </c>
      <c r="AM276" s="10">
        <f>'A) Base RI'!AG276</f>
        <v>0</v>
      </c>
      <c r="AN276" s="10">
        <f>'A) Base RI'!AH276</f>
        <v>0</v>
      </c>
      <c r="AO276" s="10">
        <f>'A) Base RI'!AI276</f>
        <v>0</v>
      </c>
      <c r="AP276" s="10">
        <f>'A) Base RI'!AJ276</f>
        <v>0</v>
      </c>
      <c r="AQ276" s="10">
        <f>'A) Base RI'!AK276</f>
        <v>0</v>
      </c>
      <c r="AR276" s="10">
        <f>'A) Base RI'!AN276</f>
        <v>2660</v>
      </c>
    </row>
    <row r="277" spans="1:44" x14ac:dyDescent="0.25">
      <c r="A277" s="8">
        <f>'A) Base RI'!A277</f>
        <v>5860</v>
      </c>
      <c r="B277" s="35" t="str">
        <f>'A) Base RI'!B277</f>
        <v>Perroy</v>
      </c>
      <c r="C277" s="10">
        <f>'A) Base RI'!C277+'A) Base RI'!D277</f>
        <v>4569622.8600000003</v>
      </c>
      <c r="D277" s="10">
        <f>'A) Base RI'!AO277</f>
        <v>-46635.53</v>
      </c>
      <c r="E277" s="34">
        <f>'A) Base RI'!AP277</f>
        <v>0</v>
      </c>
      <c r="F277" s="34">
        <f>'A) Base RI'!AQ277</f>
        <v>-2338.84</v>
      </c>
      <c r="G277" s="2">
        <f t="shared" si="24"/>
        <v>4520648.49</v>
      </c>
      <c r="H277" s="10">
        <f>'A) Base RI'!E277</f>
        <v>0</v>
      </c>
      <c r="I277" s="10">
        <f>'A) Base RI'!F277</f>
        <v>0</v>
      </c>
      <c r="J277" s="10">
        <f>'A) Base RI'!G277+'A) Base RI'!H277</f>
        <v>34151.550000000003</v>
      </c>
      <c r="K277" s="10">
        <f>'A) Base RI'!I277</f>
        <v>429344.07</v>
      </c>
      <c r="L277" s="10">
        <f>'A) Base RI'!J277</f>
        <v>70110.52</v>
      </c>
      <c r="M277" s="10">
        <f>'A) Base RI'!K277</f>
        <v>26589</v>
      </c>
      <c r="N277" s="10">
        <f>'A) Base RI'!Q277</f>
        <v>28406.86</v>
      </c>
      <c r="O277" s="10">
        <f t="shared" si="25"/>
        <v>455736.19230769231</v>
      </c>
      <c r="P277" s="10">
        <f>'A) Base RI'!L277</f>
        <v>592457.05000000005</v>
      </c>
      <c r="Q277" s="37">
        <f>'A) Base RI'!AR277</f>
        <v>1.3</v>
      </c>
      <c r="R277" s="2">
        <f t="shared" si="26"/>
        <v>5564986.6823076922</v>
      </c>
      <c r="S277" s="36">
        <f>'A) Base RI'!AM277</f>
        <v>60</v>
      </c>
      <c r="T277" s="2">
        <f t="shared" si="27"/>
        <v>5082661.49</v>
      </c>
      <c r="U277" s="2">
        <f t="shared" si="28"/>
        <v>92749.778038461533</v>
      </c>
      <c r="V277" s="10">
        <f>'A) Base RI'!O277</f>
        <v>15030</v>
      </c>
      <c r="W277" s="10">
        <f>'A) Base RI'!P277</f>
        <v>318433.95</v>
      </c>
      <c r="X277" s="10">
        <f>'A) Base RI'!R277</f>
        <v>156397.04999999999</v>
      </c>
      <c r="Y277" s="2">
        <f t="shared" si="29"/>
        <v>489861</v>
      </c>
      <c r="Z277" s="10">
        <f>'A) Base RI'!N277</f>
        <v>16298.85</v>
      </c>
      <c r="AA277" s="10">
        <f>'A) Base RI'!S277+'A) Base RI'!T277</f>
        <v>0</v>
      </c>
      <c r="AB277" s="10">
        <f>+'A) Base RI'!U277</f>
        <v>7886.65</v>
      </c>
      <c r="AC277" s="10">
        <f>'A) Base RI'!V277</f>
        <v>0</v>
      </c>
      <c r="AD277" s="10">
        <f>+'A) Base RI'!W277</f>
        <v>0</v>
      </c>
      <c r="AE277" s="10">
        <f>'A) Base RI'!Y277</f>
        <v>34163.300000000003</v>
      </c>
      <c r="AF277" s="10">
        <f>'A) Base RI'!Z277</f>
        <v>0</v>
      </c>
      <c r="AG277" s="10">
        <f>'A) Base RI'!AA277</f>
        <v>223651.6</v>
      </c>
      <c r="AH277" s="10">
        <f>'A) Base RI'!AB277</f>
        <v>0</v>
      </c>
      <c r="AI277" s="10">
        <f>'A) Base RI'!AC277</f>
        <v>87811.54</v>
      </c>
      <c r="AJ277" s="10">
        <f>'A) Base RI'!AD277</f>
        <v>0</v>
      </c>
      <c r="AK277" s="10">
        <f>'A) Base RI'!AE277</f>
        <v>0</v>
      </c>
      <c r="AL277" s="10">
        <f>'A) Base RI'!AF277</f>
        <v>0</v>
      </c>
      <c r="AM277" s="10">
        <f>'A) Base RI'!AG277</f>
        <v>0</v>
      </c>
      <c r="AN277" s="10">
        <f>'A) Base RI'!AH277</f>
        <v>0</v>
      </c>
      <c r="AO277" s="10">
        <f>'A) Base RI'!AI277</f>
        <v>0</v>
      </c>
      <c r="AP277" s="10">
        <f>'A) Base RI'!AJ277</f>
        <v>0</v>
      </c>
      <c r="AQ277" s="10">
        <f>'A) Base RI'!AK277</f>
        <v>0</v>
      </c>
      <c r="AR277" s="10">
        <f>'A) Base RI'!AN277</f>
        <v>1453</v>
      </c>
    </row>
    <row r="278" spans="1:44" x14ac:dyDescent="0.25">
      <c r="A278" s="8">
        <f>'A) Base RI'!A278</f>
        <v>5861</v>
      </c>
      <c r="B278" s="35" t="str">
        <f>'A) Base RI'!B278</f>
        <v>Rolle</v>
      </c>
      <c r="C278" s="10">
        <f>'A) Base RI'!C278+'A) Base RI'!D278</f>
        <v>13499925.060000001</v>
      </c>
      <c r="D278" s="10">
        <f>'A) Base RI'!AO278</f>
        <v>-168541.72</v>
      </c>
      <c r="E278" s="34">
        <f>'A) Base RI'!AP278</f>
        <v>0</v>
      </c>
      <c r="F278" s="34">
        <f>'A) Base RI'!AQ278</f>
        <v>-8450.23</v>
      </c>
      <c r="G278" s="2">
        <f t="shared" si="24"/>
        <v>13322933.109999999</v>
      </c>
      <c r="H278" s="10">
        <f>'A) Base RI'!E278</f>
        <v>0</v>
      </c>
      <c r="I278" s="10">
        <f>'A) Base RI'!F278</f>
        <v>0</v>
      </c>
      <c r="J278" s="10">
        <f>'A) Base RI'!G278+'A) Base RI'!H278</f>
        <v>31228410.699999999</v>
      </c>
      <c r="K278" s="10">
        <f>'A) Base RI'!I278</f>
        <v>997451.13</v>
      </c>
      <c r="L278" s="10">
        <f>'A) Base RI'!J278</f>
        <v>2088099.43</v>
      </c>
      <c r="M278" s="10">
        <f>'A) Base RI'!K278</f>
        <v>282657.5</v>
      </c>
      <c r="N278" s="10">
        <f>'A) Base RI'!Q278</f>
        <v>58722.47</v>
      </c>
      <c r="O278" s="10">
        <f t="shared" si="25"/>
        <v>1691636.05</v>
      </c>
      <c r="P278" s="10">
        <f>'A) Base RI'!L278</f>
        <v>1691636.05</v>
      </c>
      <c r="Q278" s="37">
        <f>'A) Base RI'!AR278</f>
        <v>1</v>
      </c>
      <c r="R278" s="2">
        <f t="shared" si="26"/>
        <v>49669910.390000001</v>
      </c>
      <c r="S278" s="36">
        <f>'A) Base RI'!AM278</f>
        <v>59.5</v>
      </c>
      <c r="T278" s="2">
        <f t="shared" si="27"/>
        <v>47695616.840000004</v>
      </c>
      <c r="U278" s="2">
        <f t="shared" si="28"/>
        <v>834788.40991596645</v>
      </c>
      <c r="V278" s="10">
        <f>'A) Base RI'!O278</f>
        <v>808467.1</v>
      </c>
      <c r="W278" s="10">
        <f>'A) Base RI'!P278</f>
        <v>493965.65</v>
      </c>
      <c r="X278" s="10">
        <f>'A) Base RI'!R278</f>
        <v>239195.75</v>
      </c>
      <c r="Y278" s="2">
        <f t="shared" si="29"/>
        <v>1541628.5</v>
      </c>
      <c r="Z278" s="10">
        <f>'A) Base RI'!N278</f>
        <v>709686.45</v>
      </c>
      <c r="AA278" s="10">
        <f>'A) Base RI'!S278+'A) Base RI'!T278</f>
        <v>0</v>
      </c>
      <c r="AB278" s="10">
        <f>+'A) Base RI'!U278</f>
        <v>22406.25</v>
      </c>
      <c r="AC278" s="10">
        <f>'A) Base RI'!V278</f>
        <v>0</v>
      </c>
      <c r="AD278" s="10">
        <f>+'A) Base RI'!W278</f>
        <v>0</v>
      </c>
      <c r="AE278" s="10">
        <f>'A) Base RI'!Y278</f>
        <v>25182.799999999999</v>
      </c>
      <c r="AF278" s="10">
        <f>'A) Base RI'!Z278</f>
        <v>418530.8</v>
      </c>
      <c r="AG278" s="10">
        <f>'A) Base RI'!AA278</f>
        <v>1020368.25</v>
      </c>
      <c r="AH278" s="10">
        <f>'A) Base RI'!AB278</f>
        <v>0</v>
      </c>
      <c r="AI278" s="10">
        <f>'A) Base RI'!AC278</f>
        <v>456791.2</v>
      </c>
      <c r="AJ278" s="10">
        <f>'A) Base RI'!AD278</f>
        <v>0</v>
      </c>
      <c r="AK278" s="10">
        <f>'A) Base RI'!AE278</f>
        <v>0</v>
      </c>
      <c r="AL278" s="10">
        <f>'A) Base RI'!AF278</f>
        <v>0</v>
      </c>
      <c r="AM278" s="10">
        <f>'A) Base RI'!AG278</f>
        <v>102942.39999999999</v>
      </c>
      <c r="AN278" s="10">
        <f>'A) Base RI'!AH278</f>
        <v>221658.85</v>
      </c>
      <c r="AO278" s="10">
        <f>'A) Base RI'!AI278</f>
        <v>0</v>
      </c>
      <c r="AP278" s="10">
        <f>'A) Base RI'!AJ278</f>
        <v>0</v>
      </c>
      <c r="AQ278" s="10">
        <f>'A) Base RI'!AK278</f>
        <v>0</v>
      </c>
      <c r="AR278" s="10">
        <f>'A) Base RI'!AN278</f>
        <v>6142</v>
      </c>
    </row>
    <row r="279" spans="1:44" x14ac:dyDescent="0.25">
      <c r="A279" s="8">
        <f>'A) Base RI'!A279</f>
        <v>5862</v>
      </c>
      <c r="B279" s="35" t="str">
        <f>'A) Base RI'!B279</f>
        <v>Tartegnin</v>
      </c>
      <c r="C279" s="10">
        <f>'A) Base RI'!C279+'A) Base RI'!D279</f>
        <v>639479.07000000007</v>
      </c>
      <c r="D279" s="10">
        <f>'A) Base RI'!AO279</f>
        <v>-7337.61</v>
      </c>
      <c r="E279" s="34">
        <f>'A) Base RI'!AP279</f>
        <v>0</v>
      </c>
      <c r="F279" s="34">
        <f>'A) Base RI'!AQ279</f>
        <v>-163.41</v>
      </c>
      <c r="G279" s="2">
        <f t="shared" si="24"/>
        <v>631978.05000000005</v>
      </c>
      <c r="H279" s="10">
        <f>'A) Base RI'!E279</f>
        <v>0</v>
      </c>
      <c r="I279" s="10">
        <f>'A) Base RI'!F279</f>
        <v>0</v>
      </c>
      <c r="J279" s="10">
        <f>'A) Base RI'!G279+'A) Base RI'!H279</f>
        <v>4175.95</v>
      </c>
      <c r="K279" s="10">
        <f>'A) Base RI'!I279</f>
        <v>0</v>
      </c>
      <c r="L279" s="10">
        <f>'A) Base RI'!J279</f>
        <v>15914.58</v>
      </c>
      <c r="M279" s="10">
        <f>'A) Base RI'!K279</f>
        <v>0</v>
      </c>
      <c r="N279" s="10">
        <f>'A) Base RI'!Q279</f>
        <v>0</v>
      </c>
      <c r="O279" s="10">
        <f t="shared" si="25"/>
        <v>45250.833333333336</v>
      </c>
      <c r="P279" s="10">
        <f>'A) Base RI'!L279</f>
        <v>40725.75</v>
      </c>
      <c r="Q279" s="37">
        <f>'A) Base RI'!AR279</f>
        <v>0.9</v>
      </c>
      <c r="R279" s="2">
        <f t="shared" si="26"/>
        <v>697319.41333333333</v>
      </c>
      <c r="S279" s="36">
        <f>'A) Base RI'!AM279</f>
        <v>84</v>
      </c>
      <c r="T279" s="2">
        <f t="shared" si="27"/>
        <v>652068.57999999996</v>
      </c>
      <c r="U279" s="2">
        <f t="shared" si="28"/>
        <v>8301.4215873015874</v>
      </c>
      <c r="V279" s="10">
        <f>'A) Base RI'!O279</f>
        <v>27268.799999999999</v>
      </c>
      <c r="W279" s="10">
        <f>'A) Base RI'!P279</f>
        <v>13200</v>
      </c>
      <c r="X279" s="10">
        <f>'A) Base RI'!R279</f>
        <v>9618.7999999999993</v>
      </c>
      <c r="Y279" s="2">
        <f t="shared" si="29"/>
        <v>50087.600000000006</v>
      </c>
      <c r="Z279" s="10">
        <f>'A) Base RI'!N279</f>
        <v>8135.4</v>
      </c>
      <c r="AA279" s="10">
        <f>'A) Base RI'!S279+'A) Base RI'!T279</f>
        <v>0</v>
      </c>
      <c r="AB279" s="10">
        <f>+'A) Base RI'!U279</f>
        <v>950</v>
      </c>
      <c r="AC279" s="10">
        <f>'A) Base RI'!V279</f>
        <v>0</v>
      </c>
      <c r="AD279" s="10">
        <f>+'A) Base RI'!W279</f>
        <v>0</v>
      </c>
      <c r="AE279" s="10">
        <f>'A) Base RI'!Y279</f>
        <v>0</v>
      </c>
      <c r="AF279" s="10">
        <f>'A) Base RI'!Z279</f>
        <v>0</v>
      </c>
      <c r="AG279" s="10">
        <f>'A) Base RI'!AA279</f>
        <v>45312.4</v>
      </c>
      <c r="AH279" s="10">
        <f>'A) Base RI'!AB279</f>
        <v>0</v>
      </c>
      <c r="AI279" s="10">
        <f>'A) Base RI'!AC279</f>
        <v>15865.45</v>
      </c>
      <c r="AJ279" s="10">
        <f>'A) Base RI'!AD279</f>
        <v>0</v>
      </c>
      <c r="AK279" s="10">
        <f>'A) Base RI'!AE279</f>
        <v>0</v>
      </c>
      <c r="AL279" s="10">
        <f>'A) Base RI'!AF279</f>
        <v>0</v>
      </c>
      <c r="AM279" s="10">
        <f>'A) Base RI'!AG279</f>
        <v>0</v>
      </c>
      <c r="AN279" s="10">
        <f>'A) Base RI'!AH279</f>
        <v>0</v>
      </c>
      <c r="AO279" s="10">
        <f>'A) Base RI'!AI279</f>
        <v>0</v>
      </c>
      <c r="AP279" s="10">
        <f>'A) Base RI'!AJ279</f>
        <v>0</v>
      </c>
      <c r="AQ279" s="10">
        <f>'A) Base RI'!AK279</f>
        <v>0</v>
      </c>
      <c r="AR279" s="10">
        <f>'A) Base RI'!AN279</f>
        <v>236</v>
      </c>
    </row>
    <row r="280" spans="1:44" x14ac:dyDescent="0.25">
      <c r="A280" s="8">
        <f>'A) Base RI'!A280</f>
        <v>5863</v>
      </c>
      <c r="B280" s="35" t="str">
        <f>'A) Base RI'!B280</f>
        <v>Vinzel</v>
      </c>
      <c r="C280" s="10">
        <f>'A) Base RI'!C280+'A) Base RI'!D280</f>
        <v>1656137.24</v>
      </c>
      <c r="D280" s="10">
        <f>'A) Base RI'!AO280</f>
        <v>-5536.93</v>
      </c>
      <c r="E280" s="34">
        <f>'A) Base RI'!AP280</f>
        <v>0</v>
      </c>
      <c r="F280" s="34">
        <f>'A) Base RI'!AQ280</f>
        <v>-97.62</v>
      </c>
      <c r="G280" s="2">
        <f t="shared" si="24"/>
        <v>1650502.69</v>
      </c>
      <c r="H280" s="10">
        <f>'A) Base RI'!E280</f>
        <v>0</v>
      </c>
      <c r="I280" s="10">
        <f>'A) Base RI'!F280</f>
        <v>0</v>
      </c>
      <c r="J280" s="10">
        <f>'A) Base RI'!G280+'A) Base RI'!H280</f>
        <v>-4646.8999999999996</v>
      </c>
      <c r="K280" s="10">
        <f>'A) Base RI'!I280</f>
        <v>0</v>
      </c>
      <c r="L280" s="10">
        <f>'A) Base RI'!J280</f>
        <v>-3175.02</v>
      </c>
      <c r="M280" s="10">
        <f>'A) Base RI'!K280</f>
        <v>507</v>
      </c>
      <c r="N280" s="10">
        <f>'A) Base RI'!Q280</f>
        <v>0</v>
      </c>
      <c r="O280" s="10">
        <f t="shared" si="25"/>
        <v>73798.2</v>
      </c>
      <c r="P280" s="10">
        <f>'A) Base RI'!L280</f>
        <v>73798.2</v>
      </c>
      <c r="Q280" s="37">
        <f>'A) Base RI'!AR280</f>
        <v>1</v>
      </c>
      <c r="R280" s="2">
        <f t="shared" si="26"/>
        <v>1716985.97</v>
      </c>
      <c r="S280" s="36">
        <f>'A) Base RI'!AM280</f>
        <v>70</v>
      </c>
      <c r="T280" s="2">
        <f t="shared" si="27"/>
        <v>1642680.77</v>
      </c>
      <c r="U280" s="2">
        <f t="shared" si="28"/>
        <v>24528.370999999999</v>
      </c>
      <c r="V280" s="10">
        <f>'A) Base RI'!O280</f>
        <v>0</v>
      </c>
      <c r="W280" s="10">
        <f>'A) Base RI'!P280</f>
        <v>17588.150000000001</v>
      </c>
      <c r="X280" s="10">
        <f>'A) Base RI'!R280</f>
        <v>0</v>
      </c>
      <c r="Y280" s="2">
        <f t="shared" si="29"/>
        <v>17588.150000000001</v>
      </c>
      <c r="Z280" s="10">
        <f>'A) Base RI'!N280</f>
        <v>15799.95</v>
      </c>
      <c r="AA280" s="10">
        <f>'A) Base RI'!S280+'A) Base RI'!T280</f>
        <v>325</v>
      </c>
      <c r="AB280" s="10">
        <f>+'A) Base RI'!U280</f>
        <v>1300</v>
      </c>
      <c r="AC280" s="10">
        <f>'A) Base RI'!V280</f>
        <v>0</v>
      </c>
      <c r="AD280" s="10">
        <f>+'A) Base RI'!W280</f>
        <v>0</v>
      </c>
      <c r="AE280" s="10">
        <f>'A) Base RI'!Y280</f>
        <v>0</v>
      </c>
      <c r="AF280" s="10">
        <f>'A) Base RI'!Z280</f>
        <v>0</v>
      </c>
      <c r="AG280" s="10">
        <f>'A) Base RI'!AA280</f>
        <v>14722.05</v>
      </c>
      <c r="AH280" s="10">
        <f>'A) Base RI'!AB280</f>
        <v>0</v>
      </c>
      <c r="AI280" s="10">
        <f>'A) Base RI'!AC280</f>
        <v>19673.599999999999</v>
      </c>
      <c r="AJ280" s="10">
        <f>'A) Base RI'!AD280</f>
        <v>0</v>
      </c>
      <c r="AK280" s="10">
        <f>'A) Base RI'!AE280</f>
        <v>0</v>
      </c>
      <c r="AL280" s="10">
        <f>'A) Base RI'!AF280</f>
        <v>0</v>
      </c>
      <c r="AM280" s="10">
        <f>'A) Base RI'!AG280</f>
        <v>1142.45</v>
      </c>
      <c r="AN280" s="10">
        <f>'A) Base RI'!AH280</f>
        <v>6024.15</v>
      </c>
      <c r="AO280" s="10">
        <f>'A) Base RI'!AI280</f>
        <v>0</v>
      </c>
      <c r="AP280" s="10">
        <f>'A) Base RI'!AJ280</f>
        <v>0</v>
      </c>
      <c r="AQ280" s="10">
        <f>'A) Base RI'!AK280</f>
        <v>0</v>
      </c>
      <c r="AR280" s="10">
        <f>'A) Base RI'!AN280</f>
        <v>352</v>
      </c>
    </row>
    <row r="281" spans="1:44" x14ac:dyDescent="0.25">
      <c r="A281" s="8">
        <f>'A) Base RI'!A281</f>
        <v>5871</v>
      </c>
      <c r="B281" s="35" t="str">
        <f>'A) Base RI'!B281</f>
        <v>L'Abbaye</v>
      </c>
      <c r="C281" s="10">
        <f>'A) Base RI'!C281+'A) Base RI'!D281</f>
        <v>3277564.1700000004</v>
      </c>
      <c r="D281" s="10">
        <f>'A) Base RI'!AO281</f>
        <v>-29337.68</v>
      </c>
      <c r="E281" s="34">
        <f>'A) Base RI'!AP281</f>
        <v>0</v>
      </c>
      <c r="F281" s="34">
        <f>'A) Base RI'!AQ281</f>
        <v>-96.6</v>
      </c>
      <c r="G281" s="2">
        <f t="shared" si="24"/>
        <v>3248129.89</v>
      </c>
      <c r="H281" s="10">
        <f>'A) Base RI'!E281</f>
        <v>0</v>
      </c>
      <c r="I281" s="10">
        <f>'A) Base RI'!F281</f>
        <v>0</v>
      </c>
      <c r="J281" s="10">
        <f>'A) Base RI'!G281+'A) Base RI'!H281</f>
        <v>-388364.19999999995</v>
      </c>
      <c r="K281" s="10">
        <f>'A) Base RI'!I281</f>
        <v>0</v>
      </c>
      <c r="L281" s="10">
        <f>'A) Base RI'!J281</f>
        <v>85515.43</v>
      </c>
      <c r="M281" s="10">
        <f>'A) Base RI'!K281</f>
        <v>1827.5</v>
      </c>
      <c r="N281" s="10">
        <f>'A) Base RI'!Q281</f>
        <v>3839.56</v>
      </c>
      <c r="O281" s="10">
        <f t="shared" si="25"/>
        <v>239271.1</v>
      </c>
      <c r="P281" s="10">
        <f>'A) Base RI'!L281</f>
        <v>239271.1</v>
      </c>
      <c r="Q281" s="37">
        <f>'A) Base RI'!AR281</f>
        <v>1</v>
      </c>
      <c r="R281" s="2">
        <f t="shared" si="26"/>
        <v>3190219.2800000007</v>
      </c>
      <c r="S281" s="36">
        <v>77.489999999999995</v>
      </c>
      <c r="T281" s="2">
        <f t="shared" si="27"/>
        <v>2949120.6800000006</v>
      </c>
      <c r="U281" s="2">
        <f t="shared" si="28"/>
        <v>41169.431926700228</v>
      </c>
      <c r="V281" s="10">
        <f>'A) Base RI'!O281</f>
        <v>26165</v>
      </c>
      <c r="W281" s="10">
        <f>'A) Base RI'!P281</f>
        <v>91019.35</v>
      </c>
      <c r="X281" s="10">
        <f>'A) Base RI'!R281</f>
        <v>87370.2</v>
      </c>
      <c r="Y281" s="2">
        <f t="shared" si="29"/>
        <v>204554.55</v>
      </c>
      <c r="Z281" s="10">
        <f>'A) Base RI'!N281</f>
        <v>637314</v>
      </c>
      <c r="AA281" s="10">
        <f>'A) Base RI'!S281+'A) Base RI'!T281</f>
        <v>0</v>
      </c>
      <c r="AB281" s="10">
        <f>+'A) Base RI'!U281</f>
        <v>10000</v>
      </c>
      <c r="AC281" s="10">
        <f>'A) Base RI'!V281</f>
        <v>0</v>
      </c>
      <c r="AD281" s="10">
        <f>+'A) Base RI'!W281</f>
        <v>0</v>
      </c>
      <c r="AE281" s="10">
        <f>'A) Base RI'!Y281</f>
        <v>5319.15</v>
      </c>
      <c r="AF281" s="10">
        <f>'A) Base RI'!Z281</f>
        <v>2197.9</v>
      </c>
      <c r="AG281" s="10">
        <f>'A) Base RI'!AA281</f>
        <v>296592.09999999998</v>
      </c>
      <c r="AH281" s="10">
        <f>'A) Base RI'!AB281</f>
        <v>0</v>
      </c>
      <c r="AI281" s="10">
        <f>'A) Base RI'!AC281</f>
        <v>143660.9</v>
      </c>
      <c r="AJ281" s="10">
        <f>'A) Base RI'!AD281</f>
        <v>0</v>
      </c>
      <c r="AK281" s="10">
        <f>'A) Base RI'!AE281</f>
        <v>0</v>
      </c>
      <c r="AL281" s="10">
        <f>'A) Base RI'!AF281</f>
        <v>0</v>
      </c>
      <c r="AM281" s="10">
        <f>'A) Base RI'!AG281</f>
        <v>60015.199999999997</v>
      </c>
      <c r="AN281" s="10">
        <f>'A) Base RI'!AH281</f>
        <v>0</v>
      </c>
      <c r="AO281" s="10">
        <f>'A) Base RI'!AI281</f>
        <v>0</v>
      </c>
      <c r="AP281" s="10">
        <f>'A) Base RI'!AJ281</f>
        <v>0</v>
      </c>
      <c r="AQ281" s="10">
        <f>'A) Base RI'!AK281</f>
        <v>0</v>
      </c>
      <c r="AR281" s="10">
        <f>'A) Base RI'!AN281</f>
        <v>1439</v>
      </c>
    </row>
    <row r="282" spans="1:44" x14ac:dyDescent="0.25">
      <c r="A282" s="8">
        <f>'A) Base RI'!A282</f>
        <v>5872</v>
      </c>
      <c r="B282" s="35" t="str">
        <f>'A) Base RI'!B282</f>
        <v>Le Chenit</v>
      </c>
      <c r="C282" s="10">
        <f>'A) Base RI'!C282+'A) Base RI'!D282</f>
        <v>7741297.3799999999</v>
      </c>
      <c r="D282" s="10">
        <f>'A) Base RI'!AO282</f>
        <v>-94200.98</v>
      </c>
      <c r="E282" s="34">
        <f>'A) Base RI'!AP282</f>
        <v>0</v>
      </c>
      <c r="F282" s="34">
        <f>'A) Base RI'!AQ282</f>
        <v>-416.92</v>
      </c>
      <c r="G282" s="2">
        <f t="shared" si="24"/>
        <v>7646679.4799999995</v>
      </c>
      <c r="H282" s="10">
        <f>'A) Base RI'!E282</f>
        <v>0</v>
      </c>
      <c r="I282" s="10">
        <f>'A) Base RI'!F282</f>
        <v>0</v>
      </c>
      <c r="J282" s="10">
        <f>'A) Base RI'!G282+'A) Base RI'!H282</f>
        <v>12305608.549999999</v>
      </c>
      <c r="K282" s="10">
        <f>'A) Base RI'!I282</f>
        <v>0</v>
      </c>
      <c r="L282" s="10">
        <f>'A) Base RI'!J282</f>
        <v>1343658.41</v>
      </c>
      <c r="M282" s="10">
        <f>'A) Base RI'!K282</f>
        <v>16760.5</v>
      </c>
      <c r="N282" s="10">
        <f>'A) Base RI'!Q282</f>
        <v>29015.99</v>
      </c>
      <c r="O282" s="10">
        <f t="shared" si="25"/>
        <v>650299.21428571432</v>
      </c>
      <c r="P282" s="10">
        <f>'A) Base RI'!L282</f>
        <v>455209.45</v>
      </c>
      <c r="Q282" s="37">
        <f>'A) Base RI'!AR282</f>
        <v>0.7</v>
      </c>
      <c r="R282" s="2">
        <f t="shared" si="26"/>
        <v>21992022.144285709</v>
      </c>
      <c r="S282" s="36">
        <f>'A) Base RI'!AM282</f>
        <v>69.7</v>
      </c>
      <c r="T282" s="2">
        <f t="shared" si="27"/>
        <v>21324962.429999996</v>
      </c>
      <c r="U282" s="2">
        <f t="shared" si="28"/>
        <v>315523.99059233442</v>
      </c>
      <c r="V282" s="10">
        <f>'A) Base RI'!O282</f>
        <v>18221.8</v>
      </c>
      <c r="W282" s="10">
        <f>'A) Base RI'!P282</f>
        <v>171905.9</v>
      </c>
      <c r="X282" s="10">
        <f>'A) Base RI'!R282</f>
        <v>219957.3</v>
      </c>
      <c r="Y282" s="2">
        <f t="shared" si="29"/>
        <v>410085</v>
      </c>
      <c r="Z282" s="10">
        <f>'A) Base RI'!N282</f>
        <v>5100792.1500000004</v>
      </c>
      <c r="AA282" s="10">
        <f>'A) Base RI'!S282+'A) Base RI'!T282</f>
        <v>3100</v>
      </c>
      <c r="AB282" s="10">
        <f>+'A) Base RI'!U282</f>
        <v>28850</v>
      </c>
      <c r="AC282" s="10">
        <f>'A) Base RI'!V282</f>
        <v>0</v>
      </c>
      <c r="AD282" s="10">
        <f>+'A) Base RI'!W282</f>
        <v>0</v>
      </c>
      <c r="AE282" s="10">
        <f>'A) Base RI'!Y282</f>
        <v>34432</v>
      </c>
      <c r="AF282" s="10">
        <f>'A) Base RI'!Z282</f>
        <v>17213</v>
      </c>
      <c r="AG282" s="10">
        <f>'A) Base RI'!AA282</f>
        <v>961561.1</v>
      </c>
      <c r="AH282" s="10">
        <f>'A) Base RI'!AB282</f>
        <v>0</v>
      </c>
      <c r="AI282" s="10">
        <f>'A) Base RI'!AC282</f>
        <v>429766.40000000002</v>
      </c>
      <c r="AJ282" s="10">
        <f>'A) Base RI'!AD282</f>
        <v>28581</v>
      </c>
      <c r="AK282" s="10">
        <f>'A) Base RI'!AE282</f>
        <v>14289</v>
      </c>
      <c r="AL282" s="10">
        <f>'A) Base RI'!AF282</f>
        <v>0</v>
      </c>
      <c r="AM282" s="10">
        <f>'A) Base RI'!AG282</f>
        <v>111394.6</v>
      </c>
      <c r="AN282" s="10">
        <f>'A) Base RI'!AH282</f>
        <v>0</v>
      </c>
      <c r="AO282" s="10">
        <f>'A) Base RI'!AI282</f>
        <v>0</v>
      </c>
      <c r="AP282" s="10">
        <f>'A) Base RI'!AJ282</f>
        <v>0</v>
      </c>
      <c r="AQ282" s="10">
        <f>'A) Base RI'!AK282</f>
        <v>0</v>
      </c>
      <c r="AR282" s="10">
        <f>'A) Base RI'!AN282</f>
        <v>4608</v>
      </c>
    </row>
    <row r="283" spans="1:44" x14ac:dyDescent="0.25">
      <c r="A283" s="8">
        <f>'A) Base RI'!A283</f>
        <v>5873</v>
      </c>
      <c r="B283" s="35" t="str">
        <f>'A) Base RI'!B283</f>
        <v>Le Lieu</v>
      </c>
      <c r="C283" s="10">
        <f>'A) Base RI'!C283+'A) Base RI'!D283</f>
        <v>1609051.22</v>
      </c>
      <c r="D283" s="10">
        <f>'A) Base RI'!AO283</f>
        <v>-19656.509999999998</v>
      </c>
      <c r="E283" s="34">
        <f>'A) Base RI'!AP283</f>
        <v>0</v>
      </c>
      <c r="F283" s="34">
        <f>'A) Base RI'!AQ283</f>
        <v>-136.06</v>
      </c>
      <c r="G283" s="2">
        <f t="shared" si="24"/>
        <v>1589258.65</v>
      </c>
      <c r="H283" s="10">
        <f>'A) Base RI'!E283</f>
        <v>0</v>
      </c>
      <c r="I283" s="10">
        <f>'A) Base RI'!F283</f>
        <v>0</v>
      </c>
      <c r="J283" s="10">
        <f>'A) Base RI'!G283+'A) Base RI'!H283</f>
        <v>206256.3</v>
      </c>
      <c r="K283" s="10">
        <f>'A) Base RI'!I283</f>
        <v>0</v>
      </c>
      <c r="L283" s="10">
        <f>'A) Base RI'!J283</f>
        <v>54999.93</v>
      </c>
      <c r="M283" s="10">
        <f>'A) Base RI'!K283</f>
        <v>0</v>
      </c>
      <c r="N283" s="10">
        <f>'A) Base RI'!Q283</f>
        <v>2372.81</v>
      </c>
      <c r="O283" s="10">
        <f t="shared" si="25"/>
        <v>135271.66666666669</v>
      </c>
      <c r="P283" s="10">
        <f>'A) Base RI'!L283</f>
        <v>81163</v>
      </c>
      <c r="Q283" s="37">
        <f>'A) Base RI'!AR283</f>
        <v>0.6</v>
      </c>
      <c r="R283" s="2">
        <f t="shared" si="26"/>
        <v>1988159.3566666667</v>
      </c>
      <c r="S283" s="36">
        <f>'A) Base RI'!AM283</f>
        <v>65</v>
      </c>
      <c r="T283" s="2">
        <f t="shared" si="27"/>
        <v>1852887.69</v>
      </c>
      <c r="U283" s="2">
        <f t="shared" si="28"/>
        <v>30587.067025641027</v>
      </c>
      <c r="V283" s="10">
        <f>'A) Base RI'!O283</f>
        <v>7167.6</v>
      </c>
      <c r="W283" s="10">
        <f>'A) Base RI'!P283</f>
        <v>58272.5</v>
      </c>
      <c r="X283" s="10">
        <f>'A) Base RI'!R283</f>
        <v>51373.85</v>
      </c>
      <c r="Y283" s="2">
        <f t="shared" si="29"/>
        <v>116813.95</v>
      </c>
      <c r="Z283" s="10">
        <f>'A) Base RI'!N283</f>
        <v>806704.85</v>
      </c>
      <c r="AA283" s="10">
        <f>'A) Base RI'!S283+'A) Base RI'!T283</f>
        <v>0</v>
      </c>
      <c r="AB283" s="10">
        <f>+'A) Base RI'!U283</f>
        <v>7050</v>
      </c>
      <c r="AC283" s="10">
        <f>'A) Base RI'!V283</f>
        <v>0</v>
      </c>
      <c r="AD283" s="10">
        <f>+'A) Base RI'!W283</f>
        <v>0</v>
      </c>
      <c r="AE283" s="10">
        <f>'A) Base RI'!Y283</f>
        <v>5985</v>
      </c>
      <c r="AF283" s="10">
        <f>'A) Base RI'!Z283</f>
        <v>0</v>
      </c>
      <c r="AG283" s="10">
        <f>'A) Base RI'!AA283</f>
        <v>228000.4</v>
      </c>
      <c r="AH283" s="10">
        <f>'A) Base RI'!AB283</f>
        <v>0</v>
      </c>
      <c r="AI283" s="10">
        <f>'A) Base RI'!AC283</f>
        <v>88342.3</v>
      </c>
      <c r="AJ283" s="10">
        <f>'A) Base RI'!AD283</f>
        <v>7980</v>
      </c>
      <c r="AK283" s="10">
        <f>'A) Base RI'!AE283</f>
        <v>0</v>
      </c>
      <c r="AL283" s="10">
        <f>'A) Base RI'!AF283</f>
        <v>0</v>
      </c>
      <c r="AM283" s="10">
        <f>'A) Base RI'!AG283</f>
        <v>25884</v>
      </c>
      <c r="AN283" s="10">
        <f>'A) Base RI'!AH283</f>
        <v>0</v>
      </c>
      <c r="AO283" s="10">
        <f>'A) Base RI'!AI283</f>
        <v>0</v>
      </c>
      <c r="AP283" s="10">
        <f>'A) Base RI'!AJ283</f>
        <v>0</v>
      </c>
      <c r="AQ283" s="10">
        <f>'A) Base RI'!AK283</f>
        <v>0</v>
      </c>
      <c r="AR283" s="10">
        <f>'A) Base RI'!AN283</f>
        <v>873</v>
      </c>
    </row>
    <row r="284" spans="1:44" x14ac:dyDescent="0.25">
      <c r="A284" s="8">
        <f>'A) Base RI'!A284</f>
        <v>5881</v>
      </c>
      <c r="B284" s="35" t="str">
        <f>'A) Base RI'!B284</f>
        <v>Blonay</v>
      </c>
      <c r="C284" s="10">
        <f>'A) Base RI'!C284+'A) Base RI'!D284</f>
        <v>20202099.739999998</v>
      </c>
      <c r="D284" s="10">
        <f>'A) Base RI'!AO284</f>
        <v>-143524.78</v>
      </c>
      <c r="E284" s="34">
        <f>'A) Base RI'!AP284</f>
        <v>0</v>
      </c>
      <c r="F284" s="34">
        <f>'A) Base RI'!AQ284</f>
        <v>-34734.68</v>
      </c>
      <c r="G284" s="2">
        <f t="shared" si="24"/>
        <v>20023840.279999997</v>
      </c>
      <c r="H284" s="10">
        <f>'A) Base RI'!E284</f>
        <v>0</v>
      </c>
      <c r="I284" s="10">
        <f>'A) Base RI'!F284</f>
        <v>0</v>
      </c>
      <c r="J284" s="10">
        <f>'A) Base RI'!G284+'A) Base RI'!H284</f>
        <v>614237.25</v>
      </c>
      <c r="K284" s="10">
        <f>'A) Base RI'!I284</f>
        <v>639726.47</v>
      </c>
      <c r="L284" s="10">
        <f>'A) Base RI'!J284</f>
        <v>257478.04</v>
      </c>
      <c r="M284" s="10">
        <f>'A) Base RI'!K284</f>
        <v>56274</v>
      </c>
      <c r="N284" s="10">
        <f>'A) Base RI'!Q284</f>
        <v>126992.67</v>
      </c>
      <c r="O284" s="10">
        <f t="shared" si="25"/>
        <v>1550001.6</v>
      </c>
      <c r="P284" s="10">
        <f>'A) Base RI'!L284</f>
        <v>1550001.6</v>
      </c>
      <c r="Q284" s="37">
        <f>'A) Base RI'!AR284</f>
        <v>1</v>
      </c>
      <c r="R284" s="2">
        <f t="shared" si="26"/>
        <v>23268550.309999999</v>
      </c>
      <c r="S284" s="36">
        <f>'A) Base RI'!AM284</f>
        <v>70</v>
      </c>
      <c r="T284" s="2">
        <f t="shared" si="27"/>
        <v>21662274.709999997</v>
      </c>
      <c r="U284" s="2">
        <f t="shared" si="28"/>
        <v>332407.86157142854</v>
      </c>
      <c r="V284" s="10">
        <f>'A) Base RI'!O284</f>
        <v>1055691.7</v>
      </c>
      <c r="W284" s="10">
        <f>'A) Base RI'!P284</f>
        <v>1006294.55</v>
      </c>
      <c r="X284" s="10">
        <f>'A) Base RI'!R284</f>
        <v>741092.65</v>
      </c>
      <c r="Y284" s="2">
        <f t="shared" si="29"/>
        <v>2803078.9</v>
      </c>
      <c r="Z284" s="10">
        <f>'A) Base RI'!N284</f>
        <v>78289.55</v>
      </c>
      <c r="AA284" s="10">
        <f>'A) Base RI'!S284+'A) Base RI'!T284</f>
        <v>0</v>
      </c>
      <c r="AB284" s="10">
        <f>+'A) Base RI'!U284</f>
        <v>55150</v>
      </c>
      <c r="AC284" s="10">
        <f>'A) Base RI'!V284</f>
        <v>0</v>
      </c>
      <c r="AD284" s="10">
        <f>+'A) Base RI'!W284</f>
        <v>0</v>
      </c>
      <c r="AE284" s="10">
        <f>'A) Base RI'!Y284</f>
        <v>105540.5</v>
      </c>
      <c r="AF284" s="10">
        <f>'A) Base RI'!Z284</f>
        <v>0</v>
      </c>
      <c r="AG284" s="10">
        <f>'A) Base RI'!AA284</f>
        <v>448877.05</v>
      </c>
      <c r="AH284" s="10">
        <f>'A) Base RI'!AB284</f>
        <v>0</v>
      </c>
      <c r="AI284" s="10">
        <f>'A) Base RI'!AC284</f>
        <v>739690.3</v>
      </c>
      <c r="AJ284" s="10">
        <f>'A) Base RI'!AD284</f>
        <v>202980.4</v>
      </c>
      <c r="AK284" s="10">
        <f>'A) Base RI'!AE284</f>
        <v>0</v>
      </c>
      <c r="AL284" s="10">
        <f>'A) Base RI'!AF284</f>
        <v>0</v>
      </c>
      <c r="AM284" s="10">
        <f>'A) Base RI'!AG284</f>
        <v>0</v>
      </c>
      <c r="AN284" s="10">
        <f>'A) Base RI'!AH284</f>
        <v>0</v>
      </c>
      <c r="AO284" s="10">
        <f>'A) Base RI'!AI284</f>
        <v>0</v>
      </c>
      <c r="AP284" s="10">
        <f>'A) Base RI'!AJ284</f>
        <v>0</v>
      </c>
      <c r="AQ284" s="10">
        <f>'A) Base RI'!AK284</f>
        <v>0</v>
      </c>
      <c r="AR284" s="10">
        <f>'A) Base RI'!AN284</f>
        <v>6116</v>
      </c>
    </row>
    <row r="285" spans="1:44" x14ac:dyDescent="0.25">
      <c r="A285" s="8">
        <f>'A) Base RI'!A285</f>
        <v>5882</v>
      </c>
      <c r="B285" s="35" t="str">
        <f>'A) Base RI'!B285</f>
        <v>Chardonne</v>
      </c>
      <c r="C285" s="10">
        <f>'A) Base RI'!C285+'A) Base RI'!D285</f>
        <v>8715693.25</v>
      </c>
      <c r="D285" s="10">
        <f>'A) Base RI'!AO285</f>
        <v>-78409.47</v>
      </c>
      <c r="E285" s="34">
        <f>'A) Base RI'!AP285</f>
        <v>0</v>
      </c>
      <c r="F285" s="34">
        <f>'A) Base RI'!AQ285</f>
        <v>-2662.29</v>
      </c>
      <c r="G285" s="2">
        <f t="shared" si="24"/>
        <v>8634621.4900000002</v>
      </c>
      <c r="H285" s="10">
        <f>'A) Base RI'!E285</f>
        <v>0</v>
      </c>
      <c r="I285" s="10">
        <f>'A) Base RI'!F285</f>
        <v>0</v>
      </c>
      <c r="J285" s="10">
        <f>'A) Base RI'!G285+'A) Base RI'!H285</f>
        <v>265056.95</v>
      </c>
      <c r="K285" s="10">
        <f>'A) Base RI'!I285</f>
        <v>371642.95</v>
      </c>
      <c r="L285" s="10">
        <f>'A) Base RI'!J285</f>
        <v>148507.79</v>
      </c>
      <c r="M285" s="10">
        <f>'A) Base RI'!K285</f>
        <v>31313</v>
      </c>
      <c r="N285" s="10">
        <f>'A) Base RI'!Q285</f>
        <v>4039.25</v>
      </c>
      <c r="O285" s="10">
        <f t="shared" si="25"/>
        <v>818902.27</v>
      </c>
      <c r="P285" s="10">
        <f>'A) Base RI'!L285</f>
        <v>818902.27</v>
      </c>
      <c r="Q285" s="37">
        <f>'A) Base RI'!AR285</f>
        <v>1</v>
      </c>
      <c r="R285" s="2">
        <f t="shared" si="26"/>
        <v>10274083.699999997</v>
      </c>
      <c r="S285" s="36">
        <f>'A) Base RI'!AM285</f>
        <v>68</v>
      </c>
      <c r="T285" s="2">
        <f t="shared" si="27"/>
        <v>9423868.4299999978</v>
      </c>
      <c r="U285" s="2">
        <f t="shared" si="28"/>
        <v>151089.46617647054</v>
      </c>
      <c r="V285" s="10">
        <f>'A) Base RI'!O285</f>
        <v>543857.30000000005</v>
      </c>
      <c r="W285" s="10">
        <f>'A) Base RI'!P285</f>
        <v>369527.8</v>
      </c>
      <c r="X285" s="10">
        <f>'A) Base RI'!R285</f>
        <v>285968.7</v>
      </c>
      <c r="Y285" s="2">
        <f t="shared" si="29"/>
        <v>1199353.8</v>
      </c>
      <c r="Z285" s="10">
        <f>'A) Base RI'!N285</f>
        <v>10525.4</v>
      </c>
      <c r="AA285" s="10">
        <f>'A) Base RI'!S285+'A) Base RI'!T285</f>
        <v>0</v>
      </c>
      <c r="AB285" s="10">
        <f>+'A) Base RI'!U285</f>
        <v>11840</v>
      </c>
      <c r="AC285" s="10">
        <f>'A) Base RI'!V285</f>
        <v>0</v>
      </c>
      <c r="AD285" s="10">
        <f>+'A) Base RI'!W285</f>
        <v>0</v>
      </c>
      <c r="AE285" s="10">
        <f>'A) Base RI'!Y285</f>
        <v>228655.19</v>
      </c>
      <c r="AF285" s="10">
        <f>'A) Base RI'!Z285</f>
        <v>0</v>
      </c>
      <c r="AG285" s="10">
        <f>'A) Base RI'!AA285</f>
        <v>322903.82</v>
      </c>
      <c r="AH285" s="10">
        <f>'A) Base RI'!AB285</f>
        <v>0</v>
      </c>
      <c r="AI285" s="10">
        <f>'A) Base RI'!AC285</f>
        <v>220238.6</v>
      </c>
      <c r="AJ285" s="10">
        <f>'A) Base RI'!AD285</f>
        <v>0</v>
      </c>
      <c r="AK285" s="10">
        <f>'A) Base RI'!AE285</f>
        <v>0</v>
      </c>
      <c r="AL285" s="10">
        <f>'A) Base RI'!AF285</f>
        <v>0</v>
      </c>
      <c r="AM285" s="10">
        <f>'A) Base RI'!AG285</f>
        <v>0</v>
      </c>
      <c r="AN285" s="10">
        <f>'A) Base RI'!AH285</f>
        <v>0</v>
      </c>
      <c r="AO285" s="10">
        <f>'A) Base RI'!AI285</f>
        <v>0</v>
      </c>
      <c r="AP285" s="10">
        <f>'A) Base RI'!AJ285</f>
        <v>0</v>
      </c>
      <c r="AQ285" s="10">
        <f>'A) Base RI'!AK285</f>
        <v>0</v>
      </c>
      <c r="AR285" s="10">
        <f>'A) Base RI'!AN285</f>
        <v>2916</v>
      </c>
    </row>
    <row r="286" spans="1:44" x14ac:dyDescent="0.25">
      <c r="A286" s="8">
        <f>'A) Base RI'!A286</f>
        <v>5883</v>
      </c>
      <c r="B286" s="35" t="str">
        <f>'A) Base RI'!B286</f>
        <v>Corseaux</v>
      </c>
      <c r="C286" s="10">
        <f>'A) Base RI'!C286+'A) Base RI'!D286</f>
        <v>8504635.7699999996</v>
      </c>
      <c r="D286" s="10">
        <f>'A) Base RI'!AO286</f>
        <v>-266742.76</v>
      </c>
      <c r="E286" s="34">
        <f>'A) Base RI'!AP286</f>
        <v>0</v>
      </c>
      <c r="F286" s="34">
        <f>'A) Base RI'!AQ286</f>
        <v>-3948.99</v>
      </c>
      <c r="G286" s="2">
        <f t="shared" si="24"/>
        <v>8233944.0199999996</v>
      </c>
      <c r="H286" s="10">
        <f>'A) Base RI'!E286</f>
        <v>0</v>
      </c>
      <c r="I286" s="10">
        <f>'A) Base RI'!F286</f>
        <v>0</v>
      </c>
      <c r="J286" s="10">
        <f>'A) Base RI'!G286+'A) Base RI'!H286</f>
        <v>245983.65</v>
      </c>
      <c r="K286" s="10">
        <f>'A) Base RI'!I286</f>
        <v>359460.3</v>
      </c>
      <c r="L286" s="10">
        <f>'A) Base RI'!J286</f>
        <v>164316.44</v>
      </c>
      <c r="M286" s="10">
        <f>'A) Base RI'!K286</f>
        <v>15641.5</v>
      </c>
      <c r="N286" s="10">
        <f>'A) Base RI'!Q286</f>
        <v>32502.52</v>
      </c>
      <c r="O286" s="10">
        <f t="shared" si="25"/>
        <v>619679.9</v>
      </c>
      <c r="P286" s="10">
        <f>'A) Base RI'!L286</f>
        <v>619679.9</v>
      </c>
      <c r="Q286" s="37">
        <f>'A) Base RI'!AR286</f>
        <v>1</v>
      </c>
      <c r="R286" s="2">
        <f t="shared" si="26"/>
        <v>9671528.3300000001</v>
      </c>
      <c r="S286" s="36">
        <f>'A) Base RI'!AM286</f>
        <v>64</v>
      </c>
      <c r="T286" s="2">
        <f t="shared" si="27"/>
        <v>9036206.9299999997</v>
      </c>
      <c r="U286" s="2">
        <f t="shared" si="28"/>
        <v>151117.63015625</v>
      </c>
      <c r="V286" s="10">
        <f>'A) Base RI'!O286</f>
        <v>130046.3</v>
      </c>
      <c r="W286" s="10">
        <f>'A) Base RI'!P286</f>
        <v>415281.65</v>
      </c>
      <c r="X286" s="10">
        <f>'A) Base RI'!R286</f>
        <v>400764.15</v>
      </c>
      <c r="Y286" s="2">
        <f t="shared" si="29"/>
        <v>946092.10000000009</v>
      </c>
      <c r="Z286" s="10">
        <f>'A) Base RI'!N286</f>
        <v>3263.25</v>
      </c>
      <c r="AA286" s="10">
        <f>'A) Base RI'!S286+'A) Base RI'!T286</f>
        <v>0</v>
      </c>
      <c r="AB286" s="10">
        <f>+'A) Base RI'!U286</f>
        <v>4625</v>
      </c>
      <c r="AC286" s="10">
        <f>'A) Base RI'!V286</f>
        <v>0</v>
      </c>
      <c r="AD286" s="10">
        <f>+'A) Base RI'!W286</f>
        <v>0</v>
      </c>
      <c r="AE286" s="10">
        <f>'A) Base RI'!Y286</f>
        <v>0</v>
      </c>
      <c r="AF286" s="10">
        <f>'A) Base RI'!Z286</f>
        <v>0</v>
      </c>
      <c r="AG286" s="10">
        <f>'A) Base RI'!AA286</f>
        <v>0</v>
      </c>
      <c r="AH286" s="10">
        <f>'A) Base RI'!AB286</f>
        <v>0</v>
      </c>
      <c r="AI286" s="10">
        <f>'A) Base RI'!AC286</f>
        <v>340174.8</v>
      </c>
      <c r="AJ286" s="10">
        <f>'A) Base RI'!AD286</f>
        <v>188988.97</v>
      </c>
      <c r="AK286" s="10">
        <f>'A) Base RI'!AE286</f>
        <v>0</v>
      </c>
      <c r="AL286" s="10">
        <f>'A) Base RI'!AF286</f>
        <v>0</v>
      </c>
      <c r="AM286" s="10">
        <f>'A) Base RI'!AG286</f>
        <v>0</v>
      </c>
      <c r="AN286" s="10">
        <f>'A) Base RI'!AH286</f>
        <v>0</v>
      </c>
      <c r="AO286" s="10">
        <f>'A) Base RI'!AI286</f>
        <v>0</v>
      </c>
      <c r="AP286" s="10">
        <f>'A) Base RI'!AJ286</f>
        <v>0</v>
      </c>
      <c r="AQ286" s="10">
        <f>'A) Base RI'!AK286</f>
        <v>0</v>
      </c>
      <c r="AR286" s="10">
        <f>'A) Base RI'!AN286</f>
        <v>2212</v>
      </c>
    </row>
    <row r="287" spans="1:44" x14ac:dyDescent="0.25">
      <c r="A287" s="8">
        <f>'A) Base RI'!A287</f>
        <v>5884</v>
      </c>
      <c r="B287" s="35" t="str">
        <f>'A) Base RI'!B287</f>
        <v>Corsier-sur-Vevey</v>
      </c>
      <c r="C287" s="10">
        <f>'A) Base RI'!C287+'A) Base RI'!D287</f>
        <v>5832899.3300000001</v>
      </c>
      <c r="D287" s="10">
        <f>'A) Base RI'!AO287</f>
        <v>-152496.71</v>
      </c>
      <c r="E287" s="34">
        <f>'A) Base RI'!AP287</f>
        <v>0</v>
      </c>
      <c r="F287" s="34">
        <f>'A) Base RI'!AQ287</f>
        <v>-423.67</v>
      </c>
      <c r="G287" s="2">
        <f t="shared" si="24"/>
        <v>5679978.9500000002</v>
      </c>
      <c r="H287" s="10">
        <f>'A) Base RI'!E287</f>
        <v>0</v>
      </c>
      <c r="I287" s="10">
        <f>'A) Base RI'!F287</f>
        <v>0</v>
      </c>
      <c r="J287" s="10">
        <f>'A) Base RI'!G287+'A) Base RI'!H287</f>
        <v>857396.1</v>
      </c>
      <c r="K287" s="10">
        <f>'A) Base RI'!I287</f>
        <v>20731.150000000001</v>
      </c>
      <c r="L287" s="10">
        <f>'A) Base RI'!J287</f>
        <v>173633.26</v>
      </c>
      <c r="M287" s="10">
        <f>'A) Base RI'!K287</f>
        <v>135645.5</v>
      </c>
      <c r="N287" s="10">
        <f>'A) Base RI'!Q287</f>
        <v>61180.95</v>
      </c>
      <c r="O287" s="10">
        <f t="shared" si="25"/>
        <v>756515.08333333337</v>
      </c>
      <c r="P287" s="10">
        <f>'A) Base RI'!L287</f>
        <v>907818.1</v>
      </c>
      <c r="Q287" s="37">
        <f>'A) Base RI'!AR287</f>
        <v>1.2</v>
      </c>
      <c r="R287" s="2">
        <f t="shared" si="26"/>
        <v>7685080.9933333332</v>
      </c>
      <c r="S287" s="36">
        <f>'A) Base RI'!AM287</f>
        <v>66</v>
      </c>
      <c r="T287" s="2">
        <f t="shared" si="27"/>
        <v>6792920.4100000001</v>
      </c>
      <c r="U287" s="2">
        <f t="shared" si="28"/>
        <v>116440.6211111111</v>
      </c>
      <c r="V287" s="10">
        <f>'A) Base RI'!O287</f>
        <v>109453.9</v>
      </c>
      <c r="W287" s="10">
        <f>'A) Base RI'!P287</f>
        <v>156607.9</v>
      </c>
      <c r="X287" s="10">
        <f>'A) Base RI'!R287</f>
        <v>191471.6</v>
      </c>
      <c r="Y287" s="2">
        <f t="shared" si="29"/>
        <v>457533.4</v>
      </c>
      <c r="Z287" s="10">
        <f>'A) Base RI'!N287</f>
        <v>361450.95</v>
      </c>
      <c r="AA287" s="10">
        <f>'A) Base RI'!S287+'A) Base RI'!T287</f>
        <v>0</v>
      </c>
      <c r="AB287" s="10">
        <f>+'A) Base RI'!U287</f>
        <v>16150</v>
      </c>
      <c r="AC287" s="10">
        <f>'A) Base RI'!V287</f>
        <v>0</v>
      </c>
      <c r="AD287" s="10">
        <f>+'A) Base RI'!W287</f>
        <v>0</v>
      </c>
      <c r="AE287" s="10">
        <f>'A) Base RI'!Y287</f>
        <v>1687.55</v>
      </c>
      <c r="AF287" s="10">
        <f>'A) Base RI'!Z287</f>
        <v>0</v>
      </c>
      <c r="AG287" s="10">
        <f>'A) Base RI'!AA287</f>
        <v>311167.38</v>
      </c>
      <c r="AH287" s="10">
        <f>'A) Base RI'!AB287</f>
        <v>634229.6</v>
      </c>
      <c r="AI287" s="10">
        <f>'A) Base RI'!AC287</f>
        <v>244134.06</v>
      </c>
      <c r="AJ287" s="10">
        <f>'A) Base RI'!AD287</f>
        <v>0</v>
      </c>
      <c r="AK287" s="10">
        <f>'A) Base RI'!AE287</f>
        <v>0</v>
      </c>
      <c r="AL287" s="10">
        <f>'A) Base RI'!AF287</f>
        <v>0</v>
      </c>
      <c r="AM287" s="10">
        <f>'A) Base RI'!AG287</f>
        <v>18146</v>
      </c>
      <c r="AN287" s="10">
        <f>'A) Base RI'!AH287</f>
        <v>289195.8</v>
      </c>
      <c r="AO287" s="10">
        <f>'A) Base RI'!AI287</f>
        <v>0</v>
      </c>
      <c r="AP287" s="10">
        <f>'A) Base RI'!AJ287</f>
        <v>0</v>
      </c>
      <c r="AQ287" s="10">
        <f>'A) Base RI'!AK287</f>
        <v>0</v>
      </c>
      <c r="AR287" s="10">
        <f>'A) Base RI'!AN287</f>
        <v>3403</v>
      </c>
    </row>
    <row r="288" spans="1:44" x14ac:dyDescent="0.25">
      <c r="A288" s="8">
        <f>'A) Base RI'!A288</f>
        <v>5885</v>
      </c>
      <c r="B288" s="35" t="str">
        <f>'A) Base RI'!B288</f>
        <v>Jongny</v>
      </c>
      <c r="C288" s="10">
        <f>'A) Base RI'!C288+'A) Base RI'!D288</f>
        <v>4966746.2300000004</v>
      </c>
      <c r="D288" s="10">
        <f>'A) Base RI'!AO288</f>
        <v>-41987.15</v>
      </c>
      <c r="E288" s="34">
        <f>'A) Base RI'!AP288</f>
        <v>0</v>
      </c>
      <c r="F288" s="34">
        <f>'A) Base RI'!AQ288</f>
        <v>-2321.9499999999998</v>
      </c>
      <c r="G288" s="2">
        <f t="shared" si="24"/>
        <v>4922437.13</v>
      </c>
      <c r="H288" s="10">
        <f>'A) Base RI'!E288</f>
        <v>0</v>
      </c>
      <c r="I288" s="10">
        <f>'A) Base RI'!F288</f>
        <v>0</v>
      </c>
      <c r="J288" s="10">
        <f>'A) Base RI'!G288+'A) Base RI'!H288</f>
        <v>317827.14999999997</v>
      </c>
      <c r="K288" s="10">
        <f>'A) Base RI'!I288</f>
        <v>111937.62</v>
      </c>
      <c r="L288" s="10">
        <f>'A) Base RI'!J288</f>
        <v>99980.46</v>
      </c>
      <c r="M288" s="10">
        <f>'A) Base RI'!K288</f>
        <v>12803.5</v>
      </c>
      <c r="N288" s="10">
        <f>'A) Base RI'!Q288</f>
        <v>3939.75</v>
      </c>
      <c r="O288" s="10">
        <f t="shared" si="25"/>
        <v>341936.125</v>
      </c>
      <c r="P288" s="10">
        <f>'A) Base RI'!L288</f>
        <v>410323.35</v>
      </c>
      <c r="Q288" s="37">
        <f>'A) Base RI'!AR288</f>
        <v>1.2</v>
      </c>
      <c r="R288" s="2">
        <f t="shared" si="26"/>
        <v>5810861.7350000003</v>
      </c>
      <c r="S288" s="36">
        <f>'A) Base RI'!AM288</f>
        <v>71</v>
      </c>
      <c r="T288" s="2">
        <f t="shared" si="27"/>
        <v>5456122.1100000003</v>
      </c>
      <c r="U288" s="2">
        <f t="shared" si="28"/>
        <v>81843.123028169022</v>
      </c>
      <c r="V288" s="10">
        <f>'A) Base RI'!O288</f>
        <v>40192.300000000003</v>
      </c>
      <c r="W288" s="10">
        <f>'A) Base RI'!P288</f>
        <v>166478.15</v>
      </c>
      <c r="X288" s="10">
        <f>'A) Base RI'!R288</f>
        <v>225931.45</v>
      </c>
      <c r="Y288" s="2">
        <f t="shared" si="29"/>
        <v>432601.9</v>
      </c>
      <c r="Z288" s="10">
        <f>'A) Base RI'!N288</f>
        <v>0</v>
      </c>
      <c r="AA288" s="10">
        <f>'A) Base RI'!S288+'A) Base RI'!T288</f>
        <v>0</v>
      </c>
      <c r="AB288" s="10">
        <f>+'A) Base RI'!U288</f>
        <v>8800</v>
      </c>
      <c r="AC288" s="10">
        <f>'A) Base RI'!V288</f>
        <v>0</v>
      </c>
      <c r="AD288" s="10">
        <f>+'A) Base RI'!W288</f>
        <v>0</v>
      </c>
      <c r="AE288" s="10">
        <f>'A) Base RI'!Y288</f>
        <v>0</v>
      </c>
      <c r="AF288" s="10">
        <f>'A) Base RI'!Z288</f>
        <v>0</v>
      </c>
      <c r="AG288" s="10">
        <f>'A) Base RI'!AA288</f>
        <v>0</v>
      </c>
      <c r="AH288" s="10">
        <f>'A) Base RI'!AB288</f>
        <v>0</v>
      </c>
      <c r="AI288" s="10">
        <f>'A) Base RI'!AC288</f>
        <v>0</v>
      </c>
      <c r="AJ288" s="10">
        <f>'A) Base RI'!AD288</f>
        <v>0</v>
      </c>
      <c r="AK288" s="10">
        <f>'A) Base RI'!AE288</f>
        <v>0</v>
      </c>
      <c r="AL288" s="10">
        <f>'A) Base RI'!AF288</f>
        <v>0</v>
      </c>
      <c r="AM288" s="10">
        <f>'A) Base RI'!AG288</f>
        <v>0</v>
      </c>
      <c r="AN288" s="10">
        <f>'A) Base RI'!AH288</f>
        <v>0</v>
      </c>
      <c r="AO288" s="10">
        <f>'A) Base RI'!AI288</f>
        <v>0</v>
      </c>
      <c r="AP288" s="10">
        <f>'A) Base RI'!AJ288</f>
        <v>0</v>
      </c>
      <c r="AQ288" s="10">
        <f>'A) Base RI'!AK288</f>
        <v>0</v>
      </c>
      <c r="AR288" s="10">
        <f>'A) Base RI'!AN288</f>
        <v>1488</v>
      </c>
    </row>
    <row r="289" spans="1:44" x14ac:dyDescent="0.25">
      <c r="A289" s="8">
        <f>'A) Base RI'!A289</f>
        <v>5886</v>
      </c>
      <c r="B289" s="35" t="str">
        <f>'A) Base RI'!B289</f>
        <v>Montreux</v>
      </c>
      <c r="C289" s="10">
        <f>'A) Base RI'!C289+'A) Base RI'!D289</f>
        <v>54754692</v>
      </c>
      <c r="D289" s="10">
        <f>'A) Base RI'!AO289</f>
        <v>-1771754.39</v>
      </c>
      <c r="E289" s="34">
        <f>'A) Base RI'!AP289</f>
        <v>0</v>
      </c>
      <c r="F289" s="34">
        <f>'A) Base RI'!AQ289</f>
        <v>-26361.8</v>
      </c>
      <c r="G289" s="2">
        <f t="shared" si="24"/>
        <v>52956575.810000002</v>
      </c>
      <c r="H289" s="10">
        <f>'A) Base RI'!E289</f>
        <v>0</v>
      </c>
      <c r="I289" s="10">
        <f>'A) Base RI'!F289</f>
        <v>0</v>
      </c>
      <c r="J289" s="10">
        <f>'A) Base RI'!G289+'A) Base RI'!H289</f>
        <v>9291372.25</v>
      </c>
      <c r="K289" s="10">
        <f>'A) Base RI'!I289</f>
        <v>4032035.03</v>
      </c>
      <c r="L289" s="10">
        <f>'A) Base RI'!J289</f>
        <v>2841932.72</v>
      </c>
      <c r="M289" s="10">
        <f>'A) Base RI'!K289</f>
        <v>567399.5</v>
      </c>
      <c r="N289" s="10">
        <f>'A) Base RI'!Q289</f>
        <v>359751.06</v>
      </c>
      <c r="O289" s="10">
        <f t="shared" si="25"/>
        <v>6341469.793333333</v>
      </c>
      <c r="P289" s="10">
        <f>'A) Base RI'!L289</f>
        <v>9512204.6899999995</v>
      </c>
      <c r="Q289" s="37">
        <f>'A) Base RI'!AR289</f>
        <v>1.5</v>
      </c>
      <c r="R289" s="2">
        <f t="shared" si="26"/>
        <v>76390536.163333341</v>
      </c>
      <c r="S289" s="36">
        <f>'A) Base RI'!AM289</f>
        <v>65</v>
      </c>
      <c r="T289" s="2">
        <f t="shared" si="27"/>
        <v>69481666.870000005</v>
      </c>
      <c r="U289" s="2">
        <f t="shared" si="28"/>
        <v>1175239.0178974359</v>
      </c>
      <c r="V289" s="10">
        <f>'A) Base RI'!O289</f>
        <v>7284641.7000000002</v>
      </c>
      <c r="W289" s="10">
        <f>'A) Base RI'!P289</f>
        <v>4256950.2</v>
      </c>
      <c r="X289" s="10">
        <f>'A) Base RI'!R289</f>
        <v>2142780.15</v>
      </c>
      <c r="Y289" s="2">
        <f t="shared" si="29"/>
        <v>13684372.050000001</v>
      </c>
      <c r="Z289" s="10">
        <f>'A) Base RI'!N289</f>
        <v>798361.7</v>
      </c>
      <c r="AA289" s="10">
        <f>'A) Base RI'!S289+'A) Base RI'!T289</f>
        <v>0</v>
      </c>
      <c r="AB289" s="10">
        <f>+'A) Base RI'!U289</f>
        <v>95500</v>
      </c>
      <c r="AC289" s="10">
        <f>'A) Base RI'!V289</f>
        <v>0</v>
      </c>
      <c r="AD289" s="10">
        <f>+'A) Base RI'!W289</f>
        <v>0</v>
      </c>
      <c r="AE289" s="10">
        <f>'A) Base RI'!Y289</f>
        <v>0</v>
      </c>
      <c r="AF289" s="10">
        <f>'A) Base RI'!Z289</f>
        <v>0</v>
      </c>
      <c r="AG289" s="10">
        <f>'A) Base RI'!AA289</f>
        <v>2580062.4</v>
      </c>
      <c r="AH289" s="10">
        <f>'A) Base RI'!AB289</f>
        <v>0</v>
      </c>
      <c r="AI289" s="10">
        <f>'A) Base RI'!AC289</f>
        <v>3927215.25</v>
      </c>
      <c r="AJ289" s="10">
        <f>'A) Base RI'!AD289</f>
        <v>0</v>
      </c>
      <c r="AK289" s="10">
        <f>'A) Base RI'!AE289</f>
        <v>0</v>
      </c>
      <c r="AL289" s="10">
        <f>'A) Base RI'!AF289</f>
        <v>0</v>
      </c>
      <c r="AM289" s="10">
        <f>'A) Base RI'!AG289</f>
        <v>0</v>
      </c>
      <c r="AN289" s="10">
        <f>'A) Base RI'!AH289</f>
        <v>0</v>
      </c>
      <c r="AO289" s="10">
        <f>'A) Base RI'!AI289</f>
        <v>0</v>
      </c>
      <c r="AP289" s="10">
        <f>'A) Base RI'!AJ289</f>
        <v>0</v>
      </c>
      <c r="AQ289" s="10">
        <f>'A) Base RI'!AK289</f>
        <v>0</v>
      </c>
      <c r="AR289" s="10">
        <f>'A) Base RI'!AN289</f>
        <v>26402</v>
      </c>
    </row>
    <row r="290" spans="1:44" x14ac:dyDescent="0.25">
      <c r="A290" s="8">
        <f>'A) Base RI'!A290</f>
        <v>5888</v>
      </c>
      <c r="B290" s="35" t="str">
        <f>'A) Base RI'!B290</f>
        <v>Saint-Légier-La Chiésaz</v>
      </c>
      <c r="C290" s="10">
        <f>'A) Base RI'!C290+'A) Base RI'!D290</f>
        <v>18044200.32</v>
      </c>
      <c r="D290" s="10">
        <f>'A) Base RI'!AO290</f>
        <v>-224943.4</v>
      </c>
      <c r="E290" s="34">
        <f>'A) Base RI'!AP290</f>
        <v>0</v>
      </c>
      <c r="F290" s="34">
        <f>'A) Base RI'!AQ290</f>
        <v>-14218.56</v>
      </c>
      <c r="G290" s="2">
        <f t="shared" si="24"/>
        <v>17805038.360000003</v>
      </c>
      <c r="H290" s="10">
        <f>'A) Base RI'!E290</f>
        <v>0</v>
      </c>
      <c r="I290" s="10">
        <f>'A) Base RI'!F290</f>
        <v>0</v>
      </c>
      <c r="J290" s="10">
        <f>'A) Base RI'!G290+'A) Base RI'!H290</f>
        <v>747182.8</v>
      </c>
      <c r="K290" s="10">
        <f>'A) Base RI'!I290</f>
        <v>301334.34999999998</v>
      </c>
      <c r="L290" s="10">
        <f>'A) Base RI'!J290</f>
        <v>259509.06</v>
      </c>
      <c r="M290" s="10">
        <f>'A) Base RI'!K290</f>
        <v>47802.5</v>
      </c>
      <c r="N290" s="10">
        <f>'A) Base RI'!Q290</f>
        <v>25601.599999999999</v>
      </c>
      <c r="O290" s="10">
        <f t="shared" si="25"/>
        <v>1391617.875</v>
      </c>
      <c r="P290" s="10">
        <f>'A) Base RI'!L290</f>
        <v>1669941.45</v>
      </c>
      <c r="Q290" s="37">
        <f>'A) Base RI'!AR290</f>
        <v>1.2</v>
      </c>
      <c r="R290" s="2">
        <f t="shared" si="26"/>
        <v>20578086.545000006</v>
      </c>
      <c r="S290" s="36">
        <f>'A) Base RI'!AM290</f>
        <v>67</v>
      </c>
      <c r="T290" s="2">
        <f t="shared" si="27"/>
        <v>19138666.170000006</v>
      </c>
      <c r="U290" s="2">
        <f t="shared" si="28"/>
        <v>307135.62007462693</v>
      </c>
      <c r="V290" s="10">
        <f>'A) Base RI'!O290</f>
        <v>15168.1</v>
      </c>
      <c r="W290" s="10">
        <f>'A) Base RI'!P290</f>
        <v>688884.65</v>
      </c>
      <c r="X290" s="10">
        <f>'A) Base RI'!R290</f>
        <v>649817.44999999995</v>
      </c>
      <c r="Y290" s="2">
        <f t="shared" si="29"/>
        <v>1353870.2</v>
      </c>
      <c r="Z290" s="10">
        <f>'A) Base RI'!N290</f>
        <v>160090.6</v>
      </c>
      <c r="AA290" s="10">
        <f>'A) Base RI'!S290+'A) Base RI'!T290</f>
        <v>0</v>
      </c>
      <c r="AB290" s="10">
        <f>+'A) Base RI'!U290</f>
        <v>37300</v>
      </c>
      <c r="AC290" s="10">
        <f>'A) Base RI'!V290</f>
        <v>0</v>
      </c>
      <c r="AD290" s="10">
        <f>+'A) Base RI'!W290</f>
        <v>0</v>
      </c>
      <c r="AE290" s="10">
        <f>'A) Base RI'!Y290</f>
        <v>301348.40000000002</v>
      </c>
      <c r="AF290" s="10">
        <f>'A) Base RI'!Z290</f>
        <v>0</v>
      </c>
      <c r="AG290" s="10">
        <f>'A) Base RI'!AA290</f>
        <v>745636.5</v>
      </c>
      <c r="AH290" s="10">
        <f>'A) Base RI'!AB290</f>
        <v>1079010.2</v>
      </c>
      <c r="AI290" s="10">
        <f>'A) Base RI'!AC290</f>
        <v>379721.92</v>
      </c>
      <c r="AJ290" s="10">
        <f>'A) Base RI'!AD290</f>
        <v>518640.44</v>
      </c>
      <c r="AK290" s="10">
        <f>'A) Base RI'!AE290</f>
        <v>0</v>
      </c>
      <c r="AL290" s="10">
        <f>'A) Base RI'!AF290</f>
        <v>0</v>
      </c>
      <c r="AM290" s="10">
        <f>'A) Base RI'!AG290</f>
        <v>95261</v>
      </c>
      <c r="AN290" s="10">
        <f>'A) Base RI'!AH290</f>
        <v>0</v>
      </c>
      <c r="AO290" s="10">
        <f>'A) Base RI'!AI290</f>
        <v>0</v>
      </c>
      <c r="AP290" s="10">
        <f>'A) Base RI'!AJ290</f>
        <v>0</v>
      </c>
      <c r="AQ290" s="10">
        <f>'A) Base RI'!AK290</f>
        <v>0</v>
      </c>
      <c r="AR290" s="10">
        <f>'A) Base RI'!AN290</f>
        <v>5130</v>
      </c>
    </row>
    <row r="291" spans="1:44" x14ac:dyDescent="0.25">
      <c r="A291" s="8">
        <f>'A) Base RI'!A291</f>
        <v>5889</v>
      </c>
      <c r="B291" s="35" t="str">
        <f>'A) Base RI'!B291</f>
        <v>La Tour-de-Peilz</v>
      </c>
      <c r="C291" s="10">
        <f>'A) Base RI'!C291+'A) Base RI'!D291</f>
        <v>29099129.32</v>
      </c>
      <c r="D291" s="10">
        <f>'A) Base RI'!AO291</f>
        <v>-564306.15</v>
      </c>
      <c r="E291" s="34">
        <f>'A) Base RI'!AP291</f>
        <v>0</v>
      </c>
      <c r="F291" s="34">
        <f>'A) Base RI'!AQ291</f>
        <v>-15300.05</v>
      </c>
      <c r="G291" s="2">
        <f t="shared" si="24"/>
        <v>28519523.120000001</v>
      </c>
      <c r="H291" s="10">
        <f>'A) Base RI'!E291</f>
        <v>0</v>
      </c>
      <c r="I291" s="10">
        <f>'A) Base RI'!F291</f>
        <v>0</v>
      </c>
      <c r="J291" s="10">
        <f>'A) Base RI'!G291+'A) Base RI'!H291</f>
        <v>6934312</v>
      </c>
      <c r="K291" s="10">
        <f>'A) Base RI'!I291</f>
        <v>900668.37</v>
      </c>
      <c r="L291" s="10">
        <f>'A) Base RI'!J291</f>
        <v>806839.05</v>
      </c>
      <c r="M291" s="10">
        <f>'A) Base RI'!K291</f>
        <v>148271.5</v>
      </c>
      <c r="N291" s="10">
        <f>'A) Base RI'!Q291</f>
        <v>215753.89</v>
      </c>
      <c r="O291" s="10">
        <f t="shared" si="25"/>
        <v>2065737.7083333335</v>
      </c>
      <c r="P291" s="10">
        <f>'A) Base RI'!L291</f>
        <v>2478885.25</v>
      </c>
      <c r="Q291" s="37">
        <f>'A) Base RI'!AR291</f>
        <v>1.2</v>
      </c>
      <c r="R291" s="2">
        <f t="shared" si="26"/>
        <v>39591105.638333336</v>
      </c>
      <c r="S291" s="36">
        <f>'A) Base RI'!AM291</f>
        <v>64</v>
      </c>
      <c r="T291" s="2">
        <f t="shared" si="27"/>
        <v>37377096.43</v>
      </c>
      <c r="U291" s="2">
        <f t="shared" si="28"/>
        <v>618611.02559895837</v>
      </c>
      <c r="V291" s="10">
        <f>'A) Base RI'!O291</f>
        <v>1634367.2</v>
      </c>
      <c r="W291" s="10">
        <f>'A) Base RI'!P291</f>
        <v>1653244.75</v>
      </c>
      <c r="X291" s="10">
        <f>'A) Base RI'!R291</f>
        <v>982584.85</v>
      </c>
      <c r="Y291" s="2">
        <f t="shared" si="29"/>
        <v>4270196.8</v>
      </c>
      <c r="Z291" s="10">
        <f>'A) Base RI'!N291</f>
        <v>87843.5</v>
      </c>
      <c r="AA291" s="10">
        <f>'A) Base RI'!S291+'A) Base RI'!T291</f>
        <v>0</v>
      </c>
      <c r="AB291" s="10">
        <f>+'A) Base RI'!U291</f>
        <v>39650</v>
      </c>
      <c r="AC291" s="10">
        <f>'A) Base RI'!V291</f>
        <v>0</v>
      </c>
      <c r="AD291" s="10">
        <f>+'A) Base RI'!W291</f>
        <v>300791.49</v>
      </c>
      <c r="AE291" s="10">
        <f>'A) Base RI'!Y291</f>
        <v>6534.5</v>
      </c>
      <c r="AF291" s="10">
        <f>'A) Base RI'!Z291</f>
        <v>0</v>
      </c>
      <c r="AG291" s="10">
        <f>'A) Base RI'!AA291</f>
        <v>895172.35</v>
      </c>
      <c r="AH291" s="10">
        <f>'A) Base RI'!AB291</f>
        <v>1716847.25</v>
      </c>
      <c r="AI291" s="10">
        <f>'A) Base RI'!AC291</f>
        <v>1223376.8799999999</v>
      </c>
      <c r="AJ291" s="10">
        <f>'A) Base RI'!AD291</f>
        <v>0</v>
      </c>
      <c r="AK291" s="10">
        <f>'A) Base RI'!AE291</f>
        <v>0</v>
      </c>
      <c r="AL291" s="10">
        <f>'A) Base RI'!AF291</f>
        <v>0</v>
      </c>
      <c r="AM291" s="10">
        <f>'A) Base RI'!AG291</f>
        <v>0</v>
      </c>
      <c r="AN291" s="10">
        <f>'A) Base RI'!AH291</f>
        <v>215177.8</v>
      </c>
      <c r="AO291" s="10">
        <f>'A) Base RI'!AI291</f>
        <v>0</v>
      </c>
      <c r="AP291" s="10">
        <f>'A) Base RI'!AJ291</f>
        <v>0</v>
      </c>
      <c r="AQ291" s="10">
        <f>'A) Base RI'!AK291</f>
        <v>0</v>
      </c>
      <c r="AR291" s="10">
        <f>'A) Base RI'!AN291</f>
        <v>11637</v>
      </c>
    </row>
    <row r="292" spans="1:44" x14ac:dyDescent="0.25">
      <c r="A292" s="8">
        <f>'A) Base RI'!A292</f>
        <v>5890</v>
      </c>
      <c r="B292" s="35" t="str">
        <f>'A) Base RI'!B292</f>
        <v>Vevey</v>
      </c>
      <c r="C292" s="10">
        <f>'A) Base RI'!C292+'A) Base RI'!D292</f>
        <v>38559923.600000001</v>
      </c>
      <c r="D292" s="10">
        <f>'A) Base RI'!AO292</f>
        <v>-1321485.03</v>
      </c>
      <c r="E292" s="34">
        <f>'A) Base RI'!AP292</f>
        <v>0</v>
      </c>
      <c r="F292" s="34">
        <f>'A) Base RI'!AQ292</f>
        <v>-13277.46</v>
      </c>
      <c r="G292" s="2">
        <f t="shared" si="24"/>
        <v>37225161.109999999</v>
      </c>
      <c r="H292" s="10">
        <f>'A) Base RI'!E292</f>
        <v>0</v>
      </c>
      <c r="I292" s="10">
        <f>'A) Base RI'!F292</f>
        <v>0</v>
      </c>
      <c r="J292" s="10">
        <f>'A) Base RI'!G292+'A) Base RI'!H292</f>
        <v>21141171.649999999</v>
      </c>
      <c r="K292" s="10">
        <f>'A) Base RI'!I292</f>
        <v>437163.27</v>
      </c>
      <c r="L292" s="10">
        <f>'A) Base RI'!J292</f>
        <v>2980212.95</v>
      </c>
      <c r="M292" s="10">
        <f>'A) Base RI'!K292</f>
        <v>533162</v>
      </c>
      <c r="N292" s="10">
        <f>'A) Base RI'!Q292</f>
        <v>635847.81000000006</v>
      </c>
      <c r="O292" s="10">
        <f t="shared" si="25"/>
        <v>3419823.541666667</v>
      </c>
      <c r="P292" s="10">
        <f>'A) Base RI'!L292</f>
        <v>4103788.25</v>
      </c>
      <c r="Q292" s="37">
        <f>'A) Base RI'!AR292</f>
        <v>1.2</v>
      </c>
      <c r="R292" s="2">
        <f t="shared" si="26"/>
        <v>66372542.331666671</v>
      </c>
      <c r="S292" s="36">
        <f>'A) Base RI'!AM292</f>
        <v>73</v>
      </c>
      <c r="T292" s="2">
        <f t="shared" si="27"/>
        <v>62419556.790000007</v>
      </c>
      <c r="U292" s="2">
        <f t="shared" si="28"/>
        <v>909212.90865296812</v>
      </c>
      <c r="V292" s="10">
        <f>'A) Base RI'!O292</f>
        <v>2244620.2999999998</v>
      </c>
      <c r="W292" s="10">
        <f>'A) Base RI'!P292</f>
        <v>1360969</v>
      </c>
      <c r="X292" s="10">
        <f>'A) Base RI'!R292</f>
        <v>447889.45</v>
      </c>
      <c r="Y292" s="2">
        <f t="shared" si="29"/>
        <v>4053478.75</v>
      </c>
      <c r="Z292" s="10">
        <f>'A) Base RI'!N292</f>
        <v>1024428.9</v>
      </c>
      <c r="AA292" s="10">
        <f>'A) Base RI'!S292+'A) Base RI'!T292</f>
        <v>0</v>
      </c>
      <c r="AB292" s="10">
        <f>+'A) Base RI'!U292</f>
        <v>54000</v>
      </c>
      <c r="AC292" s="10">
        <f>'A) Base RI'!V292</f>
        <v>0</v>
      </c>
      <c r="AD292" s="10">
        <f>+'A) Base RI'!W292</f>
        <v>0</v>
      </c>
      <c r="AE292" s="10">
        <f>'A) Base RI'!Y292</f>
        <v>0</v>
      </c>
      <c r="AF292" s="10">
        <f>'A) Base RI'!Z292</f>
        <v>0</v>
      </c>
      <c r="AG292" s="10">
        <f>'A) Base RI'!AA292</f>
        <v>927127.6</v>
      </c>
      <c r="AH292" s="10">
        <f>'A) Base RI'!AB292</f>
        <v>0</v>
      </c>
      <c r="AI292" s="10">
        <f>'A) Base RI'!AC292</f>
        <v>1200290.17</v>
      </c>
      <c r="AJ292" s="10">
        <f>'A) Base RI'!AD292</f>
        <v>0</v>
      </c>
      <c r="AK292" s="10">
        <f>'A) Base RI'!AE292</f>
        <v>0</v>
      </c>
      <c r="AL292" s="10">
        <f>'A) Base RI'!AF292</f>
        <v>0</v>
      </c>
      <c r="AM292" s="10">
        <f>'A) Base RI'!AG292</f>
        <v>0</v>
      </c>
      <c r="AN292" s="10">
        <f>'A) Base RI'!AH292</f>
        <v>673260.5</v>
      </c>
      <c r="AO292" s="10">
        <f>'A) Base RI'!AI292</f>
        <v>0</v>
      </c>
      <c r="AP292" s="10">
        <f>'A) Base RI'!AJ292</f>
        <v>192360.15</v>
      </c>
      <c r="AQ292" s="10">
        <f>'A) Base RI'!AK292</f>
        <v>0</v>
      </c>
      <c r="AR292" s="10">
        <f>'A) Base RI'!AN292</f>
        <v>19605</v>
      </c>
    </row>
    <row r="293" spans="1:44" x14ac:dyDescent="0.25">
      <c r="A293" s="8">
        <f>'A) Base RI'!A293</f>
        <v>5891</v>
      </c>
      <c r="B293" s="35" t="str">
        <f>'A) Base RI'!B293</f>
        <v>Veytaux</v>
      </c>
      <c r="C293" s="10">
        <f>'A) Base RI'!C293+'A) Base RI'!D293</f>
        <v>2373379.6800000002</v>
      </c>
      <c r="D293" s="10">
        <f>'A) Base RI'!AO293</f>
        <v>-39310.370000000003</v>
      </c>
      <c r="E293" s="34">
        <f>'A) Base RI'!AP293</f>
        <v>0</v>
      </c>
      <c r="F293" s="34">
        <f>'A) Base RI'!AQ293</f>
        <v>-126.33</v>
      </c>
      <c r="G293" s="2">
        <f t="shared" si="24"/>
        <v>2333942.98</v>
      </c>
      <c r="H293" s="10">
        <f>'A) Base RI'!E293</f>
        <v>0</v>
      </c>
      <c r="I293" s="10">
        <f>'A) Base RI'!F293</f>
        <v>0</v>
      </c>
      <c r="J293" s="10">
        <f>'A) Base RI'!G293+'A) Base RI'!H293</f>
        <v>68231.899999999994</v>
      </c>
      <c r="K293" s="10">
        <f>'A) Base RI'!I293</f>
        <v>9709.7999999999993</v>
      </c>
      <c r="L293" s="10">
        <f>'A) Base RI'!J293</f>
        <v>72551.199999999997</v>
      </c>
      <c r="M293" s="10">
        <f>'A) Base RI'!K293</f>
        <v>11092</v>
      </c>
      <c r="N293" s="10">
        <f>'A) Base RI'!Q293</f>
        <v>3290.7</v>
      </c>
      <c r="O293" s="10">
        <f t="shared" si="25"/>
        <v>227404.66666666666</v>
      </c>
      <c r="P293" s="10">
        <f>'A) Base RI'!L293</f>
        <v>272885.59999999998</v>
      </c>
      <c r="Q293" s="37">
        <f>'A) Base RI'!AR293</f>
        <v>1.2</v>
      </c>
      <c r="R293" s="2">
        <f t="shared" si="26"/>
        <v>2726223.2466666666</v>
      </c>
      <c r="S293" s="36">
        <f>'A) Base RI'!AM293</f>
        <v>69</v>
      </c>
      <c r="T293" s="2">
        <f t="shared" si="27"/>
        <v>2487726.58</v>
      </c>
      <c r="U293" s="2">
        <f t="shared" si="28"/>
        <v>39510.481835748789</v>
      </c>
      <c r="V293" s="10">
        <f>'A) Base RI'!O293</f>
        <v>94128.5</v>
      </c>
      <c r="W293" s="10">
        <f>'A) Base RI'!P293</f>
        <v>139283.70000000001</v>
      </c>
      <c r="X293" s="10">
        <f>'A) Base RI'!R293</f>
        <v>88549.4</v>
      </c>
      <c r="Y293" s="2">
        <f t="shared" si="29"/>
        <v>321961.59999999998</v>
      </c>
      <c r="Z293" s="10">
        <f>'A) Base RI'!N293</f>
        <v>0</v>
      </c>
      <c r="AA293" s="10">
        <f>'A) Base RI'!S293+'A) Base RI'!T293</f>
        <v>0</v>
      </c>
      <c r="AB293" s="10">
        <f>+'A) Base RI'!U293</f>
        <v>8100</v>
      </c>
      <c r="AC293" s="10">
        <f>'A) Base RI'!V293</f>
        <v>237918.55</v>
      </c>
      <c r="AD293" s="10">
        <f>+'A) Base RI'!W293</f>
        <v>0</v>
      </c>
      <c r="AE293" s="10">
        <f>'A) Base RI'!Y293</f>
        <v>51702.45</v>
      </c>
      <c r="AF293" s="10">
        <f>'A) Base RI'!Z293</f>
        <v>0</v>
      </c>
      <c r="AG293" s="10">
        <f>'A) Base RI'!AA293</f>
        <v>123184.6</v>
      </c>
      <c r="AH293" s="10">
        <f>'A) Base RI'!AB293</f>
        <v>0</v>
      </c>
      <c r="AI293" s="10">
        <f>'A) Base RI'!AC293</f>
        <v>88486.7</v>
      </c>
      <c r="AJ293" s="10">
        <f>'A) Base RI'!AD293</f>
        <v>0</v>
      </c>
      <c r="AK293" s="10">
        <f>'A) Base RI'!AE293</f>
        <v>0</v>
      </c>
      <c r="AL293" s="10">
        <f>'A) Base RI'!AF293</f>
        <v>0</v>
      </c>
      <c r="AM293" s="10">
        <f>'A) Base RI'!AG293</f>
        <v>0</v>
      </c>
      <c r="AN293" s="10">
        <f>'A) Base RI'!AH293</f>
        <v>49546.55</v>
      </c>
      <c r="AO293" s="10">
        <f>'A) Base RI'!AI293</f>
        <v>0</v>
      </c>
      <c r="AP293" s="10">
        <f>'A) Base RI'!AJ293</f>
        <v>0</v>
      </c>
      <c r="AQ293" s="10">
        <f>'A) Base RI'!AK293</f>
        <v>14084.75</v>
      </c>
      <c r="AR293" s="10">
        <f>'A) Base RI'!AN293</f>
        <v>850</v>
      </c>
    </row>
    <row r="294" spans="1:44" x14ac:dyDescent="0.25">
      <c r="A294" s="8">
        <f>'A) Base RI'!A294</f>
        <v>5902</v>
      </c>
      <c r="B294" s="35" t="str">
        <f>'A) Base RI'!B294</f>
        <v>Belmont-sur-Yverdon</v>
      </c>
      <c r="C294" s="10">
        <f>'A) Base RI'!C294+'A) Base RI'!D294</f>
        <v>653220.99</v>
      </c>
      <c r="D294" s="10">
        <f>'A) Base RI'!AO294</f>
        <v>-7.12</v>
      </c>
      <c r="E294" s="34">
        <f>'A) Base RI'!AP294</f>
        <v>0</v>
      </c>
      <c r="F294" s="34">
        <f>'A) Base RI'!AQ294</f>
        <v>0</v>
      </c>
      <c r="G294" s="2">
        <f t="shared" si="24"/>
        <v>653213.87</v>
      </c>
      <c r="H294" s="10">
        <f>'A) Base RI'!E294</f>
        <v>0</v>
      </c>
      <c r="I294" s="10">
        <f>'A) Base RI'!F294</f>
        <v>0</v>
      </c>
      <c r="J294" s="10">
        <f>'A) Base RI'!G294+'A) Base RI'!H294</f>
        <v>1241.8499999999999</v>
      </c>
      <c r="K294" s="10">
        <f>'A) Base RI'!I294</f>
        <v>0</v>
      </c>
      <c r="L294" s="10">
        <f>'A) Base RI'!J294</f>
        <v>-3508.81</v>
      </c>
      <c r="M294" s="10">
        <f>'A) Base RI'!K294</f>
        <v>0</v>
      </c>
      <c r="N294" s="10">
        <f>'A) Base RI'!Q294</f>
        <v>0</v>
      </c>
      <c r="O294" s="10">
        <f t="shared" si="25"/>
        <v>50316.1</v>
      </c>
      <c r="P294" s="10">
        <f>'A) Base RI'!L294</f>
        <v>50316.1</v>
      </c>
      <c r="Q294" s="37">
        <f>'A) Base RI'!AR294</f>
        <v>1</v>
      </c>
      <c r="R294" s="2">
        <f t="shared" si="26"/>
        <v>701263.00999999989</v>
      </c>
      <c r="S294" s="36">
        <f>'A) Base RI'!AM294</f>
        <v>76</v>
      </c>
      <c r="T294" s="2">
        <f t="shared" si="27"/>
        <v>650946.90999999992</v>
      </c>
      <c r="U294" s="2">
        <f t="shared" si="28"/>
        <v>9227.1448684210518</v>
      </c>
      <c r="V294" s="10">
        <f>'A) Base RI'!O294</f>
        <v>0</v>
      </c>
      <c r="W294" s="10">
        <f>'A) Base RI'!P294</f>
        <v>2090</v>
      </c>
      <c r="X294" s="10">
        <f>'A) Base RI'!R294</f>
        <v>14364.6</v>
      </c>
      <c r="Y294" s="2">
        <f t="shared" si="29"/>
        <v>16454.599999999999</v>
      </c>
      <c r="Z294" s="10">
        <f>'A) Base RI'!N294</f>
        <v>0</v>
      </c>
      <c r="AA294" s="10">
        <f>'A) Base RI'!S294+'A) Base RI'!T294</f>
        <v>400</v>
      </c>
      <c r="AB294" s="10">
        <f>+'A) Base RI'!U294</f>
        <v>4250</v>
      </c>
      <c r="AC294" s="10">
        <f>'A) Base RI'!V294</f>
        <v>0</v>
      </c>
      <c r="AD294" s="10">
        <f>+'A) Base RI'!W294</f>
        <v>0</v>
      </c>
      <c r="AE294" s="10">
        <f>'A) Base RI'!Y294</f>
        <v>0</v>
      </c>
      <c r="AF294" s="10">
        <f>'A) Base RI'!Z294</f>
        <v>0</v>
      </c>
      <c r="AG294" s="10">
        <f>'A) Base RI'!AA294</f>
        <v>48803</v>
      </c>
      <c r="AH294" s="10">
        <f>'A) Base RI'!AB294</f>
        <v>0</v>
      </c>
      <c r="AI294" s="10">
        <f>'A) Base RI'!AC294</f>
        <v>23839.9</v>
      </c>
      <c r="AJ294" s="10">
        <f>'A) Base RI'!AD294</f>
        <v>191.55</v>
      </c>
      <c r="AK294" s="10">
        <f>'A) Base RI'!AE294</f>
        <v>0</v>
      </c>
      <c r="AL294" s="10">
        <f>'A) Base RI'!AF294</f>
        <v>0</v>
      </c>
      <c r="AM294" s="10">
        <f>'A) Base RI'!AG294</f>
        <v>0</v>
      </c>
      <c r="AN294" s="10">
        <f>'A) Base RI'!AH294</f>
        <v>0</v>
      </c>
      <c r="AO294" s="10">
        <f>'A) Base RI'!AI294</f>
        <v>0</v>
      </c>
      <c r="AP294" s="10">
        <f>'A) Base RI'!AJ294</f>
        <v>0</v>
      </c>
      <c r="AQ294" s="10">
        <f>'A) Base RI'!AK294</f>
        <v>0</v>
      </c>
      <c r="AR294" s="10">
        <f>'A) Base RI'!AN294</f>
        <v>368</v>
      </c>
    </row>
    <row r="295" spans="1:44" x14ac:dyDescent="0.25">
      <c r="A295" s="8">
        <f>'A) Base RI'!A295</f>
        <v>5903</v>
      </c>
      <c r="B295" s="35" t="str">
        <f>'A) Base RI'!B295</f>
        <v>Bioley-Magnoux</v>
      </c>
      <c r="C295" s="10">
        <f>'A) Base RI'!C295+'A) Base RI'!D295</f>
        <v>408043.47</v>
      </c>
      <c r="D295" s="10">
        <f>'A) Base RI'!AO295</f>
        <v>-4544.17</v>
      </c>
      <c r="E295" s="34">
        <f>'A) Base RI'!AP295</f>
        <v>0</v>
      </c>
      <c r="F295" s="34">
        <f>'A) Base RI'!AQ295</f>
        <v>0</v>
      </c>
      <c r="G295" s="2">
        <f t="shared" si="24"/>
        <v>403499.3</v>
      </c>
      <c r="H295" s="10">
        <f>'A) Base RI'!E295</f>
        <v>0</v>
      </c>
      <c r="I295" s="10">
        <f>'A) Base RI'!F295</f>
        <v>0</v>
      </c>
      <c r="J295" s="10">
        <f>'A) Base RI'!G295+'A) Base RI'!H295</f>
        <v>1443.2</v>
      </c>
      <c r="K295" s="10">
        <f>'A) Base RI'!I295</f>
        <v>0</v>
      </c>
      <c r="L295" s="10">
        <f>'A) Base RI'!J295</f>
        <v>2574.14</v>
      </c>
      <c r="M295" s="10">
        <f>'A) Base RI'!K295</f>
        <v>0</v>
      </c>
      <c r="N295" s="10">
        <f>'A) Base RI'!Q295</f>
        <v>0</v>
      </c>
      <c r="O295" s="10">
        <f t="shared" si="25"/>
        <v>33072.785714285717</v>
      </c>
      <c r="P295" s="10">
        <f>'A) Base RI'!L295</f>
        <v>23150.95</v>
      </c>
      <c r="Q295" s="37">
        <f>'A) Base RI'!AR295</f>
        <v>0.7</v>
      </c>
      <c r="R295" s="2">
        <f t="shared" si="26"/>
        <v>440589.42571428575</v>
      </c>
      <c r="S295" s="36">
        <f>'A) Base RI'!AM295</f>
        <v>74</v>
      </c>
      <c r="T295" s="2">
        <f t="shared" si="27"/>
        <v>407516.64</v>
      </c>
      <c r="U295" s="2">
        <f t="shared" si="28"/>
        <v>5953.911158301159</v>
      </c>
      <c r="V295" s="10">
        <f>'A) Base RI'!O295</f>
        <v>2581.9</v>
      </c>
      <c r="W295" s="10">
        <f>'A) Base RI'!P295</f>
        <v>3664</v>
      </c>
      <c r="X295" s="10">
        <f>'A) Base RI'!R295</f>
        <v>5724.8</v>
      </c>
      <c r="Y295" s="2">
        <f t="shared" si="29"/>
        <v>11970.7</v>
      </c>
      <c r="Z295" s="10">
        <f>'A) Base RI'!N295</f>
        <v>23214.2</v>
      </c>
      <c r="AA295" s="10">
        <f>'A) Base RI'!S295+'A) Base RI'!T295</f>
        <v>0</v>
      </c>
      <c r="AB295" s="10">
        <f>+'A) Base RI'!U295</f>
        <v>1040</v>
      </c>
      <c r="AC295" s="10">
        <f>'A) Base RI'!V295</f>
        <v>0</v>
      </c>
      <c r="AD295" s="10">
        <f>+'A) Base RI'!W295</f>
        <v>0</v>
      </c>
      <c r="AE295" s="10">
        <f>'A) Base RI'!Y295</f>
        <v>0</v>
      </c>
      <c r="AF295" s="10">
        <f>'A) Base RI'!Z295</f>
        <v>0</v>
      </c>
      <c r="AG295" s="10">
        <f>'A) Base RI'!AA295</f>
        <v>15243</v>
      </c>
      <c r="AH295" s="10">
        <f>'A) Base RI'!AB295</f>
        <v>0</v>
      </c>
      <c r="AI295" s="10">
        <f>'A) Base RI'!AC295</f>
        <v>7505.3</v>
      </c>
      <c r="AJ295" s="10">
        <f>'A) Base RI'!AD295</f>
        <v>0</v>
      </c>
      <c r="AK295" s="10">
        <f>'A) Base RI'!AE295</f>
        <v>0</v>
      </c>
      <c r="AL295" s="10">
        <f>'A) Base RI'!AF295</f>
        <v>0</v>
      </c>
      <c r="AM295" s="10">
        <f>'A) Base RI'!AG295</f>
        <v>0</v>
      </c>
      <c r="AN295" s="10">
        <f>'A) Base RI'!AH295</f>
        <v>0</v>
      </c>
      <c r="AO295" s="10">
        <f>'A) Base RI'!AI295</f>
        <v>0</v>
      </c>
      <c r="AP295" s="10">
        <f>'A) Base RI'!AJ295</f>
        <v>0</v>
      </c>
      <c r="AQ295" s="10">
        <f>'A) Base RI'!AK295</f>
        <v>0</v>
      </c>
      <c r="AR295" s="10">
        <f>'A) Base RI'!AN295</f>
        <v>230</v>
      </c>
    </row>
    <row r="296" spans="1:44" x14ac:dyDescent="0.25">
      <c r="A296" s="8">
        <f>'A) Base RI'!A296</f>
        <v>5904</v>
      </c>
      <c r="B296" s="35" t="str">
        <f>'A) Base RI'!B296</f>
        <v>Chamblon</v>
      </c>
      <c r="C296" s="10">
        <f>'A) Base RI'!C296+'A) Base RI'!D296</f>
        <v>1416882.05</v>
      </c>
      <c r="D296" s="10">
        <f>'A) Base RI'!AO296</f>
        <v>-18561.63</v>
      </c>
      <c r="E296" s="34">
        <f>'A) Base RI'!AP296</f>
        <v>0</v>
      </c>
      <c r="F296" s="34">
        <f>'A) Base RI'!AQ296</f>
        <v>-9.6300000000000008</v>
      </c>
      <c r="G296" s="2">
        <f t="shared" si="24"/>
        <v>1398310.7900000003</v>
      </c>
      <c r="H296" s="10">
        <f>'A) Base RI'!E296</f>
        <v>0</v>
      </c>
      <c r="I296" s="10">
        <f>'A) Base RI'!F296</f>
        <v>0</v>
      </c>
      <c r="J296" s="10">
        <f>'A) Base RI'!G296+'A) Base RI'!H296</f>
        <v>11396.6</v>
      </c>
      <c r="K296" s="10">
        <f>'A) Base RI'!I296</f>
        <v>0</v>
      </c>
      <c r="L296" s="10">
        <f>'A) Base RI'!J296</f>
        <v>7447.73</v>
      </c>
      <c r="M296" s="10">
        <f>'A) Base RI'!K296</f>
        <v>2943.5</v>
      </c>
      <c r="N296" s="10">
        <f>'A) Base RI'!Q296</f>
        <v>378.13</v>
      </c>
      <c r="O296" s="10">
        <f t="shared" si="25"/>
        <v>91847.9</v>
      </c>
      <c r="P296" s="10">
        <f>'A) Base RI'!L296</f>
        <v>91847.9</v>
      </c>
      <c r="Q296" s="37">
        <f>'A) Base RI'!AR296</f>
        <v>1</v>
      </c>
      <c r="R296" s="2">
        <f t="shared" si="26"/>
        <v>1512324.6500000001</v>
      </c>
      <c r="S296" s="36">
        <f>'A) Base RI'!AM296</f>
        <v>66</v>
      </c>
      <c r="T296" s="2">
        <f t="shared" si="27"/>
        <v>1417533.2500000002</v>
      </c>
      <c r="U296" s="2">
        <f t="shared" si="28"/>
        <v>22914.009848484849</v>
      </c>
      <c r="V296" s="10">
        <f>'A) Base RI'!O296</f>
        <v>0</v>
      </c>
      <c r="W296" s="10">
        <f>'A) Base RI'!P296</f>
        <v>24494.7</v>
      </c>
      <c r="X296" s="10">
        <f>'A) Base RI'!R296</f>
        <v>23912.9</v>
      </c>
      <c r="Y296" s="2">
        <f t="shared" si="29"/>
        <v>48407.600000000006</v>
      </c>
      <c r="Z296" s="10">
        <f>'A) Base RI'!N296</f>
        <v>32253.4</v>
      </c>
      <c r="AA296" s="10">
        <f>'A) Base RI'!S296+'A) Base RI'!T296</f>
        <v>447.25</v>
      </c>
      <c r="AB296" s="10">
        <f>+'A) Base RI'!U296</f>
        <v>4550</v>
      </c>
      <c r="AC296" s="10">
        <f>'A) Base RI'!V296</f>
        <v>0</v>
      </c>
      <c r="AD296" s="10">
        <f>+'A) Base RI'!W296</f>
        <v>0</v>
      </c>
      <c r="AE296" s="10">
        <f>'A) Base RI'!Y296</f>
        <v>0</v>
      </c>
      <c r="AF296" s="10">
        <f>'A) Base RI'!Z296</f>
        <v>0</v>
      </c>
      <c r="AG296" s="10">
        <f>'A) Base RI'!AA296</f>
        <v>139955.4</v>
      </c>
      <c r="AH296" s="10">
        <f>'A) Base RI'!AB296</f>
        <v>0</v>
      </c>
      <c r="AI296" s="10">
        <f>'A) Base RI'!AC296</f>
        <v>37259.199999999997</v>
      </c>
      <c r="AJ296" s="10">
        <f>'A) Base RI'!AD296</f>
        <v>4774</v>
      </c>
      <c r="AK296" s="10">
        <f>'A) Base RI'!AE296</f>
        <v>0</v>
      </c>
      <c r="AL296" s="10">
        <f>'A) Base RI'!AF296</f>
        <v>0</v>
      </c>
      <c r="AM296" s="10">
        <f>'A) Base RI'!AG296</f>
        <v>0</v>
      </c>
      <c r="AN296" s="10">
        <f>'A) Base RI'!AH296</f>
        <v>22563</v>
      </c>
      <c r="AO296" s="10">
        <f>'A) Base RI'!AI296</f>
        <v>0</v>
      </c>
      <c r="AP296" s="10">
        <f>'A) Base RI'!AJ296</f>
        <v>0</v>
      </c>
      <c r="AQ296" s="10">
        <f>'A) Base RI'!AK296</f>
        <v>0</v>
      </c>
      <c r="AR296" s="10">
        <f>'A) Base RI'!AN296</f>
        <v>548</v>
      </c>
    </row>
    <row r="297" spans="1:44" x14ac:dyDescent="0.25">
      <c r="A297" s="8">
        <f>'A) Base RI'!A297</f>
        <v>5905</v>
      </c>
      <c r="B297" s="35" t="str">
        <f>'A) Base RI'!B297</f>
        <v>Champvent</v>
      </c>
      <c r="C297" s="10">
        <f>'A) Base RI'!C297+'A) Base RI'!D297</f>
        <v>1129154.93</v>
      </c>
      <c r="D297" s="10">
        <f>'A) Base RI'!AO297</f>
        <v>-17862.150000000001</v>
      </c>
      <c r="E297" s="34">
        <f>'A) Base RI'!AP297</f>
        <v>0</v>
      </c>
      <c r="F297" s="34">
        <f>'A) Base RI'!AQ297</f>
        <v>-0.12</v>
      </c>
      <c r="G297" s="2">
        <f t="shared" si="24"/>
        <v>1111292.6599999999</v>
      </c>
      <c r="H297" s="10">
        <f>'A) Base RI'!E297</f>
        <v>0</v>
      </c>
      <c r="I297" s="10">
        <f>'A) Base RI'!F297</f>
        <v>0</v>
      </c>
      <c r="J297" s="10">
        <f>'A) Base RI'!G297+'A) Base RI'!H297</f>
        <v>260066.69999999998</v>
      </c>
      <c r="K297" s="10">
        <f>'A) Base RI'!I297</f>
        <v>0</v>
      </c>
      <c r="L297" s="10">
        <f>'A) Base RI'!J297</f>
        <v>28416.1</v>
      </c>
      <c r="M297" s="10">
        <f>'A) Base RI'!K297</f>
        <v>3209.4</v>
      </c>
      <c r="N297" s="10">
        <f>'A) Base RI'!Q297</f>
        <v>3542.84</v>
      </c>
      <c r="O297" s="10">
        <f t="shared" si="25"/>
        <v>87222.85</v>
      </c>
      <c r="P297" s="10">
        <f>'A) Base RI'!L297</f>
        <v>87222.85</v>
      </c>
      <c r="Q297" s="37">
        <f>'A) Base RI'!AR297</f>
        <v>1</v>
      </c>
      <c r="R297" s="2">
        <f t="shared" si="26"/>
        <v>1493750.55</v>
      </c>
      <c r="S297" s="36">
        <f>'A) Base RI'!AM297</f>
        <v>71</v>
      </c>
      <c r="T297" s="2">
        <f t="shared" si="27"/>
        <v>1403318.3</v>
      </c>
      <c r="U297" s="2">
        <f t="shared" si="28"/>
        <v>21038.740140845071</v>
      </c>
      <c r="V297" s="10">
        <f>'A) Base RI'!O297</f>
        <v>9060.6</v>
      </c>
      <c r="W297" s="10">
        <f>'A) Base RI'!P297</f>
        <v>84054.1</v>
      </c>
      <c r="X297" s="10">
        <f>'A) Base RI'!R297</f>
        <v>102915.85</v>
      </c>
      <c r="Y297" s="2">
        <f t="shared" si="29"/>
        <v>196030.55000000002</v>
      </c>
      <c r="Z297" s="10">
        <f>'A) Base RI'!N297</f>
        <v>116404.5</v>
      </c>
      <c r="AA297" s="10">
        <f>'A) Base RI'!S297+'A) Base RI'!T297</f>
        <v>0</v>
      </c>
      <c r="AB297" s="10">
        <f>+'A) Base RI'!U297</f>
        <v>0</v>
      </c>
      <c r="AC297" s="10">
        <f>'A) Base RI'!V297</f>
        <v>0</v>
      </c>
      <c r="AD297" s="10">
        <f>+'A) Base RI'!W297</f>
        <v>0</v>
      </c>
      <c r="AE297" s="10">
        <f>'A) Base RI'!Y297</f>
        <v>11107.58</v>
      </c>
      <c r="AF297" s="10">
        <f>'A) Base RI'!Z297</f>
        <v>0</v>
      </c>
      <c r="AG297" s="10">
        <f>'A) Base RI'!AA297</f>
        <v>0</v>
      </c>
      <c r="AH297" s="10">
        <f>'A) Base RI'!AB297</f>
        <v>0</v>
      </c>
      <c r="AI297" s="10">
        <f>'A) Base RI'!AC297</f>
        <v>22323.5</v>
      </c>
      <c r="AJ297" s="10">
        <f>'A) Base RI'!AD297</f>
        <v>23332.85</v>
      </c>
      <c r="AK297" s="10">
        <f>'A) Base RI'!AE297</f>
        <v>0</v>
      </c>
      <c r="AL297" s="10">
        <f>'A) Base RI'!AF297</f>
        <v>0</v>
      </c>
      <c r="AM297" s="10">
        <f>'A) Base RI'!AG297</f>
        <v>0</v>
      </c>
      <c r="AN297" s="10">
        <f>'A) Base RI'!AH297</f>
        <v>0</v>
      </c>
      <c r="AO297" s="10">
        <f>'A) Base RI'!AI297</f>
        <v>0</v>
      </c>
      <c r="AP297" s="10">
        <f>'A) Base RI'!AJ297</f>
        <v>0</v>
      </c>
      <c r="AQ297" s="10">
        <f>'A) Base RI'!AK297</f>
        <v>0</v>
      </c>
      <c r="AR297" s="10">
        <f>'A) Base RI'!AN297</f>
        <v>652</v>
      </c>
    </row>
    <row r="298" spans="1:44" x14ac:dyDescent="0.25">
      <c r="A298" s="8">
        <f>'A) Base RI'!A298</f>
        <v>5907</v>
      </c>
      <c r="B298" s="35" t="str">
        <f>'A) Base RI'!B298</f>
        <v>Chavannes-le-Chêne</v>
      </c>
      <c r="C298" s="10">
        <f>'A) Base RI'!C298+'A) Base RI'!D298</f>
        <v>652593.38</v>
      </c>
      <c r="D298" s="10">
        <f>'A) Base RI'!AO298</f>
        <v>-15420.56</v>
      </c>
      <c r="E298" s="34">
        <f>'A) Base RI'!AP298</f>
        <v>0</v>
      </c>
      <c r="F298" s="34">
        <f>'A) Base RI'!AQ298</f>
        <v>-368.2</v>
      </c>
      <c r="G298" s="2">
        <f t="shared" si="24"/>
        <v>636804.62</v>
      </c>
      <c r="H298" s="10">
        <f>'A) Base RI'!E298</f>
        <v>0</v>
      </c>
      <c r="I298" s="10">
        <f>'A) Base RI'!F298</f>
        <v>1700</v>
      </c>
      <c r="J298" s="10">
        <f>'A) Base RI'!G298+'A) Base RI'!H298</f>
        <v>4982.5</v>
      </c>
      <c r="K298" s="10">
        <f>'A) Base RI'!I298</f>
        <v>0</v>
      </c>
      <c r="L298" s="10">
        <f>'A) Base RI'!J298</f>
        <v>7345.91</v>
      </c>
      <c r="M298" s="10">
        <f>'A) Base RI'!K298</f>
        <v>134</v>
      </c>
      <c r="N298" s="10">
        <f>'A) Base RI'!Q298</f>
        <v>261.39</v>
      </c>
      <c r="O298" s="10">
        <f t="shared" si="25"/>
        <v>36681.4</v>
      </c>
      <c r="P298" s="10">
        <f>'A) Base RI'!L298</f>
        <v>36681.4</v>
      </c>
      <c r="Q298" s="37">
        <f>'A) Base RI'!AR298</f>
        <v>1</v>
      </c>
      <c r="R298" s="2">
        <f t="shared" si="26"/>
        <v>687909.82000000007</v>
      </c>
      <c r="S298" s="36">
        <f>'A) Base RI'!AM298</f>
        <v>78</v>
      </c>
      <c r="T298" s="2">
        <f t="shared" si="27"/>
        <v>649394.42000000004</v>
      </c>
      <c r="U298" s="2">
        <f t="shared" si="28"/>
        <v>8819.3566666666684</v>
      </c>
      <c r="V298" s="10">
        <f>'A) Base RI'!O298</f>
        <v>27471</v>
      </c>
      <c r="W298" s="10">
        <f>'A) Base RI'!P298</f>
        <v>11414.15</v>
      </c>
      <c r="X298" s="10">
        <f>'A) Base RI'!R298</f>
        <v>11156.85</v>
      </c>
      <c r="Y298" s="2">
        <f t="shared" si="29"/>
        <v>50042</v>
      </c>
      <c r="Z298" s="10">
        <f>'A) Base RI'!N298</f>
        <v>7359.95</v>
      </c>
      <c r="AA298" s="10">
        <f>'A) Base RI'!S298+'A) Base RI'!T298</f>
        <v>0</v>
      </c>
      <c r="AB298" s="10">
        <f>+'A) Base RI'!U298</f>
        <v>1800</v>
      </c>
      <c r="AC298" s="10">
        <f>'A) Base RI'!V298</f>
        <v>1340</v>
      </c>
      <c r="AD298" s="10">
        <f>+'A) Base RI'!W298</f>
        <v>0</v>
      </c>
      <c r="AE298" s="10">
        <f>'A) Base RI'!Y298</f>
        <v>27000</v>
      </c>
      <c r="AF298" s="10">
        <f>'A) Base RI'!Z298</f>
        <v>0</v>
      </c>
      <c r="AG298" s="10">
        <f>'A) Base RI'!AA298</f>
        <v>6621.2</v>
      </c>
      <c r="AH298" s="10">
        <f>'A) Base RI'!AB298</f>
        <v>0</v>
      </c>
      <c r="AI298" s="10">
        <f>'A) Base RI'!AC298</f>
        <v>12218.95</v>
      </c>
      <c r="AJ298" s="10">
        <f>'A) Base RI'!AD298</f>
        <v>6721.2</v>
      </c>
      <c r="AK298" s="10">
        <f>'A) Base RI'!AE298</f>
        <v>0</v>
      </c>
      <c r="AL298" s="10">
        <f>'A) Base RI'!AF298</f>
        <v>0</v>
      </c>
      <c r="AM298" s="10">
        <f>'A) Base RI'!AG298</f>
        <v>0</v>
      </c>
      <c r="AN298" s="10">
        <f>'A) Base RI'!AH298</f>
        <v>0</v>
      </c>
      <c r="AO298" s="10">
        <f>'A) Base RI'!AI298</f>
        <v>0</v>
      </c>
      <c r="AP298" s="10">
        <f>'A) Base RI'!AJ298</f>
        <v>0</v>
      </c>
      <c r="AQ298" s="10">
        <f>'A) Base RI'!AK298</f>
        <v>0</v>
      </c>
      <c r="AR298" s="10">
        <f>'A) Base RI'!AN298</f>
        <v>300</v>
      </c>
    </row>
    <row r="299" spans="1:44" x14ac:dyDescent="0.25">
      <c r="A299" s="8">
        <f>'A) Base RI'!A299</f>
        <v>5908</v>
      </c>
      <c r="B299" s="35" t="str">
        <f>'A) Base RI'!B299</f>
        <v>Chêne-Pâquier</v>
      </c>
      <c r="C299" s="10">
        <f>'A) Base RI'!C299+'A) Base RI'!D299</f>
        <v>221062.09</v>
      </c>
      <c r="D299" s="10">
        <f>'A) Base RI'!AO299</f>
        <v>-12120.27</v>
      </c>
      <c r="E299" s="34">
        <f>'A) Base RI'!AP299</f>
        <v>0</v>
      </c>
      <c r="F299" s="34">
        <f>'A) Base RI'!AQ299</f>
        <v>0</v>
      </c>
      <c r="G299" s="2">
        <f t="shared" si="24"/>
        <v>208941.82</v>
      </c>
      <c r="H299" s="10">
        <f>'A) Base RI'!E299</f>
        <v>0</v>
      </c>
      <c r="I299" s="10">
        <f>'A) Base RI'!F299</f>
        <v>0</v>
      </c>
      <c r="J299" s="10">
        <f>'A) Base RI'!G299+'A) Base RI'!H299</f>
        <v>2258.15</v>
      </c>
      <c r="K299" s="10">
        <f>'A) Base RI'!I299</f>
        <v>0</v>
      </c>
      <c r="L299" s="10">
        <f>'A) Base RI'!J299</f>
        <v>2210.1799999999998</v>
      </c>
      <c r="M299" s="10">
        <f>'A) Base RI'!K299</f>
        <v>49.5</v>
      </c>
      <c r="N299" s="10">
        <f>'A) Base RI'!Q299</f>
        <v>800.42</v>
      </c>
      <c r="O299" s="10">
        <f t="shared" si="25"/>
        <v>16035.1</v>
      </c>
      <c r="P299" s="10">
        <f>'A) Base RI'!L299</f>
        <v>16035.1</v>
      </c>
      <c r="Q299" s="37">
        <f>'A) Base RI'!AR299</f>
        <v>1</v>
      </c>
      <c r="R299" s="2">
        <f t="shared" si="26"/>
        <v>230295.17</v>
      </c>
      <c r="S299" s="36">
        <f>'A) Base RI'!AM299</f>
        <v>79</v>
      </c>
      <c r="T299" s="2">
        <f t="shared" si="27"/>
        <v>214210.57</v>
      </c>
      <c r="U299" s="2">
        <f t="shared" si="28"/>
        <v>2915.1287341772154</v>
      </c>
      <c r="V299" s="10">
        <f>'A) Base RI'!O299</f>
        <v>0</v>
      </c>
      <c r="W299" s="10">
        <f>'A) Base RI'!P299</f>
        <v>76.8</v>
      </c>
      <c r="X299" s="10">
        <f>'A) Base RI'!R299</f>
        <v>11889.2</v>
      </c>
      <c r="Y299" s="2">
        <f t="shared" si="29"/>
        <v>11966</v>
      </c>
      <c r="Z299" s="10">
        <f>'A) Base RI'!N299</f>
        <v>0</v>
      </c>
      <c r="AA299" s="10">
        <f>'A) Base RI'!S299+'A) Base RI'!T299</f>
        <v>0</v>
      </c>
      <c r="AB299" s="10">
        <f>+'A) Base RI'!U299</f>
        <v>1122</v>
      </c>
      <c r="AC299" s="10">
        <f>'A) Base RI'!V299</f>
        <v>0</v>
      </c>
      <c r="AD299" s="10">
        <f>+'A) Base RI'!W299</f>
        <v>0</v>
      </c>
      <c r="AE299" s="10">
        <f>'A) Base RI'!Y299</f>
        <v>45500</v>
      </c>
      <c r="AF299" s="10">
        <f>'A) Base RI'!Z299</f>
        <v>0</v>
      </c>
      <c r="AG299" s="10">
        <f>'A) Base RI'!AA299</f>
        <v>22700</v>
      </c>
      <c r="AH299" s="10">
        <f>'A) Base RI'!AB299</f>
        <v>0</v>
      </c>
      <c r="AI299" s="10">
        <f>'A) Base RI'!AC299</f>
        <v>5057</v>
      </c>
      <c r="AJ299" s="10">
        <f>'A) Base RI'!AD299</f>
        <v>12000</v>
      </c>
      <c r="AK299" s="10">
        <f>'A) Base RI'!AE299</f>
        <v>0</v>
      </c>
      <c r="AL299" s="10">
        <f>'A) Base RI'!AF299</f>
        <v>0</v>
      </c>
      <c r="AM299" s="10">
        <f>'A) Base RI'!AG299</f>
        <v>0</v>
      </c>
      <c r="AN299" s="10">
        <f>'A) Base RI'!AH299</f>
        <v>0</v>
      </c>
      <c r="AO299" s="10">
        <f>'A) Base RI'!AI299</f>
        <v>0</v>
      </c>
      <c r="AP299" s="10">
        <f>'A) Base RI'!AJ299</f>
        <v>0</v>
      </c>
      <c r="AQ299" s="10">
        <f>'A) Base RI'!AK299</f>
        <v>0</v>
      </c>
      <c r="AR299" s="10">
        <f>'A) Base RI'!AN299</f>
        <v>140</v>
      </c>
    </row>
    <row r="300" spans="1:44" x14ac:dyDescent="0.25">
      <c r="A300" s="8">
        <f>'A) Base RI'!A300</f>
        <v>5909</v>
      </c>
      <c r="B300" s="35" t="str">
        <f>'A) Base RI'!B300</f>
        <v>Cheseaux-Noréaz</v>
      </c>
      <c r="C300" s="10">
        <f>'A) Base RI'!C300+'A) Base RI'!D300</f>
        <v>1601013.16</v>
      </c>
      <c r="D300" s="10">
        <f>'A) Base RI'!AO300</f>
        <v>-211.14</v>
      </c>
      <c r="E300" s="34">
        <f>'A) Base RI'!AP300</f>
        <v>-54124.55</v>
      </c>
      <c r="F300" s="34">
        <f>'A) Base RI'!AQ300</f>
        <v>-122.56</v>
      </c>
      <c r="G300" s="2">
        <f t="shared" si="24"/>
        <v>1546554.91</v>
      </c>
      <c r="H300" s="10">
        <f>'A) Base RI'!E300</f>
        <v>0</v>
      </c>
      <c r="I300" s="10">
        <f>'A) Base RI'!F300</f>
        <v>0</v>
      </c>
      <c r="J300" s="10">
        <f>'A) Base RI'!G300+'A) Base RI'!H300</f>
        <v>29222.050000000003</v>
      </c>
      <c r="K300" s="10">
        <f>'A) Base RI'!I300</f>
        <v>0</v>
      </c>
      <c r="L300" s="10">
        <f>'A) Base RI'!J300</f>
        <v>10706.4</v>
      </c>
      <c r="M300" s="10">
        <f>'A) Base RI'!K300</f>
        <v>747</v>
      </c>
      <c r="N300" s="10">
        <f>'A) Base RI'!Q300</f>
        <v>0</v>
      </c>
      <c r="O300" s="10">
        <f t="shared" si="25"/>
        <v>146747.4</v>
      </c>
      <c r="P300" s="10">
        <f>'A) Base RI'!L300</f>
        <v>146747.4</v>
      </c>
      <c r="Q300" s="37">
        <f>'A) Base RI'!AR300</f>
        <v>1</v>
      </c>
      <c r="R300" s="2">
        <f t="shared" si="26"/>
        <v>1733977.7599999998</v>
      </c>
      <c r="S300" s="36">
        <f>'A) Base RI'!AM300</f>
        <v>70</v>
      </c>
      <c r="T300" s="2">
        <f t="shared" si="27"/>
        <v>1586483.3599999999</v>
      </c>
      <c r="U300" s="2">
        <f t="shared" si="28"/>
        <v>24771.110857142852</v>
      </c>
      <c r="V300" s="10">
        <f>'A) Base RI'!O300</f>
        <v>0</v>
      </c>
      <c r="W300" s="10">
        <f>'A) Base RI'!P300</f>
        <v>72548.100000000006</v>
      </c>
      <c r="X300" s="10">
        <f>'A) Base RI'!R300</f>
        <v>24328.05</v>
      </c>
      <c r="Y300" s="2">
        <f t="shared" si="29"/>
        <v>96876.150000000009</v>
      </c>
      <c r="Z300" s="10">
        <f>'A) Base RI'!N300</f>
        <v>10706.85</v>
      </c>
      <c r="AA300" s="10">
        <f>'A) Base RI'!S300+'A) Base RI'!T300</f>
        <v>563.9</v>
      </c>
      <c r="AB300" s="10">
        <f>+'A) Base RI'!U300</f>
        <v>860</v>
      </c>
      <c r="AC300" s="10">
        <f>'A) Base RI'!V300</f>
        <v>2000</v>
      </c>
      <c r="AD300" s="10">
        <f>+'A) Base RI'!W300</f>
        <v>0</v>
      </c>
      <c r="AE300" s="10">
        <f>'A) Base RI'!Y300</f>
        <v>2990.74</v>
      </c>
      <c r="AF300" s="10">
        <f>'A) Base RI'!Z300</f>
        <v>0</v>
      </c>
      <c r="AG300" s="10">
        <f>'A) Base RI'!AA300</f>
        <v>57044.36</v>
      </c>
      <c r="AH300" s="10">
        <f>'A) Base RI'!AB300</f>
        <v>0</v>
      </c>
      <c r="AI300" s="10">
        <f>'A) Base RI'!AC300</f>
        <v>40622.199999999997</v>
      </c>
      <c r="AJ300" s="10">
        <f>'A) Base RI'!AD300</f>
        <v>3692.19</v>
      </c>
      <c r="AK300" s="10">
        <f>'A) Base RI'!AE300</f>
        <v>0</v>
      </c>
      <c r="AL300" s="10">
        <f>'A) Base RI'!AF300</f>
        <v>0</v>
      </c>
      <c r="AM300" s="10">
        <f>'A) Base RI'!AG300</f>
        <v>62935.11</v>
      </c>
      <c r="AN300" s="10">
        <f>'A) Base RI'!AH300</f>
        <v>0</v>
      </c>
      <c r="AO300" s="10">
        <f>'A) Base RI'!AI300</f>
        <v>0</v>
      </c>
      <c r="AP300" s="10">
        <f>'A) Base RI'!AJ300</f>
        <v>0</v>
      </c>
      <c r="AQ300" s="10">
        <f>'A) Base RI'!AK300</f>
        <v>0</v>
      </c>
      <c r="AR300" s="10">
        <f>'A) Base RI'!AN300</f>
        <v>670</v>
      </c>
    </row>
    <row r="301" spans="1:44" x14ac:dyDescent="0.25">
      <c r="A301" s="8">
        <f>'A) Base RI'!A301</f>
        <v>5910</v>
      </c>
      <c r="B301" s="35" t="str">
        <f>'A) Base RI'!B301</f>
        <v>Cronay</v>
      </c>
      <c r="C301" s="10">
        <f>'A) Base RI'!C301+'A) Base RI'!D301</f>
        <v>755262.26</v>
      </c>
      <c r="D301" s="10">
        <f>'A) Base RI'!AO301</f>
        <v>-13179.19</v>
      </c>
      <c r="E301" s="34">
        <f>'A) Base RI'!AP301</f>
        <v>0</v>
      </c>
      <c r="F301" s="34">
        <f>'A) Base RI'!AQ301</f>
        <v>-1.04</v>
      </c>
      <c r="G301" s="2">
        <f t="shared" si="24"/>
        <v>742082.03</v>
      </c>
      <c r="H301" s="10">
        <f>'A) Base RI'!E301</f>
        <v>0</v>
      </c>
      <c r="I301" s="10">
        <f>'A) Base RI'!F301</f>
        <v>2180</v>
      </c>
      <c r="J301" s="10">
        <f>'A) Base RI'!G301+'A) Base RI'!H301</f>
        <v>1377</v>
      </c>
      <c r="K301" s="10">
        <f>'A) Base RI'!I301</f>
        <v>0</v>
      </c>
      <c r="L301" s="10">
        <f>'A) Base RI'!J301</f>
        <v>3791.13</v>
      </c>
      <c r="M301" s="10">
        <f>'A) Base RI'!K301</f>
        <v>0</v>
      </c>
      <c r="N301" s="10">
        <f>'A) Base RI'!Q301</f>
        <v>0</v>
      </c>
      <c r="O301" s="10">
        <f t="shared" si="25"/>
        <v>48254</v>
      </c>
      <c r="P301" s="10">
        <f>'A) Base RI'!L301</f>
        <v>48254</v>
      </c>
      <c r="Q301" s="37">
        <f>'A) Base RI'!AR301</f>
        <v>1</v>
      </c>
      <c r="R301" s="2">
        <f t="shared" si="26"/>
        <v>797684.16</v>
      </c>
      <c r="S301" s="36">
        <f>'A) Base RI'!AM301</f>
        <v>79</v>
      </c>
      <c r="T301" s="2">
        <f t="shared" si="27"/>
        <v>747250.16</v>
      </c>
      <c r="U301" s="2">
        <f t="shared" si="28"/>
        <v>10097.267848101266</v>
      </c>
      <c r="V301" s="10">
        <f>'A) Base RI'!O301</f>
        <v>306</v>
      </c>
      <c r="W301" s="10">
        <f>'A) Base RI'!P301</f>
        <v>30635</v>
      </c>
      <c r="X301" s="10">
        <f>'A) Base RI'!R301</f>
        <v>6614.4</v>
      </c>
      <c r="Y301" s="2">
        <f t="shared" si="29"/>
        <v>37555.4</v>
      </c>
      <c r="Z301" s="10">
        <f>'A) Base RI'!N301</f>
        <v>0</v>
      </c>
      <c r="AA301" s="10">
        <f>'A) Base RI'!S301+'A) Base RI'!T301</f>
        <v>460</v>
      </c>
      <c r="AB301" s="10">
        <f>+'A) Base RI'!U301</f>
        <v>2998</v>
      </c>
      <c r="AC301" s="10">
        <f>'A) Base RI'!V301</f>
        <v>0</v>
      </c>
      <c r="AD301" s="10">
        <f>+'A) Base RI'!W301</f>
        <v>0</v>
      </c>
      <c r="AE301" s="10">
        <f>'A) Base RI'!Y301</f>
        <v>31670</v>
      </c>
      <c r="AF301" s="10">
        <f>'A) Base RI'!Z301</f>
        <v>0</v>
      </c>
      <c r="AG301" s="10">
        <f>'A) Base RI'!AA301</f>
        <v>28888</v>
      </c>
      <c r="AH301" s="10">
        <f>'A) Base RI'!AB301</f>
        <v>0</v>
      </c>
      <c r="AI301" s="10">
        <f>'A) Base RI'!AC301</f>
        <v>21537</v>
      </c>
      <c r="AJ301" s="10">
        <f>'A) Base RI'!AD301</f>
        <v>0</v>
      </c>
      <c r="AK301" s="10">
        <f>'A) Base RI'!AE301</f>
        <v>0</v>
      </c>
      <c r="AL301" s="10">
        <f>'A) Base RI'!AF301</f>
        <v>0</v>
      </c>
      <c r="AM301" s="10">
        <f>'A) Base RI'!AG301</f>
        <v>0</v>
      </c>
      <c r="AN301" s="10">
        <f>'A) Base RI'!AH301</f>
        <v>0</v>
      </c>
      <c r="AO301" s="10">
        <f>'A) Base RI'!AI301</f>
        <v>0</v>
      </c>
      <c r="AP301" s="10">
        <f>'A) Base RI'!AJ301</f>
        <v>0</v>
      </c>
      <c r="AQ301" s="10">
        <f>'A) Base RI'!AK301</f>
        <v>0</v>
      </c>
      <c r="AR301" s="10">
        <f>'A) Base RI'!AN301</f>
        <v>380</v>
      </c>
    </row>
    <row r="302" spans="1:44" x14ac:dyDescent="0.25">
      <c r="A302" s="8">
        <f>'A) Base RI'!A302</f>
        <v>5911</v>
      </c>
      <c r="B302" s="35" t="str">
        <f>'A) Base RI'!B302</f>
        <v>Cuarny</v>
      </c>
      <c r="C302" s="10">
        <f>'A) Base RI'!C302+'A) Base RI'!D302</f>
        <v>572884.85</v>
      </c>
      <c r="D302" s="10">
        <f>'A) Base RI'!AO302</f>
        <v>-115.21</v>
      </c>
      <c r="E302" s="34">
        <f>'A) Base RI'!AP302</f>
        <v>0</v>
      </c>
      <c r="F302" s="34">
        <f>'A) Base RI'!AQ302</f>
        <v>-123.64</v>
      </c>
      <c r="G302" s="2">
        <f t="shared" si="24"/>
        <v>572646</v>
      </c>
      <c r="H302" s="10">
        <f>'A) Base RI'!E302</f>
        <v>0</v>
      </c>
      <c r="I302" s="10">
        <f>'A) Base RI'!F302</f>
        <v>1340</v>
      </c>
      <c r="J302" s="10">
        <f>'A) Base RI'!G302+'A) Base RI'!H302</f>
        <v>3854.8999999999996</v>
      </c>
      <c r="K302" s="10">
        <f>'A) Base RI'!I302</f>
        <v>0</v>
      </c>
      <c r="L302" s="10">
        <f>'A) Base RI'!J302</f>
        <v>5558.47</v>
      </c>
      <c r="M302" s="10">
        <f>'A) Base RI'!K302</f>
        <v>348</v>
      </c>
      <c r="N302" s="10">
        <f>'A) Base RI'!Q302</f>
        <v>0</v>
      </c>
      <c r="O302" s="10">
        <f t="shared" si="25"/>
        <v>27837.25</v>
      </c>
      <c r="P302" s="10">
        <f>'A) Base RI'!L302</f>
        <v>27837.25</v>
      </c>
      <c r="Q302" s="37">
        <f>'A) Base RI'!AR302</f>
        <v>1</v>
      </c>
      <c r="R302" s="2">
        <f t="shared" si="26"/>
        <v>611584.62</v>
      </c>
      <c r="S302" s="36">
        <f>'A) Base RI'!AM302</f>
        <v>79</v>
      </c>
      <c r="T302" s="2">
        <f t="shared" si="27"/>
        <v>582059.37</v>
      </c>
      <c r="U302" s="2">
        <f t="shared" si="28"/>
        <v>7741.5774683544305</v>
      </c>
      <c r="V302" s="10">
        <f>'A) Base RI'!O302</f>
        <v>0</v>
      </c>
      <c r="W302" s="10">
        <f>'A) Base RI'!P302</f>
        <v>2081.75</v>
      </c>
      <c r="X302" s="10">
        <f>'A) Base RI'!R302</f>
        <v>0</v>
      </c>
      <c r="Y302" s="2">
        <f t="shared" si="29"/>
        <v>2081.75</v>
      </c>
      <c r="Z302" s="10">
        <f>'A) Base RI'!N302</f>
        <v>0</v>
      </c>
      <c r="AA302" s="10">
        <f>'A) Base RI'!S302+'A) Base RI'!T302</f>
        <v>0</v>
      </c>
      <c r="AB302" s="10">
        <f>+'A) Base RI'!U302</f>
        <v>850</v>
      </c>
      <c r="AC302" s="10">
        <f>'A) Base RI'!V302</f>
        <v>0</v>
      </c>
      <c r="AD302" s="10">
        <f>+'A) Base RI'!W302</f>
        <v>0</v>
      </c>
      <c r="AE302" s="10">
        <f>'A) Base RI'!Y302</f>
        <v>9789</v>
      </c>
      <c r="AF302" s="10">
        <f>'A) Base RI'!Z302</f>
        <v>0</v>
      </c>
      <c r="AG302" s="10">
        <f>'A) Base RI'!AA302</f>
        <v>32102.400000000001</v>
      </c>
      <c r="AH302" s="10">
        <f>'A) Base RI'!AB302</f>
        <v>0</v>
      </c>
      <c r="AI302" s="10">
        <f>'A) Base RI'!AC302</f>
        <v>13825.05</v>
      </c>
      <c r="AJ302" s="10">
        <f>'A) Base RI'!AD302</f>
        <v>6000</v>
      </c>
      <c r="AK302" s="10">
        <f>'A) Base RI'!AE302</f>
        <v>0</v>
      </c>
      <c r="AL302" s="10">
        <f>'A) Base RI'!AF302</f>
        <v>0</v>
      </c>
      <c r="AM302" s="10">
        <f>'A) Base RI'!AG302</f>
        <v>0</v>
      </c>
      <c r="AN302" s="10">
        <f>'A) Base RI'!AH302</f>
        <v>0</v>
      </c>
      <c r="AO302" s="10">
        <f>'A) Base RI'!AI302</f>
        <v>0</v>
      </c>
      <c r="AP302" s="10">
        <f>'A) Base RI'!AJ302</f>
        <v>0</v>
      </c>
      <c r="AQ302" s="10">
        <f>'A) Base RI'!AK302</f>
        <v>0</v>
      </c>
      <c r="AR302" s="10">
        <f>'A) Base RI'!AN302</f>
        <v>237</v>
      </c>
    </row>
    <row r="303" spans="1:44" x14ac:dyDescent="0.25">
      <c r="A303" s="8">
        <f>'A) Base RI'!A303</f>
        <v>5912</v>
      </c>
      <c r="B303" s="35" t="str">
        <f>'A) Base RI'!B303</f>
        <v>Démoret</v>
      </c>
      <c r="C303" s="10">
        <f>'A) Base RI'!C303+'A) Base RI'!D303</f>
        <v>200802.48</v>
      </c>
      <c r="D303" s="10">
        <f>'A) Base RI'!AO303</f>
        <v>-48.4</v>
      </c>
      <c r="E303" s="34">
        <f>'A) Base RI'!AP303</f>
        <v>0</v>
      </c>
      <c r="F303" s="34">
        <f>'A) Base RI'!AQ303</f>
        <v>0</v>
      </c>
      <c r="G303" s="2">
        <f t="shared" si="24"/>
        <v>200754.08000000002</v>
      </c>
      <c r="H303" s="10">
        <f>'A) Base RI'!E303</f>
        <v>0</v>
      </c>
      <c r="I303" s="10">
        <f>'A) Base RI'!F303</f>
        <v>870</v>
      </c>
      <c r="J303" s="10">
        <f>'A) Base RI'!G303+'A) Base RI'!H303</f>
        <v>1888.3500000000001</v>
      </c>
      <c r="K303" s="10">
        <f>'A) Base RI'!I303</f>
        <v>0</v>
      </c>
      <c r="L303" s="10">
        <f>'A) Base RI'!J303</f>
        <v>4427.5600000000004</v>
      </c>
      <c r="M303" s="10">
        <f>'A) Base RI'!K303</f>
        <v>0</v>
      </c>
      <c r="N303" s="10">
        <f>'A) Base RI'!Q303</f>
        <v>0</v>
      </c>
      <c r="O303" s="10">
        <f t="shared" si="25"/>
        <v>15767.5</v>
      </c>
      <c r="P303" s="10">
        <f>'A) Base RI'!L303</f>
        <v>15767.5</v>
      </c>
      <c r="Q303" s="37">
        <f>'A) Base RI'!AR303</f>
        <v>1</v>
      </c>
      <c r="R303" s="2">
        <f t="shared" si="26"/>
        <v>223707.49000000002</v>
      </c>
      <c r="S303" s="36">
        <f>'A) Base RI'!AM303</f>
        <v>81</v>
      </c>
      <c r="T303" s="2">
        <f t="shared" si="27"/>
        <v>207069.99000000002</v>
      </c>
      <c r="U303" s="2">
        <f t="shared" si="28"/>
        <v>2761.8208641975311</v>
      </c>
      <c r="V303" s="10">
        <f>'A) Base RI'!O303</f>
        <v>383.3</v>
      </c>
      <c r="W303" s="10">
        <f>'A) Base RI'!P303</f>
        <v>3803.05</v>
      </c>
      <c r="X303" s="10">
        <f>'A) Base RI'!R303</f>
        <v>5833.35</v>
      </c>
      <c r="Y303" s="2">
        <f t="shared" si="29"/>
        <v>10019.700000000001</v>
      </c>
      <c r="Z303" s="10">
        <f>'A) Base RI'!N303</f>
        <v>0</v>
      </c>
      <c r="AA303" s="10">
        <f>'A) Base RI'!S303+'A) Base RI'!T303</f>
        <v>0</v>
      </c>
      <c r="AB303" s="10">
        <f>+'A) Base RI'!U303</f>
        <v>1100</v>
      </c>
      <c r="AC303" s="10">
        <f>'A) Base RI'!V303</f>
        <v>0</v>
      </c>
      <c r="AD303" s="10">
        <f>+'A) Base RI'!W303</f>
        <v>0</v>
      </c>
      <c r="AE303" s="10">
        <f>'A) Base RI'!Y303</f>
        <v>10500</v>
      </c>
      <c r="AF303" s="10">
        <f>'A) Base RI'!Z303</f>
        <v>0</v>
      </c>
      <c r="AG303" s="10">
        <f>'A) Base RI'!AA303</f>
        <v>16708.5</v>
      </c>
      <c r="AH303" s="10">
        <f>'A) Base RI'!AB303</f>
        <v>0</v>
      </c>
      <c r="AI303" s="10">
        <f>'A) Base RI'!AC303</f>
        <v>5997.65</v>
      </c>
      <c r="AJ303" s="10">
        <f>'A) Base RI'!AD303</f>
        <v>5125</v>
      </c>
      <c r="AK303" s="10">
        <f>'A) Base RI'!AE303</f>
        <v>0</v>
      </c>
      <c r="AL303" s="10">
        <f>'A) Base RI'!AF303</f>
        <v>0</v>
      </c>
      <c r="AM303" s="10">
        <f>'A) Base RI'!AG303</f>
        <v>0</v>
      </c>
      <c r="AN303" s="10">
        <f>'A) Base RI'!AH303</f>
        <v>0</v>
      </c>
      <c r="AO303" s="10">
        <f>'A) Base RI'!AI303</f>
        <v>0</v>
      </c>
      <c r="AP303" s="10">
        <f>'A) Base RI'!AJ303</f>
        <v>0</v>
      </c>
      <c r="AQ303" s="10">
        <f>'A) Base RI'!AK303</f>
        <v>0</v>
      </c>
      <c r="AR303" s="10">
        <f>'A) Base RI'!AN303</f>
        <v>126</v>
      </c>
    </row>
    <row r="304" spans="1:44" x14ac:dyDescent="0.25">
      <c r="A304" s="8">
        <f>'A) Base RI'!A304</f>
        <v>5913</v>
      </c>
      <c r="B304" s="35" t="str">
        <f>'A) Base RI'!B304</f>
        <v>Donneloye</v>
      </c>
      <c r="C304" s="10">
        <f>'A) Base RI'!C304+'A) Base RI'!D304</f>
        <v>1405634.21</v>
      </c>
      <c r="D304" s="10">
        <f>'A) Base RI'!AO304</f>
        <v>-20359.32</v>
      </c>
      <c r="E304" s="34">
        <f>'A) Base RI'!AP304</f>
        <v>0</v>
      </c>
      <c r="F304" s="34">
        <f>'A) Base RI'!AQ304</f>
        <v>-1.39</v>
      </c>
      <c r="G304" s="2">
        <f t="shared" si="24"/>
        <v>1385273.5</v>
      </c>
      <c r="H304" s="10">
        <f>'A) Base RI'!E304</f>
        <v>0</v>
      </c>
      <c r="I304" s="10">
        <f>'A) Base RI'!F304</f>
        <v>0</v>
      </c>
      <c r="J304" s="10">
        <f>'A) Base RI'!G304+'A) Base RI'!H304</f>
        <v>29272.5</v>
      </c>
      <c r="K304" s="10">
        <f>'A) Base RI'!I304</f>
        <v>0</v>
      </c>
      <c r="L304" s="10">
        <f>'A) Base RI'!J304</f>
        <v>9114.7199999999993</v>
      </c>
      <c r="M304" s="10">
        <f>'A) Base RI'!K304</f>
        <v>1950.5</v>
      </c>
      <c r="N304" s="10">
        <f>'A) Base RI'!Q304</f>
        <v>8015.85</v>
      </c>
      <c r="O304" s="10">
        <f t="shared" si="25"/>
        <v>101124.9</v>
      </c>
      <c r="P304" s="10">
        <f>'A) Base RI'!L304</f>
        <v>101124.9</v>
      </c>
      <c r="Q304" s="37">
        <f>'A) Base RI'!AR304</f>
        <v>1</v>
      </c>
      <c r="R304" s="2">
        <f t="shared" si="26"/>
        <v>1534751.97</v>
      </c>
      <c r="S304" s="36">
        <f>'A) Base RI'!AM304</f>
        <v>73</v>
      </c>
      <c r="T304" s="2">
        <f t="shared" si="27"/>
        <v>1431676.57</v>
      </c>
      <c r="U304" s="2">
        <f t="shared" si="28"/>
        <v>21023.999589041094</v>
      </c>
      <c r="V304" s="10">
        <f>'A) Base RI'!O304</f>
        <v>5.7</v>
      </c>
      <c r="W304" s="10">
        <f>'A) Base RI'!P304</f>
        <v>40875.050000000003</v>
      </c>
      <c r="X304" s="10">
        <f>'A) Base RI'!R304</f>
        <v>79671.5</v>
      </c>
      <c r="Y304" s="2">
        <f t="shared" si="29"/>
        <v>120552.25</v>
      </c>
      <c r="Z304" s="10">
        <f>'A) Base RI'!N304</f>
        <v>18696.400000000001</v>
      </c>
      <c r="AA304" s="10">
        <f>'A) Base RI'!S304+'A) Base RI'!T304</f>
        <v>447.25</v>
      </c>
      <c r="AB304" s="10">
        <f>+'A) Base RI'!U304</f>
        <v>5575.1</v>
      </c>
      <c r="AC304" s="10">
        <f>'A) Base RI'!V304</f>
        <v>48</v>
      </c>
      <c r="AD304" s="10">
        <f>+'A) Base RI'!W304</f>
        <v>0</v>
      </c>
      <c r="AE304" s="10">
        <f>'A) Base RI'!Y304</f>
        <v>17970</v>
      </c>
      <c r="AF304" s="10">
        <f>'A) Base RI'!Z304</f>
        <v>0</v>
      </c>
      <c r="AG304" s="10">
        <f>'A) Base RI'!AA304</f>
        <v>71678</v>
      </c>
      <c r="AH304" s="10">
        <f>'A) Base RI'!AB304</f>
        <v>0</v>
      </c>
      <c r="AI304" s="10">
        <f>'A) Base RI'!AC304</f>
        <v>35549.5</v>
      </c>
      <c r="AJ304" s="10">
        <f>'A) Base RI'!AD304</f>
        <v>48554</v>
      </c>
      <c r="AK304" s="10">
        <f>'A) Base RI'!AE304</f>
        <v>0</v>
      </c>
      <c r="AL304" s="10">
        <f>'A) Base RI'!AF304</f>
        <v>0</v>
      </c>
      <c r="AM304" s="10">
        <f>'A) Base RI'!AG304</f>
        <v>0</v>
      </c>
      <c r="AN304" s="10">
        <f>'A) Base RI'!AH304</f>
        <v>17245.3</v>
      </c>
      <c r="AO304" s="10">
        <f>'A) Base RI'!AI304</f>
        <v>0</v>
      </c>
      <c r="AP304" s="10">
        <f>'A) Base RI'!AJ304</f>
        <v>0</v>
      </c>
      <c r="AQ304" s="10">
        <f>'A) Base RI'!AK304</f>
        <v>0</v>
      </c>
      <c r="AR304" s="10">
        <f>'A) Base RI'!AN304</f>
        <v>779</v>
      </c>
    </row>
    <row r="305" spans="1:44" x14ac:dyDescent="0.25">
      <c r="A305" s="8">
        <f>'A) Base RI'!A305</f>
        <v>5914</v>
      </c>
      <c r="B305" s="35" t="str">
        <f>'A) Base RI'!B305</f>
        <v>Ependes</v>
      </c>
      <c r="C305" s="10">
        <f>'A) Base RI'!C305+'A) Base RI'!D305</f>
        <v>581525.09</v>
      </c>
      <c r="D305" s="10">
        <f>'A) Base RI'!AO305</f>
        <v>-1651.21</v>
      </c>
      <c r="E305" s="34">
        <f>'A) Base RI'!AP305</f>
        <v>0</v>
      </c>
      <c r="F305" s="34">
        <f>'A) Base RI'!AQ305</f>
        <v>0</v>
      </c>
      <c r="G305" s="2">
        <f t="shared" si="24"/>
        <v>579873.88</v>
      </c>
      <c r="H305" s="10">
        <f>'A) Base RI'!E305</f>
        <v>0</v>
      </c>
      <c r="I305" s="10">
        <f>'A) Base RI'!F305</f>
        <v>2210</v>
      </c>
      <c r="J305" s="10">
        <f>'A) Base RI'!G305+'A) Base RI'!H305</f>
        <v>3681.55</v>
      </c>
      <c r="K305" s="10">
        <f>'A) Base RI'!I305</f>
        <v>0</v>
      </c>
      <c r="L305" s="10">
        <f>'A) Base RI'!J305</f>
        <v>28459.040000000001</v>
      </c>
      <c r="M305" s="10">
        <f>'A) Base RI'!K305</f>
        <v>2515</v>
      </c>
      <c r="N305" s="10">
        <f>'A) Base RI'!Q305</f>
        <v>0</v>
      </c>
      <c r="O305" s="10">
        <f t="shared" si="25"/>
        <v>46115.15</v>
      </c>
      <c r="P305" s="10">
        <f>'A) Base RI'!L305</f>
        <v>46115.15</v>
      </c>
      <c r="Q305" s="37">
        <f>'A) Base RI'!AR305</f>
        <v>1</v>
      </c>
      <c r="R305" s="2">
        <f t="shared" si="26"/>
        <v>662854.62000000011</v>
      </c>
      <c r="S305" s="36">
        <f>'A) Base RI'!AM305</f>
        <v>75</v>
      </c>
      <c r="T305" s="2">
        <f t="shared" si="27"/>
        <v>612014.47000000009</v>
      </c>
      <c r="U305" s="2">
        <f t="shared" si="28"/>
        <v>8838.0616000000009</v>
      </c>
      <c r="V305" s="10">
        <f>'A) Base RI'!O305</f>
        <v>1544.4</v>
      </c>
      <c r="W305" s="10">
        <f>'A) Base RI'!P305</f>
        <v>9570</v>
      </c>
      <c r="X305" s="10">
        <f>'A) Base RI'!R305</f>
        <v>3033.35</v>
      </c>
      <c r="Y305" s="2">
        <f t="shared" si="29"/>
        <v>14147.75</v>
      </c>
      <c r="Z305" s="10">
        <f>'A) Base RI'!N305</f>
        <v>0</v>
      </c>
      <c r="AA305" s="10">
        <f>'A) Base RI'!S305+'A) Base RI'!T305</f>
        <v>1206</v>
      </c>
      <c r="AB305" s="10">
        <f>+'A) Base RI'!U305</f>
        <v>1380</v>
      </c>
      <c r="AC305" s="10">
        <f>'A) Base RI'!V305</f>
        <v>0</v>
      </c>
      <c r="AD305" s="10">
        <f>+'A) Base RI'!W305</f>
        <v>0</v>
      </c>
      <c r="AE305" s="10">
        <f>'A) Base RI'!Y305</f>
        <v>18130</v>
      </c>
      <c r="AF305" s="10">
        <f>'A) Base RI'!Z305</f>
        <v>0</v>
      </c>
      <c r="AG305" s="10">
        <f>'A) Base RI'!AA305</f>
        <v>74641.75</v>
      </c>
      <c r="AH305" s="10">
        <f>'A) Base RI'!AB305</f>
        <v>0</v>
      </c>
      <c r="AI305" s="10">
        <f>'A) Base RI'!AC305</f>
        <v>31424.6</v>
      </c>
      <c r="AJ305" s="10">
        <f>'A) Base RI'!AD305</f>
        <v>0</v>
      </c>
      <c r="AK305" s="10">
        <f>'A) Base RI'!AE305</f>
        <v>0</v>
      </c>
      <c r="AL305" s="10">
        <f>'A) Base RI'!AF305</f>
        <v>0</v>
      </c>
      <c r="AM305" s="10">
        <f>'A) Base RI'!AG305</f>
        <v>0</v>
      </c>
      <c r="AN305" s="10">
        <f>'A) Base RI'!AH305</f>
        <v>0</v>
      </c>
      <c r="AO305" s="10">
        <f>'A) Base RI'!AI305</f>
        <v>0</v>
      </c>
      <c r="AP305" s="10">
        <f>'A) Base RI'!AJ305</f>
        <v>0</v>
      </c>
      <c r="AQ305" s="10">
        <f>'A) Base RI'!AK305</f>
        <v>0</v>
      </c>
      <c r="AR305" s="10">
        <f>'A) Base RI'!AN305</f>
        <v>350</v>
      </c>
    </row>
    <row r="306" spans="1:44" x14ac:dyDescent="0.25">
      <c r="A306" s="8">
        <f>'A) Base RI'!A306</f>
        <v>5915</v>
      </c>
      <c r="B306" s="35" t="str">
        <f>'A) Base RI'!B306</f>
        <v>Essert-Pittet</v>
      </c>
      <c r="C306" s="10">
        <f>'A) Base RI'!C306+'A) Base RI'!D306</f>
        <v>252998.15</v>
      </c>
      <c r="D306" s="10">
        <f>'A) Base RI'!AO306</f>
        <v>-992.08</v>
      </c>
      <c r="E306" s="34">
        <f>'A) Base RI'!AP306</f>
        <v>0</v>
      </c>
      <c r="F306" s="34">
        <f>'A) Base RI'!AQ306</f>
        <v>-205.8</v>
      </c>
      <c r="G306" s="2">
        <f t="shared" si="24"/>
        <v>251800.27000000002</v>
      </c>
      <c r="H306" s="10">
        <f>'A) Base RI'!E306</f>
        <v>0</v>
      </c>
      <c r="I306" s="10">
        <f>'A) Base RI'!F306</f>
        <v>0</v>
      </c>
      <c r="J306" s="10">
        <f>'A) Base RI'!G306+'A) Base RI'!H306</f>
        <v>5436.0999999999995</v>
      </c>
      <c r="K306" s="10">
        <f>'A) Base RI'!I306</f>
        <v>0</v>
      </c>
      <c r="L306" s="10">
        <f>'A) Base RI'!J306</f>
        <v>9686.25</v>
      </c>
      <c r="M306" s="10">
        <f>'A) Base RI'!K306</f>
        <v>0</v>
      </c>
      <c r="N306" s="10">
        <f>'A) Base RI'!Q306</f>
        <v>0</v>
      </c>
      <c r="O306" s="10">
        <f t="shared" si="25"/>
        <v>22606.176470588234</v>
      </c>
      <c r="P306" s="10">
        <f>'A) Base RI'!L306</f>
        <v>19215.25</v>
      </c>
      <c r="Q306" s="37">
        <f>'A) Base RI'!AR306</f>
        <v>0.85</v>
      </c>
      <c r="R306" s="2">
        <f t="shared" si="26"/>
        <v>289528.79647058825</v>
      </c>
      <c r="S306" s="36">
        <f>'A) Base RI'!AM306</f>
        <v>75</v>
      </c>
      <c r="T306" s="2">
        <f t="shared" si="27"/>
        <v>266922.62</v>
      </c>
      <c r="U306" s="2">
        <f t="shared" si="28"/>
        <v>3860.3839529411766</v>
      </c>
      <c r="V306" s="10">
        <f>'A) Base RI'!O306</f>
        <v>0</v>
      </c>
      <c r="W306" s="10">
        <f>'A) Base RI'!P306</f>
        <v>126.3</v>
      </c>
      <c r="X306" s="10">
        <f>'A) Base RI'!R306</f>
        <v>0</v>
      </c>
      <c r="Y306" s="2">
        <f t="shared" si="29"/>
        <v>126.3</v>
      </c>
      <c r="Z306" s="10">
        <f>'A) Base RI'!N306</f>
        <v>0</v>
      </c>
      <c r="AA306" s="10">
        <f>'A) Base RI'!S306+'A) Base RI'!T306</f>
        <v>0</v>
      </c>
      <c r="AB306" s="10">
        <f>+'A) Base RI'!U306</f>
        <v>2650</v>
      </c>
      <c r="AC306" s="10">
        <f>'A) Base RI'!V306</f>
        <v>0</v>
      </c>
      <c r="AD306" s="10">
        <f>+'A) Base RI'!W306</f>
        <v>0</v>
      </c>
      <c r="AE306" s="10">
        <f>'A) Base RI'!Y306</f>
        <v>0</v>
      </c>
      <c r="AF306" s="10">
        <f>'A) Base RI'!Z306</f>
        <v>0</v>
      </c>
      <c r="AG306" s="10">
        <f>'A) Base RI'!AA306</f>
        <v>51345</v>
      </c>
      <c r="AH306" s="10">
        <f>'A) Base RI'!AB306</f>
        <v>0</v>
      </c>
      <c r="AI306" s="10">
        <f>'A) Base RI'!AC306</f>
        <v>1540</v>
      </c>
      <c r="AJ306" s="10">
        <f>'A) Base RI'!AD306</f>
        <v>0</v>
      </c>
      <c r="AK306" s="10">
        <f>'A) Base RI'!AE306</f>
        <v>0</v>
      </c>
      <c r="AL306" s="10">
        <f>'A) Base RI'!AF306</f>
        <v>0</v>
      </c>
      <c r="AM306" s="10">
        <f>'A) Base RI'!AG306</f>
        <v>0</v>
      </c>
      <c r="AN306" s="10">
        <f>'A) Base RI'!AH306</f>
        <v>0</v>
      </c>
      <c r="AO306" s="10">
        <f>'A) Base RI'!AI306</f>
        <v>0</v>
      </c>
      <c r="AP306" s="10">
        <f>'A) Base RI'!AJ306</f>
        <v>0</v>
      </c>
      <c r="AQ306" s="10">
        <f>'A) Base RI'!AK306</f>
        <v>0</v>
      </c>
      <c r="AR306" s="10">
        <f>'A) Base RI'!AN306</f>
        <v>170</v>
      </c>
    </row>
    <row r="307" spans="1:44" x14ac:dyDescent="0.25">
      <c r="A307" s="8">
        <f>'A) Base RI'!A307</f>
        <v>5919</v>
      </c>
      <c r="B307" s="35" t="str">
        <f>'A) Base RI'!B307</f>
        <v>Mathod</v>
      </c>
      <c r="C307" s="10">
        <f>'A) Base RI'!C307+'A) Base RI'!D307</f>
        <v>1087849.6199999999</v>
      </c>
      <c r="D307" s="10">
        <f>'A) Base RI'!AO307</f>
        <v>-11124.04</v>
      </c>
      <c r="E307" s="34">
        <f>'A) Base RI'!AP307</f>
        <v>0</v>
      </c>
      <c r="F307" s="34">
        <f>'A) Base RI'!AQ307</f>
        <v>-0.03</v>
      </c>
      <c r="G307" s="2">
        <f t="shared" si="24"/>
        <v>1076725.5499999998</v>
      </c>
      <c r="H307" s="10">
        <f>'A) Base RI'!E307</f>
        <v>0</v>
      </c>
      <c r="I307" s="10">
        <f>'A) Base RI'!F307</f>
        <v>3220</v>
      </c>
      <c r="J307" s="10">
        <f>'A) Base RI'!G307+'A) Base RI'!H307</f>
        <v>55213.8</v>
      </c>
      <c r="K307" s="10">
        <f>'A) Base RI'!I307</f>
        <v>0</v>
      </c>
      <c r="L307" s="10">
        <f>'A) Base RI'!J307</f>
        <v>12202.28</v>
      </c>
      <c r="M307" s="10">
        <f>'A) Base RI'!K307</f>
        <v>5221</v>
      </c>
      <c r="N307" s="10">
        <f>'A) Base RI'!Q307</f>
        <v>8420.07</v>
      </c>
      <c r="O307" s="10">
        <f t="shared" si="25"/>
        <v>88404.333333333328</v>
      </c>
      <c r="P307" s="10">
        <f>'A) Base RI'!L307</f>
        <v>106085.2</v>
      </c>
      <c r="Q307" s="37">
        <f>'A) Base RI'!AR307</f>
        <v>1.2</v>
      </c>
      <c r="R307" s="2">
        <f t="shared" si="26"/>
        <v>1249407.0333333332</v>
      </c>
      <c r="S307" s="36">
        <f>'A) Base RI'!AM307</f>
        <v>74</v>
      </c>
      <c r="T307" s="2">
        <f t="shared" si="27"/>
        <v>1152561.7</v>
      </c>
      <c r="U307" s="2">
        <f t="shared" si="28"/>
        <v>16883.878828828827</v>
      </c>
      <c r="V307" s="10">
        <f>'A) Base RI'!O307</f>
        <v>158416</v>
      </c>
      <c r="W307" s="10">
        <f>'A) Base RI'!P307</f>
        <v>2389.85</v>
      </c>
      <c r="X307" s="10">
        <f>'A) Base RI'!R307</f>
        <v>5621.2</v>
      </c>
      <c r="Y307" s="2">
        <f t="shared" si="29"/>
        <v>166427.05000000002</v>
      </c>
      <c r="Z307" s="10">
        <f>'A) Base RI'!N307</f>
        <v>8035.8</v>
      </c>
      <c r="AA307" s="10">
        <f>'A) Base RI'!S307+'A) Base RI'!T307</f>
        <v>1022.25</v>
      </c>
      <c r="AB307" s="10">
        <f>+'A) Base RI'!U307</f>
        <v>3650</v>
      </c>
      <c r="AC307" s="10">
        <f>'A) Base RI'!V307</f>
        <v>0</v>
      </c>
      <c r="AD307" s="10">
        <f>+'A) Base RI'!W307</f>
        <v>0</v>
      </c>
      <c r="AE307" s="10">
        <f>'A) Base RI'!Y307</f>
        <v>25282.3</v>
      </c>
      <c r="AF307" s="10">
        <f>'A) Base RI'!Z307</f>
        <v>1684.8</v>
      </c>
      <c r="AG307" s="10">
        <f>'A) Base RI'!AA307</f>
        <v>106195.4</v>
      </c>
      <c r="AH307" s="10">
        <f>'A) Base RI'!AB307</f>
        <v>0</v>
      </c>
      <c r="AI307" s="10">
        <f>'A) Base RI'!AC307</f>
        <v>41386.400000000001</v>
      </c>
      <c r="AJ307" s="10">
        <f>'A) Base RI'!AD307</f>
        <v>23091</v>
      </c>
      <c r="AK307" s="10">
        <f>'A) Base RI'!AE307</f>
        <v>0</v>
      </c>
      <c r="AL307" s="10">
        <f>'A) Base RI'!AF307</f>
        <v>0</v>
      </c>
      <c r="AM307" s="10">
        <f>'A) Base RI'!AG307</f>
        <v>0</v>
      </c>
      <c r="AN307" s="10">
        <f>'A) Base RI'!AH307</f>
        <v>0</v>
      </c>
      <c r="AO307" s="10">
        <f>'A) Base RI'!AI307</f>
        <v>0</v>
      </c>
      <c r="AP307" s="10">
        <f>'A) Base RI'!AJ307</f>
        <v>0</v>
      </c>
      <c r="AQ307" s="10">
        <f>'A) Base RI'!AK307</f>
        <v>0</v>
      </c>
      <c r="AR307" s="10">
        <f>'A) Base RI'!AN307</f>
        <v>614</v>
      </c>
    </row>
    <row r="308" spans="1:44" x14ac:dyDescent="0.25">
      <c r="A308" s="8">
        <f>'A) Base RI'!A308</f>
        <v>5921</v>
      </c>
      <c r="B308" s="35" t="str">
        <f>'A) Base RI'!B308</f>
        <v>Molondin</v>
      </c>
      <c r="C308" s="10">
        <f>'A) Base RI'!C308+'A) Base RI'!D308</f>
        <v>374529.17</v>
      </c>
      <c r="D308" s="10">
        <f>'A) Base RI'!AO308</f>
        <v>-7176.33</v>
      </c>
      <c r="E308" s="34">
        <f>'A) Base RI'!AP308</f>
        <v>0</v>
      </c>
      <c r="F308" s="34">
        <f>'A) Base RI'!AQ308</f>
        <v>0</v>
      </c>
      <c r="G308" s="2">
        <f t="shared" si="24"/>
        <v>367352.83999999997</v>
      </c>
      <c r="H308" s="10">
        <f>'A) Base RI'!E308</f>
        <v>0</v>
      </c>
      <c r="I308" s="10">
        <f>'A) Base RI'!F308</f>
        <v>1400</v>
      </c>
      <c r="J308" s="10">
        <f>'A) Base RI'!G308+'A) Base RI'!H308</f>
        <v>29493.599999999999</v>
      </c>
      <c r="K308" s="10">
        <f>'A) Base RI'!I308</f>
        <v>0</v>
      </c>
      <c r="L308" s="10">
        <f>'A) Base RI'!J308</f>
        <v>21209.52</v>
      </c>
      <c r="M308" s="10">
        <f>'A) Base RI'!K308</f>
        <v>0</v>
      </c>
      <c r="N308" s="10">
        <f>'A) Base RI'!Q308</f>
        <v>0</v>
      </c>
      <c r="O308" s="10">
        <f t="shared" si="25"/>
        <v>27508.85</v>
      </c>
      <c r="P308" s="10">
        <f>'A) Base RI'!L308</f>
        <v>27508.85</v>
      </c>
      <c r="Q308" s="37">
        <f>'A) Base RI'!AR308</f>
        <v>1</v>
      </c>
      <c r="R308" s="2">
        <f t="shared" si="26"/>
        <v>446964.80999999994</v>
      </c>
      <c r="S308" s="36">
        <f>'A) Base RI'!AM308</f>
        <v>81</v>
      </c>
      <c r="T308" s="2">
        <f t="shared" si="27"/>
        <v>418055.95999999996</v>
      </c>
      <c r="U308" s="2">
        <f t="shared" si="28"/>
        <v>5518.0840740740732</v>
      </c>
      <c r="V308" s="10">
        <f>'A) Base RI'!O308</f>
        <v>919.3</v>
      </c>
      <c r="W308" s="10">
        <f>'A) Base RI'!P308</f>
        <v>13284.7</v>
      </c>
      <c r="X308" s="10">
        <f>'A) Base RI'!R308</f>
        <v>18705.349999999999</v>
      </c>
      <c r="Y308" s="2">
        <f t="shared" si="29"/>
        <v>32909.35</v>
      </c>
      <c r="Z308" s="10">
        <f>'A) Base RI'!N308</f>
        <v>3758.5</v>
      </c>
      <c r="AA308" s="10">
        <f>'A) Base RI'!S308+'A) Base RI'!T308</f>
        <v>530</v>
      </c>
      <c r="AB308" s="10">
        <f>+'A) Base RI'!U308</f>
        <v>1552.5</v>
      </c>
      <c r="AC308" s="10">
        <f>'A) Base RI'!V308</f>
        <v>430</v>
      </c>
      <c r="AD308" s="10">
        <f>+'A) Base RI'!W308</f>
        <v>0</v>
      </c>
      <c r="AE308" s="10">
        <f>'A) Base RI'!Y308</f>
        <v>11440</v>
      </c>
      <c r="AF308" s="10">
        <f>'A) Base RI'!Z308</f>
        <v>0</v>
      </c>
      <c r="AG308" s="10">
        <f>'A) Base RI'!AA308</f>
        <v>37635</v>
      </c>
      <c r="AH308" s="10">
        <f>'A) Base RI'!AB308</f>
        <v>0</v>
      </c>
      <c r="AI308" s="10">
        <f>'A) Base RI'!AC308</f>
        <v>8840</v>
      </c>
      <c r="AJ308" s="10">
        <f>'A) Base RI'!AD308</f>
        <v>9360</v>
      </c>
      <c r="AK308" s="10">
        <f>'A) Base RI'!AE308</f>
        <v>0</v>
      </c>
      <c r="AL308" s="10">
        <f>'A) Base RI'!AF308</f>
        <v>0</v>
      </c>
      <c r="AM308" s="10">
        <f>'A) Base RI'!AG308</f>
        <v>0</v>
      </c>
      <c r="AN308" s="10">
        <f>'A) Base RI'!AH308</f>
        <v>0</v>
      </c>
      <c r="AO308" s="10">
        <f>'A) Base RI'!AI308</f>
        <v>0</v>
      </c>
      <c r="AP308" s="10">
        <f>'A) Base RI'!AJ308</f>
        <v>0</v>
      </c>
      <c r="AQ308" s="10">
        <f>'A) Base RI'!AK308</f>
        <v>0</v>
      </c>
      <c r="AR308" s="10">
        <f>'A) Base RI'!AN308</f>
        <v>218</v>
      </c>
    </row>
    <row r="309" spans="1:44" x14ac:dyDescent="0.25">
      <c r="A309" s="8">
        <f>'A) Base RI'!A309</f>
        <v>5922</v>
      </c>
      <c r="B309" s="35" t="str">
        <f>'A) Base RI'!B309</f>
        <v>Montagny-près-Yverdon</v>
      </c>
      <c r="C309" s="10">
        <f>'A) Base RI'!C309+'A) Base RI'!D309</f>
        <v>1413287.34</v>
      </c>
      <c r="D309" s="10">
        <f>'A) Base RI'!AO309</f>
        <v>-10664.16</v>
      </c>
      <c r="E309" s="34">
        <f>'A) Base RI'!AP309</f>
        <v>0</v>
      </c>
      <c r="F309" s="34">
        <f>'A) Base RI'!AQ309</f>
        <v>-66.33</v>
      </c>
      <c r="G309" s="2">
        <f t="shared" si="24"/>
        <v>1402556.85</v>
      </c>
      <c r="H309" s="10">
        <f>'A) Base RI'!E309</f>
        <v>0</v>
      </c>
      <c r="I309" s="10">
        <f>'A) Base RI'!F309</f>
        <v>0</v>
      </c>
      <c r="J309" s="10">
        <f>'A) Base RI'!G309+'A) Base RI'!H309</f>
        <v>937580.65</v>
      </c>
      <c r="K309" s="10">
        <f>'A) Base RI'!I309</f>
        <v>0</v>
      </c>
      <c r="L309" s="10">
        <f>'A) Base RI'!J309</f>
        <v>49341.279999999999</v>
      </c>
      <c r="M309" s="10">
        <f>'A) Base RI'!K309</f>
        <v>57373.5</v>
      </c>
      <c r="N309" s="10">
        <f>'A) Base RI'!Q309</f>
        <v>1932.76</v>
      </c>
      <c r="O309" s="10">
        <f t="shared" si="25"/>
        <v>297950</v>
      </c>
      <c r="P309" s="10">
        <f>'A) Base RI'!L309</f>
        <v>238360</v>
      </c>
      <c r="Q309" s="37">
        <f>'A) Base RI'!AR309</f>
        <v>0.8</v>
      </c>
      <c r="R309" s="2">
        <f t="shared" si="26"/>
        <v>2746735.0399999996</v>
      </c>
      <c r="S309" s="36">
        <f>'A) Base RI'!AM309</f>
        <v>61</v>
      </c>
      <c r="T309" s="2">
        <f t="shared" si="27"/>
        <v>2391411.5399999996</v>
      </c>
      <c r="U309" s="2">
        <f t="shared" si="28"/>
        <v>45028.443278688515</v>
      </c>
      <c r="V309" s="10">
        <f>'A) Base RI'!O309</f>
        <v>2671.5</v>
      </c>
      <c r="W309" s="10">
        <f>'A) Base RI'!P309</f>
        <v>26071.75</v>
      </c>
      <c r="X309" s="10">
        <f>'A) Base RI'!R309</f>
        <v>26747.15</v>
      </c>
      <c r="Y309" s="2">
        <f t="shared" si="29"/>
        <v>55490.400000000001</v>
      </c>
      <c r="Z309" s="10">
        <f>'A) Base RI'!N309</f>
        <v>123327.5</v>
      </c>
      <c r="AA309" s="10">
        <f>'A) Base RI'!S309+'A) Base RI'!T309</f>
        <v>85297.7</v>
      </c>
      <c r="AB309" s="10">
        <f>+'A) Base RI'!U309</f>
        <v>1640</v>
      </c>
      <c r="AC309" s="10">
        <f>'A) Base RI'!V309</f>
        <v>117</v>
      </c>
      <c r="AD309" s="10">
        <f>+'A) Base RI'!W309</f>
        <v>0</v>
      </c>
      <c r="AE309" s="10">
        <f>'A) Base RI'!Y309</f>
        <v>14182.4</v>
      </c>
      <c r="AF309" s="10">
        <f>'A) Base RI'!Z309</f>
        <v>0</v>
      </c>
      <c r="AG309" s="10">
        <f>'A) Base RI'!AA309</f>
        <v>112503.05</v>
      </c>
      <c r="AH309" s="10">
        <f>'A) Base RI'!AB309</f>
        <v>0</v>
      </c>
      <c r="AI309" s="10">
        <f>'A) Base RI'!AC309</f>
        <v>114289.55</v>
      </c>
      <c r="AJ309" s="10">
        <f>'A) Base RI'!AD309</f>
        <v>11552.8</v>
      </c>
      <c r="AK309" s="10">
        <f>'A) Base RI'!AE309</f>
        <v>0</v>
      </c>
      <c r="AL309" s="10">
        <f>'A) Base RI'!AF309</f>
        <v>0</v>
      </c>
      <c r="AM309" s="10">
        <f>'A) Base RI'!AG309</f>
        <v>4058.65</v>
      </c>
      <c r="AN309" s="10">
        <f>'A) Base RI'!AH309</f>
        <v>94262.2</v>
      </c>
      <c r="AO309" s="10">
        <f>'A) Base RI'!AI309</f>
        <v>0</v>
      </c>
      <c r="AP309" s="10">
        <f>'A) Base RI'!AJ309</f>
        <v>0</v>
      </c>
      <c r="AQ309" s="10">
        <f>'A) Base RI'!AK309</f>
        <v>0</v>
      </c>
      <c r="AR309" s="10">
        <f>'A) Base RI'!AN309</f>
        <v>733</v>
      </c>
    </row>
    <row r="310" spans="1:44" x14ac:dyDescent="0.25">
      <c r="A310" s="8">
        <f>'A) Base RI'!A310</f>
        <v>5923</v>
      </c>
      <c r="B310" s="35" t="str">
        <f>'A) Base RI'!B310</f>
        <v>Oppens</v>
      </c>
      <c r="C310" s="10">
        <f>'A) Base RI'!C310+'A) Base RI'!D310</f>
        <v>338991.33999999997</v>
      </c>
      <c r="D310" s="10">
        <f>'A) Base RI'!AO310</f>
        <v>-579.42999999999995</v>
      </c>
      <c r="E310" s="34">
        <f>'A) Base RI'!AP310</f>
        <v>0</v>
      </c>
      <c r="F310" s="34">
        <f>'A) Base RI'!AQ310</f>
        <v>0</v>
      </c>
      <c r="G310" s="2">
        <f t="shared" si="24"/>
        <v>338411.91</v>
      </c>
      <c r="H310" s="10">
        <f>'A) Base RI'!E310</f>
        <v>0</v>
      </c>
      <c r="I310" s="10">
        <f>'A) Base RI'!F310</f>
        <v>0</v>
      </c>
      <c r="J310" s="10">
        <f>'A) Base RI'!G310+'A) Base RI'!H310</f>
        <v>9573.1</v>
      </c>
      <c r="K310" s="10">
        <f>'A) Base RI'!I310</f>
        <v>0</v>
      </c>
      <c r="L310" s="10">
        <f>'A) Base RI'!J310</f>
        <v>23528.79</v>
      </c>
      <c r="M310" s="10">
        <f>'A) Base RI'!K310</f>
        <v>0</v>
      </c>
      <c r="N310" s="10">
        <f>'A) Base RI'!Q310</f>
        <v>1173.58</v>
      </c>
      <c r="O310" s="10">
        <f t="shared" si="25"/>
        <v>22675.4</v>
      </c>
      <c r="P310" s="10">
        <f>'A) Base RI'!L310</f>
        <v>22675.4</v>
      </c>
      <c r="Q310" s="37">
        <f>'A) Base RI'!AR310</f>
        <v>1</v>
      </c>
      <c r="R310" s="2">
        <f t="shared" si="26"/>
        <v>395362.77999999997</v>
      </c>
      <c r="S310" s="36">
        <f>'A) Base RI'!AM310</f>
        <v>81</v>
      </c>
      <c r="T310" s="2">
        <f t="shared" si="27"/>
        <v>372687.37999999995</v>
      </c>
      <c r="U310" s="2">
        <f t="shared" si="28"/>
        <v>4881.0219753086412</v>
      </c>
      <c r="V310" s="10">
        <f>'A) Base RI'!O310</f>
        <v>0</v>
      </c>
      <c r="W310" s="10">
        <f>'A) Base RI'!P310</f>
        <v>35147.75</v>
      </c>
      <c r="X310" s="10">
        <f>'A) Base RI'!R310</f>
        <v>17530.849999999999</v>
      </c>
      <c r="Y310" s="2">
        <f t="shared" si="29"/>
        <v>52678.6</v>
      </c>
      <c r="Z310" s="10">
        <f>'A) Base RI'!N310</f>
        <v>15625.95</v>
      </c>
      <c r="AA310" s="10">
        <f>'A) Base RI'!S310+'A) Base RI'!T310</f>
        <v>0</v>
      </c>
      <c r="AB310" s="10">
        <f>+'A) Base RI'!U310</f>
        <v>1687.5</v>
      </c>
      <c r="AC310" s="10">
        <f>'A) Base RI'!V310</f>
        <v>0</v>
      </c>
      <c r="AD310" s="10">
        <f>+'A) Base RI'!W310</f>
        <v>0</v>
      </c>
      <c r="AE310" s="10">
        <f>'A) Base RI'!Y310</f>
        <v>11200</v>
      </c>
      <c r="AF310" s="10">
        <f>'A) Base RI'!Z310</f>
        <v>0</v>
      </c>
      <c r="AG310" s="10">
        <f>'A) Base RI'!AA310</f>
        <v>45737.25</v>
      </c>
      <c r="AH310" s="10">
        <f>'A) Base RI'!AB310</f>
        <v>0</v>
      </c>
      <c r="AI310" s="10">
        <f>'A) Base RI'!AC310</f>
        <v>17686</v>
      </c>
      <c r="AJ310" s="10">
        <f>'A) Base RI'!AD310</f>
        <v>2841.4</v>
      </c>
      <c r="AK310" s="10">
        <f>'A) Base RI'!AE310</f>
        <v>0</v>
      </c>
      <c r="AL310" s="10">
        <f>'A) Base RI'!AF310</f>
        <v>0</v>
      </c>
      <c r="AM310" s="10">
        <f>'A) Base RI'!AG310</f>
        <v>0</v>
      </c>
      <c r="AN310" s="10">
        <f>'A) Base RI'!AH310</f>
        <v>0</v>
      </c>
      <c r="AO310" s="10">
        <f>'A) Base RI'!AI310</f>
        <v>0</v>
      </c>
      <c r="AP310" s="10">
        <f>'A) Base RI'!AJ310</f>
        <v>0</v>
      </c>
      <c r="AQ310" s="10">
        <f>'A) Base RI'!AK310</f>
        <v>0</v>
      </c>
      <c r="AR310" s="10">
        <f>'A) Base RI'!AN310</f>
        <v>182</v>
      </c>
    </row>
    <row r="311" spans="1:44" x14ac:dyDescent="0.25">
      <c r="A311" s="8">
        <f>'A) Base RI'!A311</f>
        <v>5924</v>
      </c>
      <c r="B311" s="35" t="str">
        <f>'A) Base RI'!B311</f>
        <v>Orges</v>
      </c>
      <c r="C311" s="10">
        <f>'A) Base RI'!C311+'A) Base RI'!D311</f>
        <v>649954.1</v>
      </c>
      <c r="D311" s="10">
        <f>'A) Base RI'!AO311</f>
        <v>-8644.2999999999993</v>
      </c>
      <c r="E311" s="34">
        <f>'A) Base RI'!AP311</f>
        <v>0</v>
      </c>
      <c r="F311" s="34">
        <f>'A) Base RI'!AQ311</f>
        <v>-34.9</v>
      </c>
      <c r="G311" s="2">
        <f t="shared" si="24"/>
        <v>641274.89999999991</v>
      </c>
      <c r="H311" s="10">
        <f>'A) Base RI'!E311</f>
        <v>0</v>
      </c>
      <c r="I311" s="10">
        <f>'A) Base RI'!F311</f>
        <v>0</v>
      </c>
      <c r="J311" s="10">
        <f>'A) Base RI'!G311+'A) Base RI'!H311</f>
        <v>14910.550000000001</v>
      </c>
      <c r="K311" s="10">
        <f>'A) Base RI'!I311</f>
        <v>0</v>
      </c>
      <c r="L311" s="10">
        <f>'A) Base RI'!J311</f>
        <v>-217.8</v>
      </c>
      <c r="M311" s="10">
        <f>'A) Base RI'!K311</f>
        <v>0</v>
      </c>
      <c r="N311" s="10">
        <f>'A) Base RI'!Q311</f>
        <v>3135.23</v>
      </c>
      <c r="O311" s="10">
        <f t="shared" si="25"/>
        <v>42154.3</v>
      </c>
      <c r="P311" s="10">
        <f>'A) Base RI'!L311</f>
        <v>42154.3</v>
      </c>
      <c r="Q311" s="37">
        <f>'A) Base RI'!AR311</f>
        <v>1</v>
      </c>
      <c r="R311" s="2">
        <f t="shared" si="26"/>
        <v>701257.17999999993</v>
      </c>
      <c r="S311" s="36">
        <f>'A) Base RI'!AM311</f>
        <v>74</v>
      </c>
      <c r="T311" s="2">
        <f t="shared" si="27"/>
        <v>659102.87999999989</v>
      </c>
      <c r="U311" s="2">
        <f t="shared" si="28"/>
        <v>9476.448378378378</v>
      </c>
      <c r="V311" s="10">
        <f>'A) Base RI'!O311</f>
        <v>0</v>
      </c>
      <c r="W311" s="10">
        <f>'A) Base RI'!P311</f>
        <v>21670</v>
      </c>
      <c r="X311" s="10">
        <f>'A) Base RI'!R311</f>
        <v>6810.1</v>
      </c>
      <c r="Y311" s="2">
        <f t="shared" si="29"/>
        <v>28480.1</v>
      </c>
      <c r="Z311" s="10">
        <f>'A) Base RI'!N311</f>
        <v>16170.65</v>
      </c>
      <c r="AA311" s="10">
        <f>'A) Base RI'!S311+'A) Base RI'!T311</f>
        <v>850</v>
      </c>
      <c r="AB311" s="10">
        <f>+'A) Base RI'!U311</f>
        <v>2600</v>
      </c>
      <c r="AC311" s="10">
        <f>'A) Base RI'!V311</f>
        <v>0</v>
      </c>
      <c r="AD311" s="10">
        <f>+'A) Base RI'!W311</f>
        <v>0</v>
      </c>
      <c r="AE311" s="10">
        <f>'A) Base RI'!Y311</f>
        <v>13896</v>
      </c>
      <c r="AF311" s="10">
        <f>'A) Base RI'!Z311</f>
        <v>6948</v>
      </c>
      <c r="AG311" s="10">
        <f>'A) Base RI'!AA311</f>
        <v>21170</v>
      </c>
      <c r="AH311" s="10">
        <f>'A) Base RI'!AB311</f>
        <v>0</v>
      </c>
      <c r="AI311" s="10">
        <f>'A) Base RI'!AC311</f>
        <v>13053</v>
      </c>
      <c r="AJ311" s="10">
        <f>'A) Base RI'!AD311</f>
        <v>10422</v>
      </c>
      <c r="AK311" s="10">
        <f>'A) Base RI'!AE311</f>
        <v>0</v>
      </c>
      <c r="AL311" s="10">
        <f>'A) Base RI'!AF311</f>
        <v>0</v>
      </c>
      <c r="AM311" s="10">
        <f>'A) Base RI'!AG311</f>
        <v>4296</v>
      </c>
      <c r="AN311" s="10">
        <f>'A) Base RI'!AH311</f>
        <v>0</v>
      </c>
      <c r="AO311" s="10">
        <f>'A) Base RI'!AI311</f>
        <v>0</v>
      </c>
      <c r="AP311" s="10">
        <f>'A) Base RI'!AJ311</f>
        <v>0</v>
      </c>
      <c r="AQ311" s="10">
        <f>'A) Base RI'!AK311</f>
        <v>0</v>
      </c>
      <c r="AR311" s="10">
        <f>'A) Base RI'!AN311</f>
        <v>292</v>
      </c>
    </row>
    <row r="312" spans="1:44" x14ac:dyDescent="0.25">
      <c r="A312" s="8">
        <f>'A) Base RI'!A312</f>
        <v>5925</v>
      </c>
      <c r="B312" s="35" t="str">
        <f>'A) Base RI'!B312</f>
        <v>Orzens</v>
      </c>
      <c r="C312" s="10">
        <f>'A) Base RI'!C312+'A) Base RI'!D312</f>
        <v>349332.82</v>
      </c>
      <c r="D312" s="10">
        <f>'A) Base RI'!AO312</f>
        <v>-3802.28</v>
      </c>
      <c r="E312" s="34">
        <f>'A) Base RI'!AP312</f>
        <v>0</v>
      </c>
      <c r="F312" s="34">
        <f>'A) Base RI'!AQ312</f>
        <v>0</v>
      </c>
      <c r="G312" s="2">
        <f t="shared" si="24"/>
        <v>345530.54</v>
      </c>
      <c r="H312" s="10">
        <f>'A) Base RI'!E312</f>
        <v>0</v>
      </c>
      <c r="I312" s="10">
        <f>'A) Base RI'!F312</f>
        <v>1290</v>
      </c>
      <c r="J312" s="10">
        <f>'A) Base RI'!G312+'A) Base RI'!H312</f>
        <v>4141.95</v>
      </c>
      <c r="K312" s="10">
        <f>'A) Base RI'!I312</f>
        <v>0</v>
      </c>
      <c r="L312" s="10">
        <f>'A) Base RI'!J312</f>
        <v>6900.78</v>
      </c>
      <c r="M312" s="10">
        <f>'A) Base RI'!K312</f>
        <v>0</v>
      </c>
      <c r="N312" s="10">
        <f>'A) Base RI'!Q312</f>
        <v>0</v>
      </c>
      <c r="O312" s="10">
        <f t="shared" si="25"/>
        <v>27296.7</v>
      </c>
      <c r="P312" s="10">
        <f>'A) Base RI'!L312</f>
        <v>27296.7</v>
      </c>
      <c r="Q312" s="37">
        <f>'A) Base RI'!AR312</f>
        <v>1</v>
      </c>
      <c r="R312" s="2">
        <f t="shared" si="26"/>
        <v>385159.97000000003</v>
      </c>
      <c r="S312" s="36">
        <f>'A) Base RI'!AM312</f>
        <v>79</v>
      </c>
      <c r="T312" s="2">
        <f t="shared" si="27"/>
        <v>356573.27</v>
      </c>
      <c r="U312" s="2">
        <f t="shared" si="28"/>
        <v>4875.4426582278484</v>
      </c>
      <c r="V312" s="10">
        <f>'A) Base RI'!O312</f>
        <v>15741</v>
      </c>
      <c r="W312" s="10">
        <f>'A) Base RI'!P312</f>
        <v>0</v>
      </c>
      <c r="X312" s="10">
        <f>'A) Base RI'!R312</f>
        <v>0</v>
      </c>
      <c r="Y312" s="2">
        <f t="shared" si="29"/>
        <v>15741</v>
      </c>
      <c r="Z312" s="10">
        <f>'A) Base RI'!N312</f>
        <v>13995.35</v>
      </c>
      <c r="AA312" s="10">
        <f>'A) Base RI'!S312+'A) Base RI'!T312</f>
        <v>420</v>
      </c>
      <c r="AB312" s="10">
        <f>+'A) Base RI'!U312</f>
        <v>2040</v>
      </c>
      <c r="AC312" s="10">
        <f>'A) Base RI'!V312</f>
        <v>0</v>
      </c>
      <c r="AD312" s="10">
        <f>+'A) Base RI'!W312</f>
        <v>0</v>
      </c>
      <c r="AE312" s="10">
        <f>'A) Base RI'!Y312</f>
        <v>-2800</v>
      </c>
      <c r="AF312" s="10">
        <f>'A) Base RI'!Z312</f>
        <v>0</v>
      </c>
      <c r="AG312" s="10">
        <f>'A) Base RI'!AA312</f>
        <v>37378</v>
      </c>
      <c r="AH312" s="10">
        <f>'A) Base RI'!AB312</f>
        <v>0</v>
      </c>
      <c r="AI312" s="10">
        <f>'A) Base RI'!AC312</f>
        <v>14005.6</v>
      </c>
      <c r="AJ312" s="10">
        <f>'A) Base RI'!AD312</f>
        <v>-572.54999999999995</v>
      </c>
      <c r="AK312" s="10">
        <f>'A) Base RI'!AE312</f>
        <v>0</v>
      </c>
      <c r="AL312" s="10">
        <f>'A) Base RI'!AF312</f>
        <v>0</v>
      </c>
      <c r="AM312" s="10">
        <f>'A) Base RI'!AG312</f>
        <v>0</v>
      </c>
      <c r="AN312" s="10">
        <f>'A) Base RI'!AH312</f>
        <v>0</v>
      </c>
      <c r="AO312" s="10">
        <f>'A) Base RI'!AI312</f>
        <v>0</v>
      </c>
      <c r="AP312" s="10">
        <f>'A) Base RI'!AJ312</f>
        <v>0</v>
      </c>
      <c r="AQ312" s="10">
        <f>'A) Base RI'!AK312</f>
        <v>0</v>
      </c>
      <c r="AR312" s="10">
        <f>'A) Base RI'!AN312</f>
        <v>200</v>
      </c>
    </row>
    <row r="313" spans="1:44" x14ac:dyDescent="0.25">
      <c r="A313" s="8">
        <f>'A) Base RI'!A313</f>
        <v>5926</v>
      </c>
      <c r="B313" s="35" t="str">
        <f>'A) Base RI'!B313</f>
        <v>Pomy</v>
      </c>
      <c r="C313" s="10">
        <f>'A) Base RI'!C313+'A) Base RI'!D313</f>
        <v>1392210.46</v>
      </c>
      <c r="D313" s="10">
        <f>'A) Base RI'!AO313</f>
        <v>-7070.92</v>
      </c>
      <c r="E313" s="34">
        <f>'A) Base RI'!AP313</f>
        <v>0</v>
      </c>
      <c r="F313" s="34">
        <f>'A) Base RI'!AQ313</f>
        <v>-13.8</v>
      </c>
      <c r="G313" s="2">
        <f t="shared" si="24"/>
        <v>1385125.74</v>
      </c>
      <c r="H313" s="10">
        <f>'A) Base RI'!E313</f>
        <v>0</v>
      </c>
      <c r="I313" s="10">
        <f>'A) Base RI'!F313</f>
        <v>0</v>
      </c>
      <c r="J313" s="10">
        <f>'A) Base RI'!G313+'A) Base RI'!H313</f>
        <v>105860.8</v>
      </c>
      <c r="K313" s="10">
        <f>'A) Base RI'!I313</f>
        <v>0</v>
      </c>
      <c r="L313" s="10">
        <f>'A) Base RI'!J313</f>
        <v>15717.2</v>
      </c>
      <c r="M313" s="10">
        <f>'A) Base RI'!K313</f>
        <v>0</v>
      </c>
      <c r="N313" s="10">
        <f>'A) Base RI'!Q313</f>
        <v>0</v>
      </c>
      <c r="O313" s="10">
        <f t="shared" si="25"/>
        <v>110280.55</v>
      </c>
      <c r="P313" s="10">
        <f>'A) Base RI'!L313</f>
        <v>110280.55</v>
      </c>
      <c r="Q313" s="37">
        <f>'A) Base RI'!AR313</f>
        <v>1</v>
      </c>
      <c r="R313" s="2">
        <f t="shared" si="26"/>
        <v>1616984.29</v>
      </c>
      <c r="S313" s="36">
        <f>'A) Base RI'!AM313</f>
        <v>71</v>
      </c>
      <c r="T313" s="2">
        <f t="shared" si="27"/>
        <v>1506703.74</v>
      </c>
      <c r="U313" s="2">
        <f t="shared" si="28"/>
        <v>22774.42661971831</v>
      </c>
      <c r="V313" s="10">
        <f>'A) Base RI'!O313</f>
        <v>15067</v>
      </c>
      <c r="W313" s="10">
        <f>'A) Base RI'!P313</f>
        <v>99107.05</v>
      </c>
      <c r="X313" s="10">
        <f>'A) Base RI'!R313</f>
        <v>26745.15</v>
      </c>
      <c r="Y313" s="2">
        <f t="shared" si="29"/>
        <v>140919.20000000001</v>
      </c>
      <c r="Z313" s="10">
        <f>'A) Base RI'!N313</f>
        <v>4602.2</v>
      </c>
      <c r="AA313" s="10">
        <f>'A) Base RI'!S313+'A) Base RI'!T313</f>
        <v>660</v>
      </c>
      <c r="AB313" s="10">
        <f>+'A) Base RI'!U313</f>
        <v>3950</v>
      </c>
      <c r="AC313" s="10">
        <f>'A) Base RI'!V313</f>
        <v>0</v>
      </c>
      <c r="AD313" s="10">
        <f>+'A) Base RI'!W313</f>
        <v>0</v>
      </c>
      <c r="AE313" s="10">
        <f>'A) Base RI'!Y313</f>
        <v>4455</v>
      </c>
      <c r="AF313" s="10">
        <f>'A) Base RI'!Z313</f>
        <v>0</v>
      </c>
      <c r="AG313" s="10">
        <f>'A) Base RI'!AA313</f>
        <v>49390.75</v>
      </c>
      <c r="AH313" s="10">
        <f>'A) Base RI'!AB313</f>
        <v>0</v>
      </c>
      <c r="AI313" s="10">
        <f>'A) Base RI'!AC313</f>
        <v>26540.65</v>
      </c>
      <c r="AJ313" s="10">
        <f>'A) Base RI'!AD313</f>
        <v>4055</v>
      </c>
      <c r="AK313" s="10">
        <f>'A) Base RI'!AE313</f>
        <v>5394.8</v>
      </c>
      <c r="AL313" s="10">
        <f>'A) Base RI'!AF313</f>
        <v>0</v>
      </c>
      <c r="AM313" s="10">
        <f>'A) Base RI'!AG313</f>
        <v>0</v>
      </c>
      <c r="AN313" s="10">
        <f>'A) Base RI'!AH313</f>
        <v>0</v>
      </c>
      <c r="AO313" s="10">
        <f>'A) Base RI'!AI313</f>
        <v>0</v>
      </c>
      <c r="AP313" s="10">
        <f>'A) Base RI'!AJ313</f>
        <v>0</v>
      </c>
      <c r="AQ313" s="10">
        <f>'A) Base RI'!AK313</f>
        <v>0</v>
      </c>
      <c r="AR313" s="10">
        <f>'A) Base RI'!AN313</f>
        <v>760</v>
      </c>
    </row>
    <row r="314" spans="1:44" x14ac:dyDescent="0.25">
      <c r="A314" s="8">
        <f>'A) Base RI'!A314</f>
        <v>5928</v>
      </c>
      <c r="B314" s="35" t="str">
        <f>'A) Base RI'!B314</f>
        <v>Rovray</v>
      </c>
      <c r="C314" s="10">
        <f>'A) Base RI'!C314+'A) Base RI'!D314</f>
        <v>295451.26</v>
      </c>
      <c r="D314" s="10">
        <f>'A) Base RI'!AO314</f>
        <v>-4551.58</v>
      </c>
      <c r="E314" s="34">
        <f>'A) Base RI'!AP314</f>
        <v>0</v>
      </c>
      <c r="F314" s="34">
        <f>'A) Base RI'!AQ314</f>
        <v>0</v>
      </c>
      <c r="G314" s="2">
        <f t="shared" si="24"/>
        <v>290899.68</v>
      </c>
      <c r="H314" s="10">
        <f>'A) Base RI'!E314</f>
        <v>0</v>
      </c>
      <c r="I314" s="10">
        <f>'A) Base RI'!F314</f>
        <v>0</v>
      </c>
      <c r="J314" s="10">
        <f>'A) Base RI'!G314+'A) Base RI'!H314</f>
        <v>2145.15</v>
      </c>
      <c r="K314" s="10">
        <f>'A) Base RI'!I314</f>
        <v>0</v>
      </c>
      <c r="L314" s="10">
        <f>'A) Base RI'!J314</f>
        <v>12374.53</v>
      </c>
      <c r="M314" s="10">
        <f>'A) Base RI'!K314</f>
        <v>0</v>
      </c>
      <c r="N314" s="10">
        <f>'A) Base RI'!Q314</f>
        <v>0</v>
      </c>
      <c r="O314" s="10">
        <f t="shared" si="25"/>
        <v>19556.8</v>
      </c>
      <c r="P314" s="10">
        <f>'A) Base RI'!L314</f>
        <v>19556.8</v>
      </c>
      <c r="Q314" s="37">
        <f>'A) Base RI'!AR314</f>
        <v>1</v>
      </c>
      <c r="R314" s="2">
        <f t="shared" si="26"/>
        <v>324976.16000000003</v>
      </c>
      <c r="S314" s="36">
        <f>'A) Base RI'!AM314</f>
        <v>73</v>
      </c>
      <c r="T314" s="2">
        <f t="shared" si="27"/>
        <v>305419.36000000004</v>
      </c>
      <c r="U314" s="2">
        <f t="shared" si="28"/>
        <v>4451.7282191780823</v>
      </c>
      <c r="V314" s="10">
        <f>'A) Base RI'!O314</f>
        <v>0</v>
      </c>
      <c r="W314" s="10">
        <f>'A) Base RI'!P314</f>
        <v>11150.35</v>
      </c>
      <c r="X314" s="10">
        <f>'A) Base RI'!R314</f>
        <v>7029.15</v>
      </c>
      <c r="Y314" s="2">
        <f t="shared" si="29"/>
        <v>18179.5</v>
      </c>
      <c r="Z314" s="10">
        <f>'A) Base RI'!N314</f>
        <v>874</v>
      </c>
      <c r="AA314" s="10">
        <f>'A) Base RI'!S314+'A) Base RI'!T314</f>
        <v>0</v>
      </c>
      <c r="AB314" s="10">
        <f>+'A) Base RI'!U314</f>
        <v>1560</v>
      </c>
      <c r="AC314" s="10">
        <f>'A) Base RI'!V314</f>
        <v>0</v>
      </c>
      <c r="AD314" s="10">
        <f>+'A) Base RI'!W314</f>
        <v>0</v>
      </c>
      <c r="AE314" s="10">
        <f>'A) Base RI'!Y314</f>
        <v>7000</v>
      </c>
      <c r="AF314" s="10">
        <f>'A) Base RI'!Z314</f>
        <v>0</v>
      </c>
      <c r="AG314" s="10">
        <f>'A) Base RI'!AA314</f>
        <v>31091.85</v>
      </c>
      <c r="AH314" s="10">
        <f>'A) Base RI'!AB314</f>
        <v>0</v>
      </c>
      <c r="AI314" s="10">
        <f>'A) Base RI'!AC314</f>
        <v>8156.25</v>
      </c>
      <c r="AJ314" s="10">
        <f>'A) Base RI'!AD314</f>
        <v>1250</v>
      </c>
      <c r="AK314" s="10">
        <f>'A) Base RI'!AE314</f>
        <v>0</v>
      </c>
      <c r="AL314" s="10">
        <f>'A) Base RI'!AF314</f>
        <v>0</v>
      </c>
      <c r="AM314" s="10">
        <f>'A) Base RI'!AG314</f>
        <v>0</v>
      </c>
      <c r="AN314" s="10">
        <f>'A) Base RI'!AH314</f>
        <v>0</v>
      </c>
      <c r="AO314" s="10">
        <f>'A) Base RI'!AI314</f>
        <v>0</v>
      </c>
      <c r="AP314" s="10">
        <f>'A) Base RI'!AJ314</f>
        <v>0</v>
      </c>
      <c r="AQ314" s="10">
        <f>'A) Base RI'!AK314</f>
        <v>0</v>
      </c>
      <c r="AR314" s="10">
        <f>'A) Base RI'!AN314</f>
        <v>172</v>
      </c>
    </row>
    <row r="315" spans="1:44" x14ac:dyDescent="0.25">
      <c r="A315" s="8">
        <f>'A) Base RI'!A315</f>
        <v>5929</v>
      </c>
      <c r="B315" s="35" t="str">
        <f>'A) Base RI'!B315</f>
        <v>Suchy</v>
      </c>
      <c r="C315" s="10">
        <f>'A) Base RI'!C315+'A) Base RI'!D315</f>
        <v>1016273.11</v>
      </c>
      <c r="D315" s="10">
        <f>'A) Base RI'!AO315</f>
        <v>-12528.07</v>
      </c>
      <c r="E315" s="34">
        <f>'A) Base RI'!AP315</f>
        <v>0</v>
      </c>
      <c r="F315" s="34">
        <f>'A) Base RI'!AQ315</f>
        <v>-3.5</v>
      </c>
      <c r="G315" s="2">
        <f t="shared" si="24"/>
        <v>1003741.54</v>
      </c>
      <c r="H315" s="10">
        <f>'A) Base RI'!E315</f>
        <v>0</v>
      </c>
      <c r="I315" s="10">
        <f>'A) Base RI'!F315</f>
        <v>0</v>
      </c>
      <c r="J315" s="10">
        <f>'A) Base RI'!G315+'A) Base RI'!H315</f>
        <v>24611.649999999998</v>
      </c>
      <c r="K315" s="10">
        <f>'A) Base RI'!I315</f>
        <v>41100.15</v>
      </c>
      <c r="L315" s="10">
        <f>'A) Base RI'!J315</f>
        <v>1015.35</v>
      </c>
      <c r="M315" s="10">
        <f>'A) Base RI'!K315</f>
        <v>0</v>
      </c>
      <c r="N315" s="10">
        <f>'A) Base RI'!Q315</f>
        <v>0</v>
      </c>
      <c r="O315" s="10">
        <f t="shared" si="25"/>
        <v>90396.499999999985</v>
      </c>
      <c r="P315" s="10">
        <f>'A) Base RI'!L315</f>
        <v>72317.2</v>
      </c>
      <c r="Q315" s="37">
        <f>'A) Base RI'!AR315</f>
        <v>0.8</v>
      </c>
      <c r="R315" s="2">
        <f t="shared" si="26"/>
        <v>1160865.1900000002</v>
      </c>
      <c r="S315" s="36">
        <f>'A) Base RI'!AM315</f>
        <v>70</v>
      </c>
      <c r="T315" s="2">
        <f t="shared" si="27"/>
        <v>1070468.6900000002</v>
      </c>
      <c r="U315" s="2">
        <f t="shared" si="28"/>
        <v>16583.788428571432</v>
      </c>
      <c r="V315" s="10">
        <f>'A) Base RI'!O315</f>
        <v>0</v>
      </c>
      <c r="W315" s="10">
        <f>'A) Base RI'!P315</f>
        <v>37206.550000000003</v>
      </c>
      <c r="X315" s="10">
        <f>'A) Base RI'!R315</f>
        <v>15421.15</v>
      </c>
      <c r="Y315" s="2">
        <f t="shared" si="29"/>
        <v>52627.700000000004</v>
      </c>
      <c r="Z315" s="10">
        <f>'A) Base RI'!N315</f>
        <v>6677.95</v>
      </c>
      <c r="AA315" s="10">
        <f>'A) Base RI'!S315+'A) Base RI'!T315</f>
        <v>288.05</v>
      </c>
      <c r="AB315" s="10">
        <f>+'A) Base RI'!U315</f>
        <v>1920</v>
      </c>
      <c r="AC315" s="10">
        <f>'A) Base RI'!V315</f>
        <v>0</v>
      </c>
      <c r="AD315" s="10">
        <f>+'A) Base RI'!W315</f>
        <v>0</v>
      </c>
      <c r="AE315" s="10">
        <f>'A) Base RI'!Y315</f>
        <v>27343.4</v>
      </c>
      <c r="AF315" s="10">
        <f>'A) Base RI'!Z315</f>
        <v>0</v>
      </c>
      <c r="AG315" s="10">
        <f>'A) Base RI'!AA315</f>
        <v>193064.35</v>
      </c>
      <c r="AH315" s="10">
        <f>'A) Base RI'!AB315</f>
        <v>0</v>
      </c>
      <c r="AI315" s="10">
        <f>'A) Base RI'!AC315</f>
        <v>41128.300000000003</v>
      </c>
      <c r="AJ315" s="10">
        <f>'A) Base RI'!AD315</f>
        <v>0</v>
      </c>
      <c r="AK315" s="10">
        <f>'A) Base RI'!AE315</f>
        <v>0</v>
      </c>
      <c r="AL315" s="10">
        <f>'A) Base RI'!AF315</f>
        <v>0</v>
      </c>
      <c r="AM315" s="10">
        <f>'A) Base RI'!AG315</f>
        <v>0</v>
      </c>
      <c r="AN315" s="10">
        <f>'A) Base RI'!AH315</f>
        <v>11692.35</v>
      </c>
      <c r="AO315" s="10">
        <f>'A) Base RI'!AI315</f>
        <v>0</v>
      </c>
      <c r="AP315" s="10">
        <f>'A) Base RI'!AJ315</f>
        <v>0</v>
      </c>
      <c r="AQ315" s="10">
        <f>'A) Base RI'!AK315</f>
        <v>0</v>
      </c>
      <c r="AR315" s="10">
        <f>'A) Base RI'!AN315</f>
        <v>606</v>
      </c>
    </row>
    <row r="316" spans="1:44" x14ac:dyDescent="0.25">
      <c r="A316" s="8">
        <f>'A) Base RI'!A316</f>
        <v>5930</v>
      </c>
      <c r="B316" s="35" t="str">
        <f>'A) Base RI'!B316</f>
        <v>Suscévaz</v>
      </c>
      <c r="C316" s="10">
        <f>'A) Base RI'!C316+'A) Base RI'!D316</f>
        <v>292144.02</v>
      </c>
      <c r="D316" s="10">
        <f>'A) Base RI'!AO316</f>
        <v>-71.37</v>
      </c>
      <c r="E316" s="34">
        <f>'A) Base RI'!AP316</f>
        <v>0</v>
      </c>
      <c r="F316" s="34">
        <f>'A) Base RI'!AQ316</f>
        <v>0</v>
      </c>
      <c r="G316" s="2">
        <f t="shared" si="24"/>
        <v>292072.65000000002</v>
      </c>
      <c r="H316" s="10">
        <f>'A) Base RI'!E316</f>
        <v>0</v>
      </c>
      <c r="I316" s="10">
        <f>'A) Base RI'!F316</f>
        <v>0</v>
      </c>
      <c r="J316" s="10">
        <f>'A) Base RI'!G316+'A) Base RI'!H316</f>
        <v>527.85</v>
      </c>
      <c r="K316" s="10">
        <f>'A) Base RI'!I316</f>
        <v>0</v>
      </c>
      <c r="L316" s="10">
        <f>'A) Base RI'!J316</f>
        <v>3131.21</v>
      </c>
      <c r="M316" s="10">
        <f>'A) Base RI'!K316</f>
        <v>400</v>
      </c>
      <c r="N316" s="10">
        <f>'A) Base RI'!Q316</f>
        <v>18.2</v>
      </c>
      <c r="O316" s="10">
        <f t="shared" si="25"/>
        <v>26360.6</v>
      </c>
      <c r="P316" s="10">
        <f>'A) Base RI'!L316</f>
        <v>26360.6</v>
      </c>
      <c r="Q316" s="37">
        <f>'A) Base RI'!AR316</f>
        <v>1</v>
      </c>
      <c r="R316" s="2">
        <f t="shared" si="26"/>
        <v>322510.51</v>
      </c>
      <c r="S316" s="36">
        <f>'A) Base RI'!AM316</f>
        <v>66</v>
      </c>
      <c r="T316" s="2">
        <f t="shared" si="27"/>
        <v>295749.91000000003</v>
      </c>
      <c r="U316" s="2">
        <f t="shared" si="28"/>
        <v>4886.5228787878787</v>
      </c>
      <c r="V316" s="10">
        <f>'A) Base RI'!O316</f>
        <v>0</v>
      </c>
      <c r="W316" s="10">
        <f>'A) Base RI'!P316</f>
        <v>2679.65</v>
      </c>
      <c r="X316" s="10">
        <f>'A) Base RI'!R316</f>
        <v>20604.849999999999</v>
      </c>
      <c r="Y316" s="2">
        <f t="shared" si="29"/>
        <v>23284.5</v>
      </c>
      <c r="Z316" s="10">
        <f>'A) Base RI'!N316</f>
        <v>4424.6000000000004</v>
      </c>
      <c r="AA316" s="10">
        <f>'A) Base RI'!S316+'A) Base RI'!T316</f>
        <v>50</v>
      </c>
      <c r="AB316" s="10">
        <f>+'A) Base RI'!U316</f>
        <v>400</v>
      </c>
      <c r="AC316" s="10">
        <f>'A) Base RI'!V316</f>
        <v>0</v>
      </c>
      <c r="AD316" s="10">
        <f>+'A) Base RI'!W316</f>
        <v>0</v>
      </c>
      <c r="AE316" s="10">
        <f>'A) Base RI'!Y316</f>
        <v>23250</v>
      </c>
      <c r="AF316" s="10">
        <f>'A) Base RI'!Z316</f>
        <v>0</v>
      </c>
      <c r="AG316" s="10">
        <f>'A) Base RI'!AA316</f>
        <v>17383.349999999999</v>
      </c>
      <c r="AH316" s="10">
        <f>'A) Base RI'!AB316</f>
        <v>0</v>
      </c>
      <c r="AI316" s="10">
        <f>'A) Base RI'!AC316</f>
        <v>7781.55</v>
      </c>
      <c r="AJ316" s="10">
        <f>'A) Base RI'!AD316</f>
        <v>28000</v>
      </c>
      <c r="AK316" s="10">
        <f>'A) Base RI'!AE316</f>
        <v>0</v>
      </c>
      <c r="AL316" s="10">
        <f>'A) Base RI'!AF316</f>
        <v>0</v>
      </c>
      <c r="AM316" s="10">
        <f>'A) Base RI'!AG316</f>
        <v>0</v>
      </c>
      <c r="AN316" s="10">
        <f>'A) Base RI'!AH316</f>
        <v>0</v>
      </c>
      <c r="AO316" s="10">
        <f>'A) Base RI'!AI316</f>
        <v>0</v>
      </c>
      <c r="AP316" s="10">
        <f>'A) Base RI'!AJ316</f>
        <v>0</v>
      </c>
      <c r="AQ316" s="10">
        <f>'A) Base RI'!AK316</f>
        <v>0</v>
      </c>
      <c r="AR316" s="10">
        <f>'A) Base RI'!AN316</f>
        <v>202</v>
      </c>
    </row>
    <row r="317" spans="1:44" x14ac:dyDescent="0.25">
      <c r="A317" s="8">
        <f>'A) Base RI'!A317</f>
        <v>5931</v>
      </c>
      <c r="B317" s="35" t="str">
        <f>'A) Base RI'!B317</f>
        <v>Treycovagnes</v>
      </c>
      <c r="C317" s="10">
        <f>'A) Base RI'!C317+'A) Base RI'!D317</f>
        <v>1143849.48</v>
      </c>
      <c r="D317" s="10">
        <f>'A) Base RI'!AO317</f>
        <v>-5367.81</v>
      </c>
      <c r="E317" s="34">
        <f>'A) Base RI'!AP317</f>
        <v>0</v>
      </c>
      <c r="F317" s="34">
        <f>'A) Base RI'!AQ317</f>
        <v>-0.26</v>
      </c>
      <c r="G317" s="2">
        <f t="shared" si="24"/>
        <v>1138481.4099999999</v>
      </c>
      <c r="H317" s="10">
        <f>'A) Base RI'!E317</f>
        <v>0</v>
      </c>
      <c r="I317" s="10">
        <f>'A) Base RI'!F317</f>
        <v>0</v>
      </c>
      <c r="J317" s="10">
        <f>'A) Base RI'!G317+'A) Base RI'!H317</f>
        <v>35211</v>
      </c>
      <c r="K317" s="10">
        <f>'A) Base RI'!I317</f>
        <v>0</v>
      </c>
      <c r="L317" s="10">
        <f>'A) Base RI'!J317</f>
        <v>11607.99</v>
      </c>
      <c r="M317" s="10">
        <f>'A) Base RI'!K317</f>
        <v>1554.5</v>
      </c>
      <c r="N317" s="10">
        <f>'A) Base RI'!Q317</f>
        <v>2890.31</v>
      </c>
      <c r="O317" s="10">
        <f t="shared" si="25"/>
        <v>70650.399999999994</v>
      </c>
      <c r="P317" s="10">
        <f>'A) Base RI'!L317</f>
        <v>70650.399999999994</v>
      </c>
      <c r="Q317" s="37">
        <f>'A) Base RI'!AR317</f>
        <v>1</v>
      </c>
      <c r="R317" s="2">
        <f t="shared" si="26"/>
        <v>1260395.6099999999</v>
      </c>
      <c r="S317" s="36">
        <f>'A) Base RI'!AM317</f>
        <v>77</v>
      </c>
      <c r="T317" s="2">
        <f t="shared" si="27"/>
        <v>1188190.71</v>
      </c>
      <c r="U317" s="2">
        <f t="shared" si="28"/>
        <v>16368.774155844154</v>
      </c>
      <c r="V317" s="10">
        <f>'A) Base RI'!O317</f>
        <v>0</v>
      </c>
      <c r="W317" s="10">
        <f>'A) Base RI'!P317</f>
        <v>13145</v>
      </c>
      <c r="X317" s="10">
        <f>'A) Base RI'!R317</f>
        <v>10933.55</v>
      </c>
      <c r="Y317" s="2">
        <f t="shared" si="29"/>
        <v>24078.55</v>
      </c>
      <c r="Z317" s="10">
        <f>'A) Base RI'!N317</f>
        <v>6410.6</v>
      </c>
      <c r="AA317" s="10">
        <f>'A) Base RI'!S317+'A) Base RI'!T317</f>
        <v>300</v>
      </c>
      <c r="AB317" s="10">
        <f>+'A) Base RI'!U317</f>
        <v>3850</v>
      </c>
      <c r="AC317" s="10">
        <f>'A) Base RI'!V317</f>
        <v>0</v>
      </c>
      <c r="AD317" s="10">
        <f>+'A) Base RI'!W317</f>
        <v>0</v>
      </c>
      <c r="AE317" s="10">
        <f>'A) Base RI'!Y317</f>
        <v>0</v>
      </c>
      <c r="AF317" s="10">
        <f>'A) Base RI'!Z317</f>
        <v>0</v>
      </c>
      <c r="AG317" s="10">
        <f>'A) Base RI'!AA317</f>
        <v>39354.25</v>
      </c>
      <c r="AH317" s="10">
        <f>'A) Base RI'!AB317</f>
        <v>0</v>
      </c>
      <c r="AI317" s="10">
        <f>'A) Base RI'!AC317</f>
        <v>30629.15</v>
      </c>
      <c r="AJ317" s="10">
        <f>'A) Base RI'!AD317</f>
        <v>0</v>
      </c>
      <c r="AK317" s="10">
        <f>'A) Base RI'!AE317</f>
        <v>1200</v>
      </c>
      <c r="AL317" s="10">
        <f>'A) Base RI'!AF317</f>
        <v>0</v>
      </c>
      <c r="AM317" s="10">
        <f>'A) Base RI'!AG317</f>
        <v>0</v>
      </c>
      <c r="AN317" s="10">
        <f>'A) Base RI'!AH317</f>
        <v>11076.6</v>
      </c>
      <c r="AO317" s="10">
        <f>'A) Base RI'!AI317</f>
        <v>0</v>
      </c>
      <c r="AP317" s="10">
        <f>'A) Base RI'!AJ317</f>
        <v>0</v>
      </c>
      <c r="AQ317" s="10">
        <f>'A) Base RI'!AK317</f>
        <v>0</v>
      </c>
      <c r="AR317" s="10">
        <f>'A) Base RI'!AN317</f>
        <v>446</v>
      </c>
    </row>
    <row r="318" spans="1:44" x14ac:dyDescent="0.25">
      <c r="A318" s="8">
        <f>'A) Base RI'!A318</f>
        <v>5932</v>
      </c>
      <c r="B318" s="35" t="str">
        <f>'A) Base RI'!B318</f>
        <v>Ursins</v>
      </c>
      <c r="C318" s="10">
        <f>'A) Base RI'!C318+'A) Base RI'!D318</f>
        <v>438006.77999999997</v>
      </c>
      <c r="D318" s="10">
        <f>'A) Base RI'!AO318</f>
        <v>-5555.46</v>
      </c>
      <c r="E318" s="34">
        <f>'A) Base RI'!AP318</f>
        <v>0</v>
      </c>
      <c r="F318" s="34">
        <f>'A) Base RI'!AQ318</f>
        <v>-3.27</v>
      </c>
      <c r="G318" s="2">
        <f t="shared" si="24"/>
        <v>432448.04999999993</v>
      </c>
      <c r="H318" s="10">
        <f>'A) Base RI'!E318</f>
        <v>0</v>
      </c>
      <c r="I318" s="10">
        <f>'A) Base RI'!F318</f>
        <v>1210</v>
      </c>
      <c r="J318" s="10">
        <f>'A) Base RI'!G318+'A) Base RI'!H318</f>
        <v>1769.25</v>
      </c>
      <c r="K318" s="10">
        <f>'A) Base RI'!I318</f>
        <v>27678.7</v>
      </c>
      <c r="L318" s="10">
        <f>'A) Base RI'!J318</f>
        <v>4517.66</v>
      </c>
      <c r="M318" s="10">
        <f>'A) Base RI'!K318</f>
        <v>50</v>
      </c>
      <c r="N318" s="10">
        <f>'A) Base RI'!Q318</f>
        <v>0</v>
      </c>
      <c r="O318" s="10">
        <f t="shared" si="25"/>
        <v>28895.7</v>
      </c>
      <c r="P318" s="10">
        <f>'A) Base RI'!L318</f>
        <v>28895.7</v>
      </c>
      <c r="Q318" s="37">
        <f>'A) Base RI'!AR318</f>
        <v>1</v>
      </c>
      <c r="R318" s="2">
        <f t="shared" si="26"/>
        <v>496569.35999999993</v>
      </c>
      <c r="S318" s="36">
        <f>'A) Base RI'!AM318</f>
        <v>78</v>
      </c>
      <c r="T318" s="2">
        <f t="shared" si="27"/>
        <v>466413.65999999992</v>
      </c>
      <c r="U318" s="2">
        <f t="shared" si="28"/>
        <v>6366.2738461538456</v>
      </c>
      <c r="V318" s="10">
        <f>'A) Base RI'!O318</f>
        <v>14725.4</v>
      </c>
      <c r="W318" s="10">
        <f>'A) Base RI'!P318</f>
        <v>1650</v>
      </c>
      <c r="X318" s="10">
        <f>'A) Base RI'!R318</f>
        <v>910</v>
      </c>
      <c r="Y318" s="2">
        <f t="shared" si="29"/>
        <v>17285.400000000001</v>
      </c>
      <c r="Z318" s="10">
        <f>'A) Base RI'!N318</f>
        <v>0</v>
      </c>
      <c r="AA318" s="10">
        <f>'A) Base RI'!S318+'A) Base RI'!T318</f>
        <v>470</v>
      </c>
      <c r="AB318" s="10">
        <f>+'A) Base RI'!U318</f>
        <v>1800</v>
      </c>
      <c r="AC318" s="10">
        <f>'A) Base RI'!V318</f>
        <v>0</v>
      </c>
      <c r="AD318" s="10">
        <f>+'A) Base RI'!W318</f>
        <v>0</v>
      </c>
      <c r="AE318" s="10">
        <f>'A) Base RI'!Y318</f>
        <v>-2875</v>
      </c>
      <c r="AF318" s="10">
        <f>'A) Base RI'!Z318</f>
        <v>0</v>
      </c>
      <c r="AG318" s="10">
        <f>'A) Base RI'!AA318</f>
        <v>13473.35</v>
      </c>
      <c r="AH318" s="10">
        <f>'A) Base RI'!AB318</f>
        <v>0</v>
      </c>
      <c r="AI318" s="10">
        <f>'A) Base RI'!AC318</f>
        <v>8845.85</v>
      </c>
      <c r="AJ318" s="10">
        <f>'A) Base RI'!AD318</f>
        <v>-4435</v>
      </c>
      <c r="AK318" s="10">
        <f>'A) Base RI'!AE318</f>
        <v>0</v>
      </c>
      <c r="AL318" s="10">
        <f>'A) Base RI'!AF318</f>
        <v>0</v>
      </c>
      <c r="AM318" s="10">
        <f>'A) Base RI'!AG318</f>
        <v>0</v>
      </c>
      <c r="AN318" s="10">
        <f>'A) Base RI'!AH318</f>
        <v>0</v>
      </c>
      <c r="AO318" s="10">
        <f>'A) Base RI'!AI318</f>
        <v>0</v>
      </c>
      <c r="AP318" s="10">
        <f>'A) Base RI'!AJ318</f>
        <v>0</v>
      </c>
      <c r="AQ318" s="10">
        <f>'A) Base RI'!AK318</f>
        <v>0</v>
      </c>
      <c r="AR318" s="10">
        <f>'A) Base RI'!AN318</f>
        <v>210</v>
      </c>
    </row>
    <row r="319" spans="1:44" x14ac:dyDescent="0.25">
      <c r="A319" s="8">
        <f>'A) Base RI'!A319</f>
        <v>5933</v>
      </c>
      <c r="B319" s="35" t="str">
        <f>'A) Base RI'!B319</f>
        <v>Valeyres-sous-Montagny</v>
      </c>
      <c r="C319" s="10">
        <f>'A) Base RI'!C319+'A) Base RI'!D319</f>
        <v>1297771.1800000002</v>
      </c>
      <c r="D319" s="10">
        <f>'A) Base RI'!AO319</f>
        <v>-29572.11</v>
      </c>
      <c r="E319" s="34">
        <f>'A) Base RI'!AP319</f>
        <v>-9067.9</v>
      </c>
      <c r="F319" s="34">
        <f>'A) Base RI'!AQ319</f>
        <v>-6.48</v>
      </c>
      <c r="G319" s="2">
        <f t="shared" si="24"/>
        <v>1259124.6900000002</v>
      </c>
      <c r="H319" s="10">
        <f>'A) Base RI'!E319</f>
        <v>0</v>
      </c>
      <c r="I319" s="10">
        <f>'A) Base RI'!F319</f>
        <v>0</v>
      </c>
      <c r="J319" s="10">
        <f>'A) Base RI'!G319+'A) Base RI'!H319</f>
        <v>32949.049999999996</v>
      </c>
      <c r="K319" s="10">
        <f>'A) Base RI'!I319</f>
        <v>0</v>
      </c>
      <c r="L319" s="10">
        <f>'A) Base RI'!J319</f>
        <v>15676.42</v>
      </c>
      <c r="M319" s="10">
        <f>'A) Base RI'!K319</f>
        <v>2244</v>
      </c>
      <c r="N319" s="10">
        <f>'A) Base RI'!Q319</f>
        <v>0</v>
      </c>
      <c r="O319" s="10">
        <f t="shared" si="25"/>
        <v>99655.15</v>
      </c>
      <c r="P319" s="10">
        <f>'A) Base RI'!L319</f>
        <v>99655.15</v>
      </c>
      <c r="Q319" s="37">
        <f>'A) Base RI'!AR319</f>
        <v>1</v>
      </c>
      <c r="R319" s="2">
        <f t="shared" si="26"/>
        <v>1409649.31</v>
      </c>
      <c r="S319" s="36">
        <f>'A) Base RI'!AM319</f>
        <v>72</v>
      </c>
      <c r="T319" s="2">
        <f t="shared" si="27"/>
        <v>1307750.1600000001</v>
      </c>
      <c r="U319" s="2">
        <f t="shared" si="28"/>
        <v>19578.46263888889</v>
      </c>
      <c r="V319" s="10">
        <f>'A) Base RI'!O319</f>
        <v>2933.4</v>
      </c>
      <c r="W319" s="10">
        <f>'A) Base RI'!P319</f>
        <v>67056</v>
      </c>
      <c r="X319" s="10">
        <f>'A) Base RI'!R319</f>
        <v>18471.900000000001</v>
      </c>
      <c r="Y319" s="2">
        <f t="shared" si="29"/>
        <v>88461.299999999988</v>
      </c>
      <c r="Z319" s="10">
        <f>'A) Base RI'!N319</f>
        <v>9172.25</v>
      </c>
      <c r="AA319" s="10">
        <f>'A) Base RI'!S319+'A) Base RI'!T319</f>
        <v>525</v>
      </c>
      <c r="AB319" s="10">
        <f>+'A) Base RI'!U319</f>
        <v>2920</v>
      </c>
      <c r="AC319" s="10">
        <f>'A) Base RI'!V319</f>
        <v>0</v>
      </c>
      <c r="AD319" s="10">
        <f>+'A) Base RI'!W319</f>
        <v>0</v>
      </c>
      <c r="AE319" s="10">
        <f>'A) Base RI'!Y319</f>
        <v>8496</v>
      </c>
      <c r="AF319" s="10">
        <f>'A) Base RI'!Z319</f>
        <v>0</v>
      </c>
      <c r="AG319" s="10">
        <f>'A) Base RI'!AA319</f>
        <v>73706</v>
      </c>
      <c r="AH319" s="10">
        <f>'A) Base RI'!AB319</f>
        <v>0</v>
      </c>
      <c r="AI319" s="10">
        <f>'A) Base RI'!AC319</f>
        <v>30847.75</v>
      </c>
      <c r="AJ319" s="10">
        <f>'A) Base RI'!AD319</f>
        <v>0</v>
      </c>
      <c r="AK319" s="10">
        <f>'A) Base RI'!AE319</f>
        <v>0</v>
      </c>
      <c r="AL319" s="10">
        <f>'A) Base RI'!AF319</f>
        <v>0</v>
      </c>
      <c r="AM319" s="10">
        <f>'A) Base RI'!AG319</f>
        <v>0</v>
      </c>
      <c r="AN319" s="10">
        <f>'A) Base RI'!AH319</f>
        <v>0</v>
      </c>
      <c r="AO319" s="10">
        <f>'A) Base RI'!AI319</f>
        <v>0</v>
      </c>
      <c r="AP319" s="10">
        <f>'A) Base RI'!AJ319</f>
        <v>0</v>
      </c>
      <c r="AQ319" s="10">
        <f>'A) Base RI'!AK319</f>
        <v>0</v>
      </c>
      <c r="AR319" s="10">
        <f>'A) Base RI'!AN319</f>
        <v>689</v>
      </c>
    </row>
    <row r="320" spans="1:44" x14ac:dyDescent="0.25">
      <c r="A320" s="8">
        <f>'A) Base RI'!A320</f>
        <v>5934</v>
      </c>
      <c r="B320" s="35" t="str">
        <f>'A) Base RI'!B320</f>
        <v>Valeyres-sous-Ursins</v>
      </c>
      <c r="C320" s="10">
        <f>'A) Base RI'!C320+'A) Base RI'!D320</f>
        <v>503909.9</v>
      </c>
      <c r="D320" s="10">
        <f>'A) Base RI'!AO320</f>
        <v>-10996.42</v>
      </c>
      <c r="E320" s="34">
        <f>'A) Base RI'!AP320</f>
        <v>0</v>
      </c>
      <c r="F320" s="34">
        <f>'A) Base RI'!AQ320</f>
        <v>0</v>
      </c>
      <c r="G320" s="2">
        <f t="shared" si="24"/>
        <v>492913.48000000004</v>
      </c>
      <c r="H320" s="10">
        <f>'A) Base RI'!E320</f>
        <v>0</v>
      </c>
      <c r="I320" s="10">
        <f>'A) Base RI'!F320</f>
        <v>1330</v>
      </c>
      <c r="J320" s="10">
        <f>'A) Base RI'!G320+'A) Base RI'!H320</f>
        <v>3751.6499999999996</v>
      </c>
      <c r="K320" s="10">
        <f>'A) Base RI'!I320</f>
        <v>0</v>
      </c>
      <c r="L320" s="10">
        <f>'A) Base RI'!J320</f>
        <v>12040.82</v>
      </c>
      <c r="M320" s="10">
        <f>'A) Base RI'!K320</f>
        <v>-1330</v>
      </c>
      <c r="N320" s="10">
        <f>'A) Base RI'!Q320</f>
        <v>6545.86</v>
      </c>
      <c r="O320" s="10">
        <f t="shared" si="25"/>
        <v>26377.9</v>
      </c>
      <c r="P320" s="10">
        <f>'A) Base RI'!L320</f>
        <v>26377.9</v>
      </c>
      <c r="Q320" s="37">
        <f>'A) Base RI'!AR320</f>
        <v>1</v>
      </c>
      <c r="R320" s="2">
        <f t="shared" si="26"/>
        <v>541629.71000000008</v>
      </c>
      <c r="S320" s="36">
        <f>'A) Base RI'!AM320</f>
        <v>79</v>
      </c>
      <c r="T320" s="2">
        <f t="shared" si="27"/>
        <v>515251.81000000006</v>
      </c>
      <c r="U320" s="2">
        <f t="shared" si="28"/>
        <v>6856.0722784810141</v>
      </c>
      <c r="V320" s="10">
        <f>'A) Base RI'!O320</f>
        <v>3861.9</v>
      </c>
      <c r="W320" s="10">
        <f>'A) Base RI'!P320</f>
        <v>20350</v>
      </c>
      <c r="X320" s="10">
        <f>'A) Base RI'!R320</f>
        <v>5984.8</v>
      </c>
      <c r="Y320" s="2">
        <f t="shared" si="29"/>
        <v>30196.7</v>
      </c>
      <c r="Z320" s="10">
        <f>'A) Base RI'!N320</f>
        <v>9880.4</v>
      </c>
      <c r="AA320" s="10">
        <f>'A) Base RI'!S320+'A) Base RI'!T320</f>
        <v>0</v>
      </c>
      <c r="AB320" s="10">
        <f>+'A) Base RI'!U320</f>
        <v>1035</v>
      </c>
      <c r="AC320" s="10">
        <f>'A) Base RI'!V320</f>
        <v>0</v>
      </c>
      <c r="AD320" s="10">
        <f>+'A) Base RI'!W320</f>
        <v>0</v>
      </c>
      <c r="AE320" s="10">
        <f>'A) Base RI'!Y320</f>
        <v>-5000</v>
      </c>
      <c r="AF320" s="10">
        <f>'A) Base RI'!Z320</f>
        <v>0</v>
      </c>
      <c r="AG320" s="10">
        <f>'A) Base RI'!AA320</f>
        <v>28300</v>
      </c>
      <c r="AH320" s="10">
        <f>'A) Base RI'!AB320</f>
        <v>0</v>
      </c>
      <c r="AI320" s="10">
        <f>'A) Base RI'!AC320</f>
        <v>11077</v>
      </c>
      <c r="AJ320" s="10">
        <f>'A) Base RI'!AD320</f>
        <v>-2526.1999999999998</v>
      </c>
      <c r="AK320" s="10">
        <f>'A) Base RI'!AE320</f>
        <v>0</v>
      </c>
      <c r="AL320" s="10">
        <f>'A) Base RI'!AF320</f>
        <v>0</v>
      </c>
      <c r="AM320" s="10">
        <f>'A) Base RI'!AG320</f>
        <v>0</v>
      </c>
      <c r="AN320" s="10">
        <f>'A) Base RI'!AH320</f>
        <v>0</v>
      </c>
      <c r="AO320" s="10">
        <f>'A) Base RI'!AI320</f>
        <v>0</v>
      </c>
      <c r="AP320" s="10">
        <f>'A) Base RI'!AJ320</f>
        <v>0</v>
      </c>
      <c r="AQ320" s="10">
        <f>'A) Base RI'!AK320</f>
        <v>0</v>
      </c>
      <c r="AR320" s="10">
        <f>'A) Base RI'!AN320</f>
        <v>247</v>
      </c>
    </row>
    <row r="321" spans="1:44" x14ac:dyDescent="0.25">
      <c r="A321" s="8">
        <f>'A) Base RI'!A321</f>
        <v>5935</v>
      </c>
      <c r="B321" s="35" t="str">
        <f>'A) Base RI'!B321</f>
        <v>Villars-Epeney</v>
      </c>
      <c r="C321" s="10">
        <f>'A) Base RI'!C321+'A) Base RI'!D321</f>
        <v>235825.51</v>
      </c>
      <c r="D321" s="10">
        <f>'A) Base RI'!AO321</f>
        <v>-53.64</v>
      </c>
      <c r="E321" s="34">
        <f>'A) Base RI'!AP321</f>
        <v>0</v>
      </c>
      <c r="F321" s="34">
        <f>'A) Base RI'!AQ321</f>
        <v>-108.71</v>
      </c>
      <c r="G321" s="2">
        <f t="shared" si="24"/>
        <v>235663.16</v>
      </c>
      <c r="H321" s="10">
        <f>'A) Base RI'!E321</f>
        <v>0</v>
      </c>
      <c r="I321" s="10">
        <f>'A) Base RI'!F321</f>
        <v>0</v>
      </c>
      <c r="J321" s="10">
        <f>'A) Base RI'!G321+'A) Base RI'!H321</f>
        <v>1623.1</v>
      </c>
      <c r="K321" s="10">
        <f>'A) Base RI'!I321</f>
        <v>0</v>
      </c>
      <c r="L321" s="10">
        <f>'A) Base RI'!J321</f>
        <v>362.91</v>
      </c>
      <c r="M321" s="10">
        <f>'A) Base RI'!K321</f>
        <v>0</v>
      </c>
      <c r="N321" s="10">
        <f>'A) Base RI'!Q321</f>
        <v>0</v>
      </c>
      <c r="O321" s="10">
        <f t="shared" si="25"/>
        <v>17508.95</v>
      </c>
      <c r="P321" s="10">
        <f>'A) Base RI'!L321</f>
        <v>17508.95</v>
      </c>
      <c r="Q321" s="37">
        <f>'A) Base RI'!AR321</f>
        <v>1</v>
      </c>
      <c r="R321" s="2">
        <f t="shared" si="26"/>
        <v>255158.12000000002</v>
      </c>
      <c r="S321" s="36">
        <f>'A) Base RI'!AM321</f>
        <v>60</v>
      </c>
      <c r="T321" s="2">
        <f t="shared" si="27"/>
        <v>237649.17</v>
      </c>
      <c r="U321" s="2">
        <f t="shared" si="28"/>
        <v>4252.6353333333336</v>
      </c>
      <c r="V321" s="10">
        <f>'A) Base RI'!O321</f>
        <v>0</v>
      </c>
      <c r="W321" s="10">
        <f>'A) Base RI'!P321</f>
        <v>17646.75</v>
      </c>
      <c r="X321" s="10">
        <f>'A) Base RI'!R321</f>
        <v>2477.3000000000002</v>
      </c>
      <c r="Y321" s="2">
        <f t="shared" si="29"/>
        <v>20124.05</v>
      </c>
      <c r="Z321" s="10">
        <f>'A) Base RI'!N321</f>
        <v>0</v>
      </c>
      <c r="AA321" s="10">
        <f>'A) Base RI'!S321+'A) Base RI'!T321</f>
        <v>0</v>
      </c>
      <c r="AB321" s="10">
        <f>+'A) Base RI'!U321</f>
        <v>140</v>
      </c>
      <c r="AC321" s="10">
        <f>'A) Base RI'!V321</f>
        <v>0</v>
      </c>
      <c r="AD321" s="10">
        <f>+'A) Base RI'!W321</f>
        <v>0</v>
      </c>
      <c r="AE321" s="10">
        <f>'A) Base RI'!Y321</f>
        <v>0</v>
      </c>
      <c r="AF321" s="10">
        <f>'A) Base RI'!Z321</f>
        <v>0</v>
      </c>
      <c r="AG321" s="10">
        <f>'A) Base RI'!AA321</f>
        <v>5742</v>
      </c>
      <c r="AH321" s="10">
        <f>'A) Base RI'!AB321</f>
        <v>0</v>
      </c>
      <c r="AI321" s="10">
        <f>'A) Base RI'!AC321</f>
        <v>5815.2</v>
      </c>
      <c r="AJ321" s="10">
        <f>'A) Base RI'!AD321</f>
        <v>0</v>
      </c>
      <c r="AK321" s="10">
        <f>'A) Base RI'!AE321</f>
        <v>0</v>
      </c>
      <c r="AL321" s="10">
        <f>'A) Base RI'!AF321</f>
        <v>0</v>
      </c>
      <c r="AM321" s="10">
        <f>'A) Base RI'!AG321</f>
        <v>0</v>
      </c>
      <c r="AN321" s="10">
        <f>'A) Base RI'!AH321</f>
        <v>0</v>
      </c>
      <c r="AO321" s="10">
        <f>'A) Base RI'!AI321</f>
        <v>0</v>
      </c>
      <c r="AP321" s="10">
        <f>'A) Base RI'!AJ321</f>
        <v>0</v>
      </c>
      <c r="AQ321" s="10">
        <f>'A) Base RI'!AK321</f>
        <v>0</v>
      </c>
      <c r="AR321" s="10">
        <f>'A) Base RI'!AN321</f>
        <v>105</v>
      </c>
    </row>
    <row r="322" spans="1:44" x14ac:dyDescent="0.25">
      <c r="A322" s="8">
        <f>'A) Base RI'!A322</f>
        <v>5937</v>
      </c>
      <c r="B322" s="35" t="str">
        <f>'A) Base RI'!B322</f>
        <v>Vugelles-La Mothe</v>
      </c>
      <c r="C322" s="10">
        <f>'A) Base RI'!C322+'A) Base RI'!D322</f>
        <v>149535.59</v>
      </c>
      <c r="D322" s="10">
        <f>'A) Base RI'!AO322</f>
        <v>-6902.91</v>
      </c>
      <c r="E322" s="34">
        <f>'A) Base RI'!AP322</f>
        <v>0</v>
      </c>
      <c r="F322" s="34">
        <f>'A) Base RI'!AQ322</f>
        <v>0</v>
      </c>
      <c r="G322" s="2">
        <f t="shared" si="24"/>
        <v>142632.68</v>
      </c>
      <c r="H322" s="10">
        <f>'A) Base RI'!E322</f>
        <v>0</v>
      </c>
      <c r="I322" s="10">
        <f>'A) Base RI'!F322</f>
        <v>0</v>
      </c>
      <c r="J322" s="10">
        <f>'A) Base RI'!G322+'A) Base RI'!H322</f>
        <v>331.25</v>
      </c>
      <c r="K322" s="10">
        <f>'A) Base RI'!I322</f>
        <v>0</v>
      </c>
      <c r="L322" s="10">
        <f>'A) Base RI'!J322</f>
        <v>605.47</v>
      </c>
      <c r="M322" s="10">
        <f>'A) Base RI'!K322</f>
        <v>0</v>
      </c>
      <c r="N322" s="10">
        <f>'A) Base RI'!Q322</f>
        <v>1403.65</v>
      </c>
      <c r="O322" s="10">
        <f t="shared" si="25"/>
        <v>14135.714285714286</v>
      </c>
      <c r="P322" s="10">
        <f>'A) Base RI'!L322</f>
        <v>9895</v>
      </c>
      <c r="Q322" s="37">
        <f>'A) Base RI'!AR322</f>
        <v>0.7</v>
      </c>
      <c r="R322" s="2">
        <f t="shared" si="26"/>
        <v>159108.76428571428</v>
      </c>
      <c r="S322" s="36">
        <f>'A) Base RI'!AM322</f>
        <v>70</v>
      </c>
      <c r="T322" s="2">
        <f t="shared" si="27"/>
        <v>144973.04999999999</v>
      </c>
      <c r="U322" s="2">
        <f t="shared" si="28"/>
        <v>2272.9823469387752</v>
      </c>
      <c r="V322" s="10">
        <f>'A) Base RI'!O322</f>
        <v>0</v>
      </c>
      <c r="W322" s="10">
        <f>'A) Base RI'!P322</f>
        <v>10792.75</v>
      </c>
      <c r="X322" s="10">
        <f>'A) Base RI'!R322</f>
        <v>3863.6</v>
      </c>
      <c r="Y322" s="2">
        <f t="shared" si="29"/>
        <v>14656.35</v>
      </c>
      <c r="Z322" s="10">
        <f>'A) Base RI'!N322</f>
        <v>0</v>
      </c>
      <c r="AA322" s="10">
        <f>'A) Base RI'!S322+'A) Base RI'!T322</f>
        <v>0</v>
      </c>
      <c r="AB322" s="10">
        <f>+'A) Base RI'!U322</f>
        <v>1300</v>
      </c>
      <c r="AC322" s="10">
        <f>'A) Base RI'!V322</f>
        <v>0</v>
      </c>
      <c r="AD322" s="10">
        <f>+'A) Base RI'!W322</f>
        <v>0</v>
      </c>
      <c r="AE322" s="10">
        <f>'A) Base RI'!Y322</f>
        <v>0</v>
      </c>
      <c r="AF322" s="10">
        <f>'A) Base RI'!Z322</f>
        <v>0</v>
      </c>
      <c r="AG322" s="10">
        <f>'A) Base RI'!AA322</f>
        <v>13050</v>
      </c>
      <c r="AH322" s="10">
        <f>'A) Base RI'!AB322</f>
        <v>0</v>
      </c>
      <c r="AI322" s="10">
        <f>'A) Base RI'!AC322</f>
        <v>5461.85</v>
      </c>
      <c r="AJ322" s="10">
        <f>'A) Base RI'!AD322</f>
        <v>0</v>
      </c>
      <c r="AK322" s="10">
        <f>'A) Base RI'!AE322</f>
        <v>0</v>
      </c>
      <c r="AL322" s="10">
        <f>'A) Base RI'!AF322</f>
        <v>0</v>
      </c>
      <c r="AM322" s="10">
        <f>'A) Base RI'!AG322</f>
        <v>0</v>
      </c>
      <c r="AN322" s="10">
        <f>'A) Base RI'!AH322</f>
        <v>0</v>
      </c>
      <c r="AO322" s="10">
        <f>'A) Base RI'!AI322</f>
        <v>0</v>
      </c>
      <c r="AP322" s="10">
        <f>'A) Base RI'!AJ322</f>
        <v>0</v>
      </c>
      <c r="AQ322" s="10">
        <f>'A) Base RI'!AK322</f>
        <v>0</v>
      </c>
      <c r="AR322" s="10">
        <f>'A) Base RI'!AN322</f>
        <v>134</v>
      </c>
    </row>
    <row r="323" spans="1:44" x14ac:dyDescent="0.25">
      <c r="A323" s="8">
        <f>'A) Base RI'!A323</f>
        <v>5938</v>
      </c>
      <c r="B323" s="35" t="str">
        <f>'A) Base RI'!B323</f>
        <v>Yverdon-les-Bains</v>
      </c>
      <c r="C323" s="10">
        <f>'A) Base RI'!C323+'A) Base RI'!D323</f>
        <v>47759877.569999993</v>
      </c>
      <c r="D323" s="10">
        <f>'A) Base RI'!AO323</f>
        <v>-1133337.92</v>
      </c>
      <c r="E323" s="34">
        <f>'A) Base RI'!AP323</f>
        <v>0</v>
      </c>
      <c r="F323" s="34">
        <f>'A) Base RI'!AQ323</f>
        <v>-4091.84</v>
      </c>
      <c r="G323" s="2">
        <f t="shared" si="24"/>
        <v>46622447.809999987</v>
      </c>
      <c r="H323" s="10">
        <f>'A) Base RI'!E323</f>
        <v>0</v>
      </c>
      <c r="I323" s="10">
        <f>'A) Base RI'!F323</f>
        <v>0</v>
      </c>
      <c r="J323" s="10">
        <f>'A) Base RI'!G323+'A) Base RI'!H323</f>
        <v>8435183.1500000004</v>
      </c>
      <c r="K323" s="10">
        <f>'A) Base RI'!I323</f>
        <v>69624.05</v>
      </c>
      <c r="L323" s="10">
        <f>'A) Base RI'!J323</f>
        <v>1960674.59</v>
      </c>
      <c r="M323" s="10">
        <f>'A) Base RI'!K323</f>
        <v>562429.5</v>
      </c>
      <c r="N323" s="10">
        <f>'A) Base RI'!Q323</f>
        <v>343604.49</v>
      </c>
      <c r="O323" s="10">
        <f t="shared" si="25"/>
        <v>3913280.15</v>
      </c>
      <c r="P323" s="10">
        <f>'A) Base RI'!L323</f>
        <v>3913280.15</v>
      </c>
      <c r="Q323" s="37">
        <f>'A) Base RI'!AR323</f>
        <v>1</v>
      </c>
      <c r="R323" s="2">
        <f t="shared" si="26"/>
        <v>61907243.739999987</v>
      </c>
      <c r="S323" s="36">
        <f>'A) Base RI'!AM323</f>
        <v>76.5</v>
      </c>
      <c r="T323" s="2">
        <f t="shared" si="27"/>
        <v>57431534.089999989</v>
      </c>
      <c r="U323" s="2">
        <f t="shared" si="28"/>
        <v>809245.0162091502</v>
      </c>
      <c r="V323" s="10">
        <f>'A) Base RI'!O323</f>
        <v>1589618.3</v>
      </c>
      <c r="W323" s="10">
        <f>'A) Base RI'!P323</f>
        <v>1658072.5</v>
      </c>
      <c r="X323" s="10">
        <f>'A) Base RI'!R323</f>
        <v>661113.30000000005</v>
      </c>
      <c r="Y323" s="2">
        <f t="shared" si="29"/>
        <v>3908804.0999999996</v>
      </c>
      <c r="Z323" s="10">
        <f>'A) Base RI'!N323</f>
        <v>3598534.3</v>
      </c>
      <c r="AA323" s="10">
        <f>'A) Base RI'!S323+'A) Base RI'!T323</f>
        <v>218.75</v>
      </c>
      <c r="AB323" s="10">
        <f>+'A) Base RI'!U323</f>
        <v>57820</v>
      </c>
      <c r="AC323" s="10">
        <f>'A) Base RI'!V323</f>
        <v>0</v>
      </c>
      <c r="AD323" s="10">
        <f>+'A) Base RI'!W323</f>
        <v>0</v>
      </c>
      <c r="AE323" s="10">
        <f>'A) Base RI'!Y323</f>
        <v>603056</v>
      </c>
      <c r="AF323" s="10">
        <f>'A) Base RI'!Z323</f>
        <v>0</v>
      </c>
      <c r="AG323" s="10">
        <f>'A) Base RI'!AA323</f>
        <v>4092752</v>
      </c>
      <c r="AH323" s="10">
        <f>'A) Base RI'!AB323</f>
        <v>1229021</v>
      </c>
      <c r="AI323" s="10">
        <f>'A) Base RI'!AC323</f>
        <v>72870</v>
      </c>
      <c r="AJ323" s="10">
        <f>'A) Base RI'!AD323</f>
        <v>408166</v>
      </c>
      <c r="AK323" s="10">
        <f>'A) Base RI'!AE323</f>
        <v>0</v>
      </c>
      <c r="AL323" s="10">
        <f>'A) Base RI'!AF323</f>
        <v>0</v>
      </c>
      <c r="AM323" s="10">
        <f>'A) Base RI'!AG323</f>
        <v>214612</v>
      </c>
      <c r="AN323" s="10">
        <f>'A) Base RI'!AH323</f>
        <v>868025</v>
      </c>
      <c r="AO323" s="10">
        <f>'A) Base RI'!AI323</f>
        <v>806020</v>
      </c>
      <c r="AP323" s="10">
        <f>'A) Base RI'!AJ323</f>
        <v>744014</v>
      </c>
      <c r="AQ323" s="10">
        <f>'A) Base RI'!AK323</f>
        <v>0</v>
      </c>
      <c r="AR323" s="10">
        <f>'A) Base RI'!AN323</f>
        <v>29570</v>
      </c>
    </row>
    <row r="324" spans="1:44" x14ac:dyDescent="0.25">
      <c r="A324" s="8">
        <f>'A) Base RI'!A324</f>
        <v>5939</v>
      </c>
      <c r="B324" s="35" t="str">
        <f>'A) Base RI'!B324</f>
        <v>Yvonand</v>
      </c>
      <c r="C324" s="10">
        <f>'A) Base RI'!C324+'A) Base RI'!D324</f>
        <v>5517555.4000000004</v>
      </c>
      <c r="D324" s="10">
        <f>'A) Base RI'!AO324</f>
        <v>-111996.04</v>
      </c>
      <c r="E324" s="34">
        <f>'A) Base RI'!AP324</f>
        <v>0</v>
      </c>
      <c r="F324" s="34">
        <f>'A) Base RI'!AQ324</f>
        <v>-57.1</v>
      </c>
      <c r="G324" s="2">
        <f t="shared" si="24"/>
        <v>5405502.2600000007</v>
      </c>
      <c r="H324" s="10">
        <f>'A) Base RI'!E324</f>
        <v>0</v>
      </c>
      <c r="I324" s="10">
        <f>'A) Base RI'!F324</f>
        <v>0</v>
      </c>
      <c r="J324" s="10">
        <f>'A) Base RI'!G324+'A) Base RI'!H324</f>
        <v>349240.55000000005</v>
      </c>
      <c r="K324" s="10">
        <f>'A) Base RI'!I324</f>
        <v>0</v>
      </c>
      <c r="L324" s="10">
        <f>'A) Base RI'!J324</f>
        <v>162109.07999999999</v>
      </c>
      <c r="M324" s="10">
        <f>'A) Base RI'!K324</f>
        <v>12227</v>
      </c>
      <c r="N324" s="10">
        <f>'A) Base RI'!Q324</f>
        <v>37101.11</v>
      </c>
      <c r="O324" s="10">
        <f t="shared" si="25"/>
        <v>476877.95</v>
      </c>
      <c r="P324" s="10">
        <f>'A) Base RI'!L324</f>
        <v>476877.95</v>
      </c>
      <c r="Q324" s="37">
        <f>'A) Base RI'!AR324</f>
        <v>1</v>
      </c>
      <c r="R324" s="2">
        <f t="shared" si="26"/>
        <v>6443057.9500000011</v>
      </c>
      <c r="S324" s="36">
        <f>'A) Base RI'!AM324</f>
        <v>73</v>
      </c>
      <c r="T324" s="2">
        <f t="shared" si="27"/>
        <v>5953953.0000000009</v>
      </c>
      <c r="U324" s="2">
        <f t="shared" si="28"/>
        <v>88261.067808219188</v>
      </c>
      <c r="V324" s="10">
        <f>'A) Base RI'!O324</f>
        <v>465110.9</v>
      </c>
      <c r="W324" s="10">
        <f>'A) Base RI'!P324</f>
        <v>243245.3</v>
      </c>
      <c r="X324" s="10">
        <f>'A) Base RI'!R324</f>
        <v>113485.45</v>
      </c>
      <c r="Y324" s="2">
        <f t="shared" si="29"/>
        <v>821841.64999999991</v>
      </c>
      <c r="Z324" s="10">
        <f>'A) Base RI'!N324</f>
        <v>119969.7</v>
      </c>
      <c r="AA324" s="10">
        <f>'A) Base RI'!S324+'A) Base RI'!T324</f>
        <v>8396.35</v>
      </c>
      <c r="AB324" s="10">
        <f>+'A) Base RI'!U324</f>
        <v>20550</v>
      </c>
      <c r="AC324" s="10">
        <f>'A) Base RI'!V324</f>
        <v>0</v>
      </c>
      <c r="AD324" s="10">
        <f>+'A) Base RI'!W324</f>
        <v>1664.55</v>
      </c>
      <c r="AE324" s="10">
        <f>'A) Base RI'!Y324</f>
        <v>24360</v>
      </c>
      <c r="AF324" s="10">
        <f>'A) Base RI'!Z324</f>
        <v>0</v>
      </c>
      <c r="AG324" s="10">
        <f>'A) Base RI'!AA324</f>
        <v>666407.1</v>
      </c>
      <c r="AH324" s="10">
        <f>'A) Base RI'!AB324</f>
        <v>0</v>
      </c>
      <c r="AI324" s="10">
        <f>'A) Base RI'!AC324</f>
        <v>0</v>
      </c>
      <c r="AJ324" s="10">
        <f>'A) Base RI'!AD324</f>
        <v>22192</v>
      </c>
      <c r="AK324" s="10">
        <f>'A) Base RI'!AE324</f>
        <v>0</v>
      </c>
      <c r="AL324" s="10">
        <f>'A) Base RI'!AF324</f>
        <v>0</v>
      </c>
      <c r="AM324" s="10">
        <f>'A) Base RI'!AG324</f>
        <v>10660.6</v>
      </c>
      <c r="AN324" s="10">
        <f>'A) Base RI'!AH324</f>
        <v>87210.45</v>
      </c>
      <c r="AO324" s="10">
        <f>'A) Base RI'!AI324</f>
        <v>0</v>
      </c>
      <c r="AP324" s="10">
        <f>'A) Base RI'!AJ324</f>
        <v>0</v>
      </c>
      <c r="AQ324" s="10">
        <f>'A) Base RI'!AK324</f>
        <v>0</v>
      </c>
      <c r="AR324" s="10">
        <f>'A) Base RI'!AN324</f>
        <v>3236</v>
      </c>
    </row>
    <row r="325" spans="1:44" x14ac:dyDescent="0.25">
      <c r="A325" s="7"/>
      <c r="B325" s="27">
        <f>COUNTA(B7:B324)</f>
        <v>318</v>
      </c>
      <c r="C325" s="11">
        <f t="shared" ref="C325:H325" si="30">SUM(C7:C324)</f>
        <v>1840093451.95</v>
      </c>
      <c r="D325" s="11">
        <f>SUM(D7:D324)</f>
        <v>-34540637.610000007</v>
      </c>
      <c r="E325" s="11">
        <f>SUM(E7:E324)</f>
        <v>-189217.35</v>
      </c>
      <c r="F325" s="11">
        <f>SUM(F7:F324)</f>
        <v>-1337332.4299999997</v>
      </c>
      <c r="G325" s="41">
        <f t="shared" si="30"/>
        <v>1804026264.5600002</v>
      </c>
      <c r="H325" s="11">
        <f t="shared" si="30"/>
        <v>74959.5</v>
      </c>
      <c r="I325" s="11">
        <f t="shared" ref="I325:V325" si="31">SUM(I7:I324)</f>
        <v>116908</v>
      </c>
      <c r="J325" s="11">
        <f t="shared" si="31"/>
        <v>347014108.13000005</v>
      </c>
      <c r="K325" s="11">
        <f t="shared" si="31"/>
        <v>42188710.170000009</v>
      </c>
      <c r="L325" s="11">
        <f t="shared" si="31"/>
        <v>84062184.200000033</v>
      </c>
      <c r="M325" s="11">
        <f t="shared" si="31"/>
        <v>15650030.649999997</v>
      </c>
      <c r="N325" s="11">
        <f t="shared" si="31"/>
        <v>9291161.9299999997</v>
      </c>
      <c r="O325" s="11">
        <f>SUM(O7:O324)</f>
        <v>155059152.94957247</v>
      </c>
      <c r="P325" s="11">
        <f>SUM(P7:P324)</f>
        <v>180513157.68000004</v>
      </c>
      <c r="Q325" s="38"/>
      <c r="R325" s="41">
        <f t="shared" si="31"/>
        <v>2457483480.089571</v>
      </c>
      <c r="S325" s="21">
        <f>R325/U325</f>
        <v>67.558265530946699</v>
      </c>
      <c r="T325" s="41">
        <f t="shared" si="31"/>
        <v>2286657388.4899993</v>
      </c>
      <c r="U325" s="41">
        <f t="shared" si="31"/>
        <v>36375763.361832626</v>
      </c>
      <c r="V325" s="11">
        <f t="shared" si="31"/>
        <v>76112824.099999994</v>
      </c>
      <c r="W325" s="11">
        <f t="shared" ref="W325:AD325" si="32">SUM(W7:W324)</f>
        <v>79274538.899999991</v>
      </c>
      <c r="X325" s="11">
        <f t="shared" si="32"/>
        <v>51506914.999999993</v>
      </c>
      <c r="Y325" s="41">
        <f t="shared" si="32"/>
        <v>206894278.00000006</v>
      </c>
      <c r="Z325" s="11">
        <f>SUM(Z7:Z324)</f>
        <v>66918953.550000027</v>
      </c>
      <c r="AA325" s="11">
        <f t="shared" si="32"/>
        <v>1630754.25</v>
      </c>
      <c r="AB325" s="11">
        <f t="shared" si="32"/>
        <v>3281979.4</v>
      </c>
      <c r="AC325" s="11">
        <f t="shared" si="32"/>
        <v>6826342.1799999997</v>
      </c>
      <c r="AD325" s="11">
        <f t="shared" si="32"/>
        <v>574682.94000000006</v>
      </c>
      <c r="AE325" s="11">
        <f>SUM(AE7:AE324)</f>
        <v>26694598.659999996</v>
      </c>
      <c r="AF325" s="11">
        <f t="shared" ref="AF325:AQ325" si="33">SUM(AF7:AF324)</f>
        <v>1768310.3399999999</v>
      </c>
      <c r="AG325" s="11">
        <f t="shared" si="33"/>
        <v>99433667.889999911</v>
      </c>
      <c r="AH325" s="11">
        <f t="shared" si="33"/>
        <v>7127814.9500000002</v>
      </c>
      <c r="AI325" s="11">
        <f t="shared" si="33"/>
        <v>81978109.260000005</v>
      </c>
      <c r="AJ325" s="11">
        <f t="shared" si="33"/>
        <v>19885637.909999985</v>
      </c>
      <c r="AK325" s="11">
        <f t="shared" si="33"/>
        <v>1512503.4400000004</v>
      </c>
      <c r="AL325" s="11">
        <f t="shared" si="33"/>
        <v>11538.099999999999</v>
      </c>
      <c r="AM325" s="11">
        <f t="shared" si="33"/>
        <v>13492960.229999999</v>
      </c>
      <c r="AN325" s="11">
        <f t="shared" si="33"/>
        <v>21771274.77</v>
      </c>
      <c r="AO325" s="11">
        <f t="shared" si="33"/>
        <v>10451850.68</v>
      </c>
      <c r="AP325" s="11">
        <f t="shared" si="33"/>
        <v>3914994.58</v>
      </c>
      <c r="AQ325" s="11">
        <f t="shared" si="33"/>
        <v>3176287.33</v>
      </c>
      <c r="AR325" s="11">
        <f>SUM(AR7:AR324)</f>
        <v>778251</v>
      </c>
    </row>
    <row r="326" spans="1:44" x14ac:dyDescent="0.25">
      <c r="Z326" s="12"/>
    </row>
    <row r="327" spans="1:44" x14ac:dyDescent="0.25">
      <c r="C327" s="6"/>
      <c r="I327" s="6"/>
      <c r="J327" s="6"/>
      <c r="K327" s="6"/>
      <c r="L327" s="6"/>
      <c r="M327" s="6"/>
      <c r="N327" s="6"/>
      <c r="R327" s="6"/>
      <c r="U327" s="6"/>
      <c r="V327" s="6"/>
      <c r="W327" s="6"/>
      <c r="X327" s="6"/>
      <c r="Y327" s="6"/>
      <c r="Z327" s="6"/>
      <c r="AA327" s="6"/>
      <c r="AB327" s="6"/>
      <c r="AC327" s="6"/>
      <c r="AD327" s="6"/>
    </row>
    <row r="328" spans="1:44" x14ac:dyDescent="0.25">
      <c r="C328" s="6"/>
      <c r="J328" s="6"/>
    </row>
    <row r="329" spans="1:44" x14ac:dyDescent="0.25">
      <c r="C329" s="6"/>
      <c r="G329" s="6"/>
      <c r="J329" s="39"/>
    </row>
    <row r="330" spans="1:44" x14ac:dyDescent="0.25">
      <c r="G330" s="6"/>
    </row>
    <row r="331" spans="1:44" x14ac:dyDescent="0.25">
      <c r="G331" s="6"/>
    </row>
    <row r="332" spans="1:44" x14ac:dyDescent="0.25">
      <c r="G332" s="6"/>
    </row>
    <row r="333" spans="1:44" x14ac:dyDescent="0.25">
      <c r="G333" s="39"/>
    </row>
  </sheetData>
  <sheetProtection password="8C8E" sheet="1" objects="1" scenarios="1"/>
  <mergeCells count="44">
    <mergeCell ref="A4:A6"/>
    <mergeCell ref="B4:B6"/>
    <mergeCell ref="N4:N6"/>
    <mergeCell ref="C4:C5"/>
    <mergeCell ref="H4:H5"/>
    <mergeCell ref="I4:I5"/>
    <mergeCell ref="J4:J5"/>
    <mergeCell ref="G4:G5"/>
    <mergeCell ref="K4:K5"/>
    <mergeCell ref="L4:L5"/>
    <mergeCell ref="M4:M5"/>
    <mergeCell ref="D4:D6"/>
    <mergeCell ref="E4:E6"/>
    <mergeCell ref="F4:F6"/>
    <mergeCell ref="AR4:AR5"/>
    <mergeCell ref="S4:S5"/>
    <mergeCell ref="AI4:AI6"/>
    <mergeCell ref="AK4:AK6"/>
    <mergeCell ref="AJ4:AJ6"/>
    <mergeCell ref="AE4:AE5"/>
    <mergeCell ref="AF4:AF5"/>
    <mergeCell ref="W4:W5"/>
    <mergeCell ref="AG4:AG5"/>
    <mergeCell ref="AH4:AH5"/>
    <mergeCell ref="AO4:AO6"/>
    <mergeCell ref="AM4:AM5"/>
    <mergeCell ref="Y4:Y6"/>
    <mergeCell ref="T4:T6"/>
    <mergeCell ref="Q4:Q6"/>
    <mergeCell ref="O4:O6"/>
    <mergeCell ref="AP4:AP6"/>
    <mergeCell ref="AQ4:AQ6"/>
    <mergeCell ref="V4:V5"/>
    <mergeCell ref="AA4:AA5"/>
    <mergeCell ref="AB4:AB5"/>
    <mergeCell ref="AC4:AC5"/>
    <mergeCell ref="U4:U5"/>
    <mergeCell ref="Z4:Z5"/>
    <mergeCell ref="X4:X5"/>
    <mergeCell ref="AL4:AL6"/>
    <mergeCell ref="AN4:AN6"/>
    <mergeCell ref="AD4:AD5"/>
    <mergeCell ref="P4:P5"/>
    <mergeCell ref="R4:R6"/>
  </mergeCells>
  <phoneticPr fontId="0" type="noConversion"/>
  <pageMargins left="0" right="0" top="0" bottom="0" header="0.51181102362204722" footer="0.51181102362204722"/>
  <pageSetup paperSize="8" scale="70"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41"/>
  <sheetViews>
    <sheetView workbookViewId="0"/>
  </sheetViews>
  <sheetFormatPr baseColWidth="10" defaultColWidth="11" defaultRowHeight="15" x14ac:dyDescent="0.25"/>
  <cols>
    <col min="1" max="1" width="7.25" style="14" customWidth="1"/>
    <col min="2" max="2" width="17.375" style="14" bestFit="1" customWidth="1"/>
    <col min="3" max="3" width="18" style="6" customWidth="1"/>
    <col min="4" max="4" width="9.875" style="6" bestFit="1" customWidth="1"/>
    <col min="5" max="5" width="10.75" style="6" bestFit="1" customWidth="1"/>
    <col min="6" max="6" width="11.25" style="6" bestFit="1" customWidth="1"/>
    <col min="7" max="7" width="13" style="31" bestFit="1" customWidth="1"/>
    <col min="8" max="8" width="12.25" style="6" bestFit="1" customWidth="1"/>
    <col min="9" max="16384" width="11" style="14"/>
  </cols>
  <sheetData>
    <row r="1" spans="1:8" ht="21" x14ac:dyDescent="0.25">
      <c r="A1" s="57" t="s">
        <v>494</v>
      </c>
      <c r="B1" s="45"/>
      <c r="C1" s="47"/>
      <c r="D1" s="47"/>
      <c r="E1" s="47"/>
      <c r="F1" s="47"/>
      <c r="G1" s="59"/>
      <c r="H1" s="47"/>
    </row>
    <row r="3" spans="1:8" ht="60" x14ac:dyDescent="0.25">
      <c r="A3" s="551" t="s">
        <v>50</v>
      </c>
      <c r="B3" s="551" t="s">
        <v>120</v>
      </c>
      <c r="C3" s="63" t="s">
        <v>483</v>
      </c>
      <c r="D3" s="63" t="s">
        <v>227</v>
      </c>
      <c r="E3" s="556" t="s">
        <v>171</v>
      </c>
      <c r="F3" s="556" t="s">
        <v>415</v>
      </c>
      <c r="G3" s="568" t="s">
        <v>331</v>
      </c>
      <c r="H3" s="556" t="s">
        <v>478</v>
      </c>
    </row>
    <row r="4" spans="1:8" x14ac:dyDescent="0.25">
      <c r="A4" s="555"/>
      <c r="B4" s="552"/>
      <c r="C4" s="293">
        <f>Paramètres!B11</f>
        <v>0.5</v>
      </c>
      <c r="D4" s="293">
        <f>Paramètres!B12</f>
        <v>0.3</v>
      </c>
      <c r="E4" s="558"/>
      <c r="F4" s="557"/>
      <c r="G4" s="569"/>
      <c r="H4" s="558"/>
    </row>
    <row r="5" spans="1:8" x14ac:dyDescent="0.25">
      <c r="A5" s="49">
        <f>'A) Base RI'!A7</f>
        <v>5401</v>
      </c>
      <c r="B5" s="115" t="str">
        <f>'A) Base RI'!B7</f>
        <v>Aigle</v>
      </c>
      <c r="C5" s="93">
        <f>'B) D RI'!Y7</f>
        <v>2257966.5</v>
      </c>
      <c r="D5" s="61">
        <f>'B) D RI'!Z7</f>
        <v>1036709.25</v>
      </c>
      <c r="E5" s="61">
        <f>C5+D5</f>
        <v>3294675.75</v>
      </c>
      <c r="F5" s="61">
        <f>'B) D RI'!U7</f>
        <v>274204.16723456793</v>
      </c>
      <c r="G5" s="294">
        <f>E5/F5</f>
        <v>12.015410937141484</v>
      </c>
      <c r="H5" s="140">
        <f>(C5*$C$4)+(D5*$D$4)</f>
        <v>1439996.0249999999</v>
      </c>
    </row>
    <row r="6" spans="1:8" x14ac:dyDescent="0.25">
      <c r="A6" s="53">
        <f>'A) Base RI'!A8</f>
        <v>5402</v>
      </c>
      <c r="B6" s="116" t="str">
        <f>'A) Base RI'!B8</f>
        <v>Bex</v>
      </c>
      <c r="C6" s="44">
        <f>'B) D RI'!Y8</f>
        <v>1103949.5</v>
      </c>
      <c r="D6" s="10">
        <f>'B) D RI'!Z8</f>
        <v>172600.1</v>
      </c>
      <c r="E6" s="10">
        <f t="shared" ref="E6:E68" si="0">C6+D6</f>
        <v>1276549.6000000001</v>
      </c>
      <c r="F6" s="10">
        <f>'B) D RI'!U8</f>
        <v>168618.65154929578</v>
      </c>
      <c r="G6" s="295">
        <f t="shared" ref="G6:G60" si="1">E6/F6</f>
        <v>7.570631055763128</v>
      </c>
      <c r="H6" s="67">
        <f t="shared" ref="H6:H61" si="2">(C6*$C$4)+(D6*$D$4)</f>
        <v>603754.78</v>
      </c>
    </row>
    <row r="7" spans="1:8" x14ac:dyDescent="0.25">
      <c r="A7" s="53">
        <f>'A) Base RI'!A9</f>
        <v>5403</v>
      </c>
      <c r="B7" s="116" t="str">
        <f>'A) Base RI'!B9</f>
        <v>Chessel</v>
      </c>
      <c r="C7" s="44">
        <f>'B) D RI'!Y9</f>
        <v>49582.85</v>
      </c>
      <c r="D7" s="10">
        <f>'B) D RI'!Z9</f>
        <v>6233.65</v>
      </c>
      <c r="E7" s="10">
        <f t="shared" si="0"/>
        <v>55816.5</v>
      </c>
      <c r="F7" s="10">
        <f>'B) D RI'!U9</f>
        <v>8336.8572368421064</v>
      </c>
      <c r="G7" s="295">
        <f t="shared" si="1"/>
        <v>6.695148832984283</v>
      </c>
      <c r="H7" s="67">
        <f t="shared" si="2"/>
        <v>26661.52</v>
      </c>
    </row>
    <row r="8" spans="1:8" x14ac:dyDescent="0.25">
      <c r="A8" s="53">
        <f>'A) Base RI'!A10</f>
        <v>5404</v>
      </c>
      <c r="B8" s="116" t="str">
        <f>'A) Base RI'!B10</f>
        <v>Corbeyrier</v>
      </c>
      <c r="C8" s="44">
        <f>'B) D RI'!Y10</f>
        <v>78942.650000000009</v>
      </c>
      <c r="D8" s="10">
        <f>'B) D RI'!Z10</f>
        <v>17833.2</v>
      </c>
      <c r="E8" s="10">
        <f t="shared" si="0"/>
        <v>96775.85</v>
      </c>
      <c r="F8" s="10">
        <f>'B) D RI'!U10</f>
        <v>39921.252857142863</v>
      </c>
      <c r="G8" s="295">
        <f t="shared" si="1"/>
        <v>2.4241686588922899</v>
      </c>
      <c r="H8" s="67">
        <f t="shared" si="2"/>
        <v>44821.285000000003</v>
      </c>
    </row>
    <row r="9" spans="1:8" x14ac:dyDescent="0.25">
      <c r="A9" s="53">
        <f>'A) Base RI'!A11</f>
        <v>5405</v>
      </c>
      <c r="B9" s="116" t="str">
        <f>'A) Base RI'!B11</f>
        <v>Gryon</v>
      </c>
      <c r="C9" s="44">
        <f>'B) D RI'!Y11</f>
        <v>607291.4</v>
      </c>
      <c r="D9" s="10">
        <f>'B) D RI'!Z11</f>
        <v>0</v>
      </c>
      <c r="E9" s="10">
        <f t="shared" si="0"/>
        <v>607291.4</v>
      </c>
      <c r="F9" s="10">
        <f>'B) D RI'!U11</f>
        <v>64864.951911111115</v>
      </c>
      <c r="G9" s="295">
        <f t="shared" si="1"/>
        <v>9.3623965193439602</v>
      </c>
      <c r="H9" s="67">
        <f t="shared" si="2"/>
        <v>303645.7</v>
      </c>
    </row>
    <row r="10" spans="1:8" x14ac:dyDescent="0.25">
      <c r="A10" s="53">
        <f>'A) Base RI'!A12</f>
        <v>5406</v>
      </c>
      <c r="B10" s="116" t="str">
        <f>'A) Base RI'!B12</f>
        <v>Lavey-Morcles</v>
      </c>
      <c r="C10" s="44">
        <f>'B) D RI'!Y12</f>
        <v>26719.85</v>
      </c>
      <c r="D10" s="10">
        <f>'B) D RI'!Z12</f>
        <v>0</v>
      </c>
      <c r="E10" s="10">
        <f t="shared" si="0"/>
        <v>26719.85</v>
      </c>
      <c r="F10" s="10">
        <f>'B) D RI'!U12</f>
        <v>20248.886901408452</v>
      </c>
      <c r="G10" s="295">
        <f t="shared" si="1"/>
        <v>1.319571299405176</v>
      </c>
      <c r="H10" s="67">
        <f t="shared" si="2"/>
        <v>13359.924999999999</v>
      </c>
    </row>
    <row r="11" spans="1:8" x14ac:dyDescent="0.25">
      <c r="A11" s="53">
        <f>'A) Base RI'!A13</f>
        <v>5407</v>
      </c>
      <c r="B11" s="116" t="str">
        <f>'A) Base RI'!B13</f>
        <v>Leysin</v>
      </c>
      <c r="C11" s="44">
        <f>'B) D RI'!Y13</f>
        <v>515381.5</v>
      </c>
      <c r="D11" s="10">
        <f>'B) D RI'!Z13</f>
        <v>28241.95</v>
      </c>
      <c r="E11" s="10">
        <f t="shared" si="0"/>
        <v>543623.44999999995</v>
      </c>
      <c r="F11" s="10">
        <f>'B) D RI'!U13</f>
        <v>82610.97474358973</v>
      </c>
      <c r="G11" s="295">
        <f t="shared" si="1"/>
        <v>6.5805233709844693</v>
      </c>
      <c r="H11" s="67">
        <f t="shared" si="2"/>
        <v>266163.33500000002</v>
      </c>
    </row>
    <row r="12" spans="1:8" x14ac:dyDescent="0.25">
      <c r="A12" s="53">
        <f>'A) Base RI'!A14</f>
        <v>5408</v>
      </c>
      <c r="B12" s="116" t="str">
        <f>'A) Base RI'!B14</f>
        <v>Noville</v>
      </c>
      <c r="C12" s="44">
        <f>'B) D RI'!Y14</f>
        <v>242745.7</v>
      </c>
      <c r="D12" s="10">
        <f>'B) D RI'!Z14</f>
        <v>71489.75</v>
      </c>
      <c r="E12" s="10">
        <f t="shared" si="0"/>
        <v>314235.45</v>
      </c>
      <c r="F12" s="10">
        <f>'B) D RI'!U14</f>
        <v>33419.560339702759</v>
      </c>
      <c r="G12" s="295">
        <f t="shared" si="1"/>
        <v>9.4027403953212776</v>
      </c>
      <c r="H12" s="67">
        <f t="shared" si="2"/>
        <v>142819.77499999999</v>
      </c>
    </row>
    <row r="13" spans="1:8" x14ac:dyDescent="0.25">
      <c r="A13" s="53">
        <f>'A) Base RI'!A15</f>
        <v>5409</v>
      </c>
      <c r="B13" s="116" t="str">
        <f>'A) Base RI'!B15</f>
        <v>Ollon</v>
      </c>
      <c r="C13" s="44">
        <f>'B) D RI'!Y15</f>
        <v>3882167.2</v>
      </c>
      <c r="D13" s="10">
        <f>'B) D RI'!Z15</f>
        <v>34479.550000000003</v>
      </c>
      <c r="E13" s="10">
        <f t="shared" si="0"/>
        <v>3916646.75</v>
      </c>
      <c r="F13" s="10">
        <f>'B) D RI'!U15</f>
        <v>366034.73937782802</v>
      </c>
      <c r="G13" s="295">
        <f t="shared" si="1"/>
        <v>10.700205004195416</v>
      </c>
      <c r="H13" s="67">
        <f t="shared" si="2"/>
        <v>1951427.4650000001</v>
      </c>
    </row>
    <row r="14" spans="1:8" x14ac:dyDescent="0.25">
      <c r="A14" s="53">
        <f>'A) Base RI'!A16</f>
        <v>5410</v>
      </c>
      <c r="B14" s="116" t="str">
        <f>'A) Base RI'!B16</f>
        <v>Ormont-Dessous</v>
      </c>
      <c r="C14" s="44">
        <f>'B) D RI'!Y16</f>
        <v>236236.09999999998</v>
      </c>
      <c r="D14" s="10">
        <f>'B) D RI'!Z16</f>
        <v>0</v>
      </c>
      <c r="E14" s="10">
        <f t="shared" si="0"/>
        <v>236236.09999999998</v>
      </c>
      <c r="F14" s="10">
        <f>'B) D RI'!U16</f>
        <v>36452.210276008496</v>
      </c>
      <c r="G14" s="295">
        <f t="shared" si="1"/>
        <v>6.4807071563361927</v>
      </c>
      <c r="H14" s="67">
        <f t="shared" si="2"/>
        <v>118118.04999999999</v>
      </c>
    </row>
    <row r="15" spans="1:8" x14ac:dyDescent="0.25">
      <c r="A15" s="53">
        <f>'A) Base RI'!A17</f>
        <v>5411</v>
      </c>
      <c r="B15" s="116" t="str">
        <f>'A) Base RI'!B17</f>
        <v>Ormont-Dessus</v>
      </c>
      <c r="C15" s="44">
        <f>'B) D RI'!Y17</f>
        <v>464188.25</v>
      </c>
      <c r="D15" s="10">
        <f>'B) D RI'!Z17</f>
        <v>10854.5</v>
      </c>
      <c r="E15" s="10">
        <f t="shared" si="0"/>
        <v>475042.75</v>
      </c>
      <c r="F15" s="10">
        <f>'B) D RI'!U17</f>
        <v>74047.924868421047</v>
      </c>
      <c r="G15" s="295">
        <f t="shared" si="1"/>
        <v>6.4153418322542324</v>
      </c>
      <c r="H15" s="67">
        <f t="shared" si="2"/>
        <v>235350.47500000001</v>
      </c>
    </row>
    <row r="16" spans="1:8" x14ac:dyDescent="0.25">
      <c r="A16" s="53">
        <f>'A) Base RI'!A18</f>
        <v>5412</v>
      </c>
      <c r="B16" s="116" t="str">
        <f>'A) Base RI'!B18</f>
        <v>Rennaz</v>
      </c>
      <c r="C16" s="44">
        <f>'B) D RI'!Y18</f>
        <v>156028.54999999999</v>
      </c>
      <c r="D16" s="10">
        <f>'B) D RI'!Z18</f>
        <v>86684.75</v>
      </c>
      <c r="E16" s="10">
        <f t="shared" si="0"/>
        <v>242713.3</v>
      </c>
      <c r="F16" s="10">
        <f>'B) D RI'!U18</f>
        <v>26224.228148148151</v>
      </c>
      <c r="G16" s="295">
        <f t="shared" si="1"/>
        <v>9.2553076730740464</v>
      </c>
      <c r="H16" s="67">
        <f t="shared" si="2"/>
        <v>104019.7</v>
      </c>
    </row>
    <row r="17" spans="1:8" x14ac:dyDescent="0.25">
      <c r="A17" s="53">
        <f>'A) Base RI'!A19</f>
        <v>5413</v>
      </c>
      <c r="B17" s="116" t="str">
        <f>'A) Base RI'!B19</f>
        <v>Roche</v>
      </c>
      <c r="C17" s="44">
        <f>'B) D RI'!Y19</f>
        <v>238696.7</v>
      </c>
      <c r="D17" s="10">
        <f>'B) D RI'!Z19</f>
        <v>194227.4</v>
      </c>
      <c r="E17" s="10">
        <f t="shared" si="0"/>
        <v>432924.1</v>
      </c>
      <c r="F17" s="10">
        <f>'B) D RI'!U19</f>
        <v>38924.228382352943</v>
      </c>
      <c r="G17" s="295">
        <f t="shared" si="1"/>
        <v>11.122226900617882</v>
      </c>
      <c r="H17" s="67">
        <f t="shared" si="2"/>
        <v>177616.57</v>
      </c>
    </row>
    <row r="18" spans="1:8" x14ac:dyDescent="0.25">
      <c r="A18" s="53">
        <f>'A) Base RI'!A20</f>
        <v>5414</v>
      </c>
      <c r="B18" s="116" t="str">
        <f>'A) Base RI'!B20</f>
        <v>Villeneuve</v>
      </c>
      <c r="C18" s="44">
        <f>'B) D RI'!Y20</f>
        <v>916914.3</v>
      </c>
      <c r="D18" s="10">
        <f>'B) D RI'!Z20</f>
        <v>878222.3</v>
      </c>
      <c r="E18" s="10">
        <f t="shared" si="0"/>
        <v>1795136.6</v>
      </c>
      <c r="F18" s="10">
        <f>'B) D RI'!U20</f>
        <v>159863.47130434786</v>
      </c>
      <c r="G18" s="295">
        <f t="shared" si="1"/>
        <v>11.229185662948739</v>
      </c>
      <c r="H18" s="67">
        <f t="shared" si="2"/>
        <v>721923.84000000008</v>
      </c>
    </row>
    <row r="19" spans="1:8" x14ac:dyDescent="0.25">
      <c r="A19" s="53">
        <f>'A) Base RI'!A21</f>
        <v>5415</v>
      </c>
      <c r="B19" s="116" t="str">
        <f>'A) Base RI'!B21</f>
        <v>Yvorne</v>
      </c>
      <c r="C19" s="44">
        <f>'B) D RI'!Y21</f>
        <v>221585.25</v>
      </c>
      <c r="D19" s="10">
        <f>'B) D RI'!Z21</f>
        <v>37558.5</v>
      </c>
      <c r="E19" s="10">
        <f t="shared" si="0"/>
        <v>259143.75</v>
      </c>
      <c r="F19" s="10">
        <f>'B) D RI'!U21</f>
        <v>35726.744476885644</v>
      </c>
      <c r="G19" s="295">
        <f t="shared" si="1"/>
        <v>7.2534946520990697</v>
      </c>
      <c r="H19" s="67">
        <f t="shared" si="2"/>
        <v>122060.175</v>
      </c>
    </row>
    <row r="20" spans="1:8" x14ac:dyDescent="0.25">
      <c r="A20" s="53">
        <f>'A) Base RI'!A22</f>
        <v>5421</v>
      </c>
      <c r="B20" s="116" t="str">
        <f>'A) Base RI'!B22</f>
        <v>Apples</v>
      </c>
      <c r="C20" s="44">
        <f>'B) D RI'!Y22</f>
        <v>50247.5</v>
      </c>
      <c r="D20" s="10">
        <f>'B) D RI'!Z22</f>
        <v>18941.900000000001</v>
      </c>
      <c r="E20" s="10">
        <f t="shared" si="0"/>
        <v>69189.399999999994</v>
      </c>
      <c r="F20" s="10">
        <f>'B) D RI'!U22</f>
        <v>59005.563421052633</v>
      </c>
      <c r="G20" s="295">
        <f t="shared" si="1"/>
        <v>1.1725911251160746</v>
      </c>
      <c r="H20" s="67">
        <f t="shared" si="2"/>
        <v>30806.32</v>
      </c>
    </row>
    <row r="21" spans="1:8" x14ac:dyDescent="0.25">
      <c r="A21" s="53">
        <f>'A) Base RI'!A23</f>
        <v>5422</v>
      </c>
      <c r="B21" s="116" t="str">
        <f>'A) Base RI'!B23</f>
        <v>Aubonne</v>
      </c>
      <c r="C21" s="44">
        <f>'B) D RI'!Y23</f>
        <v>574343.19999999995</v>
      </c>
      <c r="D21" s="10">
        <f>'B) D RI'!Z23</f>
        <v>679640.9</v>
      </c>
      <c r="E21" s="10">
        <f t="shared" si="0"/>
        <v>1253984.1000000001</v>
      </c>
      <c r="F21" s="10">
        <f>'B) D RI'!U23</f>
        <v>218988.17661764708</v>
      </c>
      <c r="G21" s="295">
        <f t="shared" si="1"/>
        <v>5.7262639443290757</v>
      </c>
      <c r="H21" s="67">
        <f t="shared" si="2"/>
        <v>491063.87</v>
      </c>
    </row>
    <row r="22" spans="1:8" x14ac:dyDescent="0.25">
      <c r="A22" s="53">
        <f>'A) Base RI'!A24</f>
        <v>5423</v>
      </c>
      <c r="B22" s="116" t="str">
        <f>'A) Base RI'!B24</f>
        <v>Ballens</v>
      </c>
      <c r="C22" s="44">
        <f>'B) D RI'!Y24</f>
        <v>12877.099999999999</v>
      </c>
      <c r="D22" s="10">
        <f>'B) D RI'!Z24</f>
        <v>12734.2</v>
      </c>
      <c r="E22" s="10">
        <f t="shared" si="0"/>
        <v>25611.3</v>
      </c>
      <c r="F22" s="10">
        <f>'B) D RI'!U24</f>
        <v>15358.055362318841</v>
      </c>
      <c r="G22" s="295">
        <f t="shared" si="1"/>
        <v>1.6676134703119776</v>
      </c>
      <c r="H22" s="67">
        <f t="shared" si="2"/>
        <v>10258.81</v>
      </c>
    </row>
    <row r="23" spans="1:8" x14ac:dyDescent="0.25">
      <c r="A23" s="53">
        <f>'A) Base RI'!A25</f>
        <v>5424</v>
      </c>
      <c r="B23" s="116" t="str">
        <f>'A) Base RI'!B25</f>
        <v>Berolle</v>
      </c>
      <c r="C23" s="44">
        <f>'B) D RI'!Y25</f>
        <v>47281.600000000006</v>
      </c>
      <c r="D23" s="10">
        <f>'B) D RI'!Z25</f>
        <v>0</v>
      </c>
      <c r="E23" s="10">
        <f t="shared" si="0"/>
        <v>47281.600000000006</v>
      </c>
      <c r="F23" s="10">
        <f>'B) D RI'!U25</f>
        <v>9058.2428571428572</v>
      </c>
      <c r="G23" s="295">
        <f t="shared" si="1"/>
        <v>5.2197319883862692</v>
      </c>
      <c r="H23" s="67">
        <f t="shared" si="2"/>
        <v>23640.800000000003</v>
      </c>
    </row>
    <row r="24" spans="1:8" x14ac:dyDescent="0.25">
      <c r="A24" s="53">
        <f>'A) Base RI'!A26</f>
        <v>5425</v>
      </c>
      <c r="B24" s="116" t="str">
        <f>'A) Base RI'!B26</f>
        <v>Bière</v>
      </c>
      <c r="C24" s="44">
        <f>'B) D RI'!Y26</f>
        <v>346126.45</v>
      </c>
      <c r="D24" s="10">
        <f>'B) D RI'!Z26</f>
        <v>47803.7</v>
      </c>
      <c r="E24" s="10">
        <f t="shared" si="0"/>
        <v>393930.15</v>
      </c>
      <c r="F24" s="10">
        <f>'B) D RI'!U26</f>
        <v>39413.041470588236</v>
      </c>
      <c r="G24" s="295">
        <f t="shared" si="1"/>
        <v>9.9949188213238553</v>
      </c>
      <c r="H24" s="67">
        <f t="shared" si="2"/>
        <v>187404.33499999999</v>
      </c>
    </row>
    <row r="25" spans="1:8" x14ac:dyDescent="0.25">
      <c r="A25" s="53">
        <f>'A) Base RI'!A27</f>
        <v>5426</v>
      </c>
      <c r="B25" s="116" t="str">
        <f>'A) Base RI'!B27</f>
        <v>Bougy-Villars</v>
      </c>
      <c r="C25" s="44">
        <f>'B) D RI'!Y27</f>
        <v>5663620.0999999996</v>
      </c>
      <c r="D25" s="10">
        <f>'B) D RI'!Z27</f>
        <v>18980.099999999999</v>
      </c>
      <c r="E25" s="10">
        <f t="shared" si="0"/>
        <v>5682600.1999999993</v>
      </c>
      <c r="F25" s="10">
        <f>'B) D RI'!U27</f>
        <v>42567.7185483871</v>
      </c>
      <c r="G25" s="295">
        <f t="shared" si="1"/>
        <v>133.4955312096545</v>
      </c>
      <c r="H25" s="67">
        <f t="shared" si="2"/>
        <v>2837504.0799999996</v>
      </c>
    </row>
    <row r="26" spans="1:8" x14ac:dyDescent="0.25">
      <c r="A26" s="53">
        <f>'A) Base RI'!A28</f>
        <v>5427</v>
      </c>
      <c r="B26" s="116" t="str">
        <f>'A) Base RI'!B28</f>
        <v>Féchy</v>
      </c>
      <c r="C26" s="44">
        <f>'B) D RI'!Y28</f>
        <v>345092.69999999995</v>
      </c>
      <c r="D26" s="10">
        <f>'B) D RI'!Z28</f>
        <v>9672.0499999999993</v>
      </c>
      <c r="E26" s="10">
        <f t="shared" si="0"/>
        <v>354764.74999999994</v>
      </c>
      <c r="F26" s="10">
        <f>'B) D RI'!U28</f>
        <v>68786.678798076915</v>
      </c>
      <c r="G26" s="295">
        <f t="shared" si="1"/>
        <v>5.1574629884575582</v>
      </c>
      <c r="H26" s="67">
        <f t="shared" si="2"/>
        <v>175447.96499999997</v>
      </c>
    </row>
    <row r="27" spans="1:8" x14ac:dyDescent="0.25">
      <c r="A27" s="53">
        <f>'A) Base RI'!A29</f>
        <v>5428</v>
      </c>
      <c r="B27" s="116" t="str">
        <f>'A) Base RI'!B29</f>
        <v>Gimel</v>
      </c>
      <c r="C27" s="44">
        <f>'B) D RI'!Y29</f>
        <v>513005.14999999997</v>
      </c>
      <c r="D27" s="10">
        <f>'B) D RI'!Z29</f>
        <v>194411.7</v>
      </c>
      <c r="E27" s="10">
        <f t="shared" si="0"/>
        <v>707416.85</v>
      </c>
      <c r="F27" s="10">
        <f>'B) D RI'!U29</f>
        <v>58004.622727272719</v>
      </c>
      <c r="G27" s="295">
        <f t="shared" si="1"/>
        <v>12.195870203761974</v>
      </c>
      <c r="H27" s="67">
        <f t="shared" si="2"/>
        <v>314826.08499999996</v>
      </c>
    </row>
    <row r="28" spans="1:8" x14ac:dyDescent="0.25">
      <c r="A28" s="53">
        <f>'A) Base RI'!A30</f>
        <v>5429</v>
      </c>
      <c r="B28" s="116" t="str">
        <f>'A) Base RI'!B30</f>
        <v>Longirod</v>
      </c>
      <c r="C28" s="44">
        <f>'B) D RI'!Y30</f>
        <v>167028.95000000001</v>
      </c>
      <c r="D28" s="10">
        <f>'B) D RI'!Z30</f>
        <v>0</v>
      </c>
      <c r="E28" s="10">
        <f t="shared" si="0"/>
        <v>167028.95000000001</v>
      </c>
      <c r="F28" s="10">
        <f>'B) D RI'!U30</f>
        <v>12171.349506172839</v>
      </c>
      <c r="G28" s="295">
        <f t="shared" si="1"/>
        <v>13.72312494315354</v>
      </c>
      <c r="H28" s="67">
        <f t="shared" si="2"/>
        <v>83514.475000000006</v>
      </c>
    </row>
    <row r="29" spans="1:8" x14ac:dyDescent="0.25">
      <c r="A29" s="53">
        <f>'A) Base RI'!A31</f>
        <v>5430</v>
      </c>
      <c r="B29" s="116" t="str">
        <f>'A) Base RI'!B31</f>
        <v>Marchissy</v>
      </c>
      <c r="C29" s="44">
        <f>'B) D RI'!Y31</f>
        <v>89776.75</v>
      </c>
      <c r="D29" s="10">
        <f>'B) D RI'!Z31</f>
        <v>9030.9500000000007</v>
      </c>
      <c r="E29" s="10">
        <f t="shared" si="0"/>
        <v>98807.7</v>
      </c>
      <c r="F29" s="10">
        <f>'B) D RI'!U31</f>
        <v>10573.165189873416</v>
      </c>
      <c r="G29" s="295">
        <f t="shared" si="1"/>
        <v>9.3451391542273772</v>
      </c>
      <c r="H29" s="67">
        <f t="shared" si="2"/>
        <v>47597.66</v>
      </c>
    </row>
    <row r="30" spans="1:8" x14ac:dyDescent="0.25">
      <c r="A30" s="53">
        <f>'A) Base RI'!A32</f>
        <v>5431</v>
      </c>
      <c r="B30" s="116" t="str">
        <f>'A) Base RI'!B32</f>
        <v>Mollens</v>
      </c>
      <c r="C30" s="44">
        <f>'B) D RI'!Y32</f>
        <v>49779.199999999997</v>
      </c>
      <c r="D30" s="10">
        <f>'B) D RI'!Z32</f>
        <v>0</v>
      </c>
      <c r="E30" s="10">
        <f t="shared" si="0"/>
        <v>49779.199999999997</v>
      </c>
      <c r="F30" s="10">
        <f>'B) D RI'!U32</f>
        <v>11206.031081081082</v>
      </c>
      <c r="G30" s="295">
        <f t="shared" si="1"/>
        <v>4.4421793621509069</v>
      </c>
      <c r="H30" s="67">
        <f t="shared" si="2"/>
        <v>24889.599999999999</v>
      </c>
    </row>
    <row r="31" spans="1:8" x14ac:dyDescent="0.25">
      <c r="A31" s="53">
        <f>'A) Base RI'!A33</f>
        <v>5432</v>
      </c>
      <c r="B31" s="116" t="str">
        <f>'A) Base RI'!B33</f>
        <v>Montherod</v>
      </c>
      <c r="C31" s="44">
        <f>'B) D RI'!Y33</f>
        <v>110662.85</v>
      </c>
      <c r="D31" s="10">
        <f>'B) D RI'!Z33</f>
        <v>11765.7</v>
      </c>
      <c r="E31" s="10">
        <f t="shared" si="0"/>
        <v>122428.55</v>
      </c>
      <c r="F31" s="10">
        <f>'B) D RI'!U33</f>
        <v>17725.419230769232</v>
      </c>
      <c r="G31" s="295">
        <f t="shared" si="1"/>
        <v>6.9069480617687455</v>
      </c>
      <c r="H31" s="67">
        <f t="shared" si="2"/>
        <v>58861.135000000002</v>
      </c>
    </row>
    <row r="32" spans="1:8" x14ac:dyDescent="0.25">
      <c r="A32" s="53">
        <f>'A) Base RI'!A34</f>
        <v>5434</v>
      </c>
      <c r="B32" s="116" t="str">
        <f>'A) Base RI'!B34</f>
        <v>Saint-George</v>
      </c>
      <c r="C32" s="44">
        <f>'B) D RI'!Y34</f>
        <v>186889.65</v>
      </c>
      <c r="D32" s="10">
        <f>'B) D RI'!Z34</f>
        <v>35108.800000000003</v>
      </c>
      <c r="E32" s="10">
        <f t="shared" si="0"/>
        <v>221998.45</v>
      </c>
      <c r="F32" s="10">
        <f>'B) D RI'!U34</f>
        <v>35895.731094890507</v>
      </c>
      <c r="G32" s="295">
        <f t="shared" si="1"/>
        <v>6.1845362450801247</v>
      </c>
      <c r="H32" s="67">
        <f t="shared" si="2"/>
        <v>103977.465</v>
      </c>
    </row>
    <row r="33" spans="1:8" x14ac:dyDescent="0.25">
      <c r="A33" s="53">
        <f>'A) Base RI'!A35</f>
        <v>5435</v>
      </c>
      <c r="B33" s="116" t="str">
        <f>'A) Base RI'!B35</f>
        <v>Saint-Livres</v>
      </c>
      <c r="C33" s="44">
        <f>'B) D RI'!Y35</f>
        <v>18960.5</v>
      </c>
      <c r="D33" s="10">
        <f>'B) D RI'!Z35</f>
        <v>1994.1</v>
      </c>
      <c r="E33" s="10">
        <f t="shared" si="0"/>
        <v>20954.599999999999</v>
      </c>
      <c r="F33" s="10">
        <f>'B) D RI'!U35</f>
        <v>22398.12956521739</v>
      </c>
      <c r="G33" s="295">
        <f t="shared" si="1"/>
        <v>0.93555133427484571</v>
      </c>
      <c r="H33" s="67">
        <f t="shared" si="2"/>
        <v>10078.48</v>
      </c>
    </row>
    <row r="34" spans="1:8" x14ac:dyDescent="0.25">
      <c r="A34" s="53">
        <f>'A) Base RI'!A36</f>
        <v>5436</v>
      </c>
      <c r="B34" s="116" t="str">
        <f>'A) Base RI'!B36</f>
        <v>Saint-Oyens</v>
      </c>
      <c r="C34" s="44">
        <f>'B) D RI'!Y36</f>
        <v>64524.85</v>
      </c>
      <c r="D34" s="10">
        <f>'B) D RI'!Z36</f>
        <v>0</v>
      </c>
      <c r="E34" s="10">
        <f t="shared" si="0"/>
        <v>64524.85</v>
      </c>
      <c r="F34" s="10">
        <f>'B) D RI'!U36</f>
        <v>10474.604814814815</v>
      </c>
      <c r="G34" s="295">
        <f t="shared" si="1"/>
        <v>6.1601226147204065</v>
      </c>
      <c r="H34" s="67">
        <f t="shared" si="2"/>
        <v>32262.424999999999</v>
      </c>
    </row>
    <row r="35" spans="1:8" x14ac:dyDescent="0.25">
      <c r="A35" s="53">
        <f>'A) Base RI'!A37</f>
        <v>5437</v>
      </c>
      <c r="B35" s="116" t="str">
        <f>'A) Base RI'!B37</f>
        <v>Saubraz</v>
      </c>
      <c r="C35" s="44">
        <f>'B) D RI'!Y37</f>
        <v>102752.50000000001</v>
      </c>
      <c r="D35" s="10">
        <f>'B) D RI'!Z37</f>
        <v>965.2</v>
      </c>
      <c r="E35" s="10">
        <f t="shared" si="0"/>
        <v>103717.70000000001</v>
      </c>
      <c r="F35" s="10">
        <f>'B) D RI'!U37</f>
        <v>10138.793125</v>
      </c>
      <c r="G35" s="295">
        <f t="shared" si="1"/>
        <v>10.229787581349827</v>
      </c>
      <c r="H35" s="67">
        <f t="shared" si="2"/>
        <v>51665.810000000005</v>
      </c>
    </row>
    <row r="36" spans="1:8" x14ac:dyDescent="0.25">
      <c r="A36" s="53">
        <f>'A) Base RI'!A38</f>
        <v>5451</v>
      </c>
      <c r="B36" s="116" t="str">
        <f>'A) Base RI'!B38</f>
        <v>Avenches</v>
      </c>
      <c r="C36" s="44">
        <f>'B) D RI'!Y38</f>
        <v>835747.25</v>
      </c>
      <c r="D36" s="10">
        <f>'B) D RI'!Z38</f>
        <v>558913.6</v>
      </c>
      <c r="E36" s="10">
        <f t="shared" si="0"/>
        <v>1394660.85</v>
      </c>
      <c r="F36" s="10">
        <f>'B) D RI'!U38</f>
        <v>109207.82382352941</v>
      </c>
      <c r="G36" s="295">
        <f t="shared" si="1"/>
        <v>12.770704526203671</v>
      </c>
      <c r="H36" s="67">
        <f t="shared" si="2"/>
        <v>585547.70499999996</v>
      </c>
    </row>
    <row r="37" spans="1:8" x14ac:dyDescent="0.25">
      <c r="A37" s="53">
        <f>'A) Base RI'!A39</f>
        <v>5456</v>
      </c>
      <c r="B37" s="116" t="str">
        <f>'A) Base RI'!B39</f>
        <v>Cudrefin</v>
      </c>
      <c r="C37" s="44">
        <f>'B) D RI'!Y39</f>
        <v>171460.15</v>
      </c>
      <c r="D37" s="10">
        <f>'B) D RI'!Z39</f>
        <v>3697.85</v>
      </c>
      <c r="E37" s="10">
        <f t="shared" si="0"/>
        <v>175158</v>
      </c>
      <c r="F37" s="10">
        <f>'B) D RI'!U39</f>
        <v>51373.818644067804</v>
      </c>
      <c r="G37" s="295">
        <f t="shared" si="1"/>
        <v>3.4094798600342258</v>
      </c>
      <c r="H37" s="67">
        <f t="shared" si="2"/>
        <v>86839.43</v>
      </c>
    </row>
    <row r="38" spans="1:8" x14ac:dyDescent="0.25">
      <c r="A38" s="53">
        <f>'A) Base RI'!A40</f>
        <v>5458</v>
      </c>
      <c r="B38" s="116" t="str">
        <f>'A) Base RI'!B40</f>
        <v>Faoug</v>
      </c>
      <c r="C38" s="44">
        <f>'B) D RI'!Y40</f>
        <v>147759.45000000001</v>
      </c>
      <c r="D38" s="10">
        <f>'B) D RI'!Z40</f>
        <v>0</v>
      </c>
      <c r="E38" s="10">
        <f t="shared" si="0"/>
        <v>147759.45000000001</v>
      </c>
      <c r="F38" s="10">
        <f>'B) D RI'!U40</f>
        <v>31692.092968750003</v>
      </c>
      <c r="G38" s="295">
        <f t="shared" si="1"/>
        <v>4.6623443313036557</v>
      </c>
      <c r="H38" s="67">
        <f t="shared" si="2"/>
        <v>73879.725000000006</v>
      </c>
    </row>
    <row r="39" spans="1:8" x14ac:dyDescent="0.25">
      <c r="A39" s="53">
        <f>'A) Base RI'!A41</f>
        <v>5464</v>
      </c>
      <c r="B39" s="116" t="str">
        <f>'A) Base RI'!B41</f>
        <v>Vully-les-Lacs</v>
      </c>
      <c r="C39" s="44">
        <f>'B) D RI'!Y41</f>
        <v>1063462.8999999999</v>
      </c>
      <c r="D39" s="10">
        <f>'B) D RI'!Z41</f>
        <v>0</v>
      </c>
      <c r="E39" s="10">
        <f t="shared" si="0"/>
        <v>1063462.8999999999</v>
      </c>
      <c r="F39" s="10">
        <f>'B) D RI'!U41</f>
        <v>96310.385124378095</v>
      </c>
      <c r="G39" s="295">
        <f t="shared" si="1"/>
        <v>11.042037664231248</v>
      </c>
      <c r="H39" s="67">
        <f t="shared" si="2"/>
        <v>531731.44999999995</v>
      </c>
    </row>
    <row r="40" spans="1:8" x14ac:dyDescent="0.25">
      <c r="A40" s="53">
        <f>'A) Base RI'!A42</f>
        <v>5471</v>
      </c>
      <c r="B40" s="116" t="str">
        <f>'A) Base RI'!B42</f>
        <v>Bettens</v>
      </c>
      <c r="C40" s="44">
        <f>'B) D RI'!Y42</f>
        <v>55688.45</v>
      </c>
      <c r="D40" s="10">
        <f>'B) D RI'!Z42</f>
        <v>0</v>
      </c>
      <c r="E40" s="10">
        <f t="shared" si="0"/>
        <v>55688.45</v>
      </c>
      <c r="F40" s="10">
        <f>'B) D RI'!U42</f>
        <v>16449.086587301586</v>
      </c>
      <c r="G40" s="295">
        <f t="shared" si="1"/>
        <v>3.3855040949806008</v>
      </c>
      <c r="H40" s="67">
        <f t="shared" si="2"/>
        <v>27844.224999999999</v>
      </c>
    </row>
    <row r="41" spans="1:8" x14ac:dyDescent="0.25">
      <c r="A41" s="53">
        <f>'A) Base RI'!A43</f>
        <v>5472</v>
      </c>
      <c r="B41" s="116" t="str">
        <f>'A) Base RI'!B43</f>
        <v>Bournens</v>
      </c>
      <c r="C41" s="44">
        <f>'B) D RI'!Y43</f>
        <v>110473.45</v>
      </c>
      <c r="D41" s="10">
        <f>'B) D RI'!Z43</f>
        <v>0</v>
      </c>
      <c r="E41" s="10">
        <f t="shared" si="0"/>
        <v>110473.45</v>
      </c>
      <c r="F41" s="10">
        <f>'B) D RI'!U43</f>
        <v>14191.801124999998</v>
      </c>
      <c r="G41" s="295">
        <f t="shared" si="1"/>
        <v>7.784314973621786</v>
      </c>
      <c r="H41" s="67">
        <f t="shared" si="2"/>
        <v>55236.724999999999</v>
      </c>
    </row>
    <row r="42" spans="1:8" x14ac:dyDescent="0.25">
      <c r="A42" s="53">
        <f>'A) Base RI'!A44</f>
        <v>5473</v>
      </c>
      <c r="B42" s="116" t="str">
        <f>'A) Base RI'!B44</f>
        <v>Boussens</v>
      </c>
      <c r="C42" s="44">
        <f>'B) D RI'!Y44</f>
        <v>113864.15000000001</v>
      </c>
      <c r="D42" s="10">
        <f>'B) D RI'!Z44</f>
        <v>0</v>
      </c>
      <c r="E42" s="10">
        <f t="shared" si="0"/>
        <v>113864.15000000001</v>
      </c>
      <c r="F42" s="10">
        <f>'B) D RI'!U44</f>
        <v>32757.052898550723</v>
      </c>
      <c r="G42" s="295">
        <f t="shared" si="1"/>
        <v>3.4760193584154124</v>
      </c>
      <c r="H42" s="67">
        <f t="shared" si="2"/>
        <v>56932.075000000004</v>
      </c>
    </row>
    <row r="43" spans="1:8" x14ac:dyDescent="0.25">
      <c r="A43" s="53">
        <f>'A) Base RI'!A45</f>
        <v>5474</v>
      </c>
      <c r="B43" s="116" t="str">
        <f>'A) Base RI'!B45</f>
        <v>La Chaux (Cossonay)</v>
      </c>
      <c r="C43" s="44">
        <f>'B) D RI'!Y45</f>
        <v>102266.7</v>
      </c>
      <c r="D43" s="10">
        <f>'B) D RI'!Z45</f>
        <v>0</v>
      </c>
      <c r="E43" s="10">
        <f t="shared" si="0"/>
        <v>102266.7</v>
      </c>
      <c r="F43" s="10">
        <f>'B) D RI'!U45</f>
        <v>12924.858852813852</v>
      </c>
      <c r="G43" s="295">
        <f t="shared" si="1"/>
        <v>7.9124036219347698</v>
      </c>
      <c r="H43" s="67">
        <f t="shared" si="2"/>
        <v>51133.35</v>
      </c>
    </row>
    <row r="44" spans="1:8" x14ac:dyDescent="0.25">
      <c r="A44" s="53">
        <f>'A) Base RI'!A46</f>
        <v>5475</v>
      </c>
      <c r="B44" s="116" t="str">
        <f>'A) Base RI'!B46</f>
        <v>Chavannes-le-Veyron</v>
      </c>
      <c r="C44" s="44">
        <f>'B) D RI'!Y46</f>
        <v>68093.2</v>
      </c>
      <c r="D44" s="10">
        <f>'B) D RI'!Z46</f>
        <v>0</v>
      </c>
      <c r="E44" s="10">
        <f t="shared" si="0"/>
        <v>68093.2</v>
      </c>
      <c r="F44" s="10">
        <f>'B) D RI'!U46</f>
        <v>2672.7945454545452</v>
      </c>
      <c r="G44" s="295">
        <f t="shared" si="1"/>
        <v>25.476406376166043</v>
      </c>
      <c r="H44" s="67">
        <f t="shared" si="2"/>
        <v>34046.6</v>
      </c>
    </row>
    <row r="45" spans="1:8" x14ac:dyDescent="0.25">
      <c r="A45" s="53">
        <f>'A) Base RI'!A47</f>
        <v>5476</v>
      </c>
      <c r="B45" s="116" t="str">
        <f>'A) Base RI'!B47</f>
        <v>Chevilly</v>
      </c>
      <c r="C45" s="44">
        <f>'B) D RI'!Y47</f>
        <v>53410.899999999994</v>
      </c>
      <c r="D45" s="10">
        <f>'B) D RI'!Z47</f>
        <v>0</v>
      </c>
      <c r="E45" s="10">
        <f t="shared" si="0"/>
        <v>53410.899999999994</v>
      </c>
      <c r="F45" s="10">
        <f>'B) D RI'!U47</f>
        <v>10247.952162162162</v>
      </c>
      <c r="G45" s="295">
        <f t="shared" si="1"/>
        <v>5.211860784948386</v>
      </c>
      <c r="H45" s="67">
        <f t="shared" si="2"/>
        <v>26705.449999999997</v>
      </c>
    </row>
    <row r="46" spans="1:8" x14ac:dyDescent="0.25">
      <c r="A46" s="53">
        <f>'A) Base RI'!A48</f>
        <v>5477</v>
      </c>
      <c r="B46" s="116" t="str">
        <f>'A) Base RI'!B48</f>
        <v>Cossonay</v>
      </c>
      <c r="C46" s="44">
        <f>'B) D RI'!Y48</f>
        <v>614366.6</v>
      </c>
      <c r="D46" s="10">
        <f>'B) D RI'!Z48</f>
        <v>76748.2</v>
      </c>
      <c r="E46" s="10">
        <f t="shared" si="0"/>
        <v>691114.79999999993</v>
      </c>
      <c r="F46" s="10">
        <f>'B) D RI'!U48</f>
        <v>125937.08528138528</v>
      </c>
      <c r="G46" s="295">
        <f t="shared" si="1"/>
        <v>5.4877782700450775</v>
      </c>
      <c r="H46" s="67">
        <f t="shared" si="2"/>
        <v>330207.76</v>
      </c>
    </row>
    <row r="47" spans="1:8" x14ac:dyDescent="0.25">
      <c r="A47" s="53">
        <f>'A) Base RI'!A49</f>
        <v>5478</v>
      </c>
      <c r="B47" s="116" t="str">
        <f>'A) Base RI'!B49</f>
        <v>Cottens</v>
      </c>
      <c r="C47" s="44">
        <f>'B) D RI'!Y49</f>
        <v>20179.400000000001</v>
      </c>
      <c r="D47" s="10">
        <f>'B) D RI'!Z49</f>
        <v>0</v>
      </c>
      <c r="E47" s="10">
        <f t="shared" si="0"/>
        <v>20179.400000000001</v>
      </c>
      <c r="F47" s="10">
        <f>'B) D RI'!U49</f>
        <v>14465.317702702703</v>
      </c>
      <c r="G47" s="295">
        <f t="shared" si="1"/>
        <v>1.3950194814061829</v>
      </c>
      <c r="H47" s="67">
        <f t="shared" si="2"/>
        <v>10089.700000000001</v>
      </c>
    </row>
    <row r="48" spans="1:8" x14ac:dyDescent="0.25">
      <c r="A48" s="53">
        <f>'A) Base RI'!A50</f>
        <v>5479</v>
      </c>
      <c r="B48" s="116" t="str">
        <f>'A) Base RI'!B50</f>
        <v>Cuarnens</v>
      </c>
      <c r="C48" s="44">
        <f>'B) D RI'!Y50</f>
        <v>96903.200000000012</v>
      </c>
      <c r="D48" s="10">
        <f>'B) D RI'!Z50</f>
        <v>8132.25</v>
      </c>
      <c r="E48" s="10">
        <f t="shared" si="0"/>
        <v>105035.45000000001</v>
      </c>
      <c r="F48" s="10">
        <f>'B) D RI'!U50</f>
        <v>11562.819350649352</v>
      </c>
      <c r="G48" s="295">
        <f t="shared" si="1"/>
        <v>9.0838961342158626</v>
      </c>
      <c r="H48" s="67">
        <f t="shared" si="2"/>
        <v>50891.275000000009</v>
      </c>
    </row>
    <row r="49" spans="1:8" x14ac:dyDescent="0.25">
      <c r="A49" s="53">
        <f>'A) Base RI'!A51</f>
        <v>5480</v>
      </c>
      <c r="B49" s="116" t="str">
        <f>'A) Base RI'!B51</f>
        <v>Daillens</v>
      </c>
      <c r="C49" s="44">
        <f>'B) D RI'!Y51</f>
        <v>110626.2</v>
      </c>
      <c r="D49" s="10">
        <f>'B) D RI'!Z51</f>
        <v>137463</v>
      </c>
      <c r="E49" s="10">
        <f t="shared" si="0"/>
        <v>248089.2</v>
      </c>
      <c r="F49" s="10">
        <f>'B) D RI'!U51</f>
        <v>34852.093380281687</v>
      </c>
      <c r="G49" s="295">
        <f t="shared" si="1"/>
        <v>7.1183442926375768</v>
      </c>
      <c r="H49" s="67">
        <f t="shared" si="2"/>
        <v>96552</v>
      </c>
    </row>
    <row r="50" spans="1:8" x14ac:dyDescent="0.25">
      <c r="A50" s="53">
        <f>'A) Base RI'!A52</f>
        <v>5481</v>
      </c>
      <c r="B50" s="116" t="str">
        <f>'A) Base RI'!B52</f>
        <v>Dizy</v>
      </c>
      <c r="C50" s="44">
        <f>'B) D RI'!Y52</f>
        <v>23706.65</v>
      </c>
      <c r="D50" s="10">
        <f>'B) D RI'!Z52</f>
        <v>0</v>
      </c>
      <c r="E50" s="10">
        <f t="shared" si="0"/>
        <v>23706.65</v>
      </c>
      <c r="F50" s="10">
        <f>'B) D RI'!U52</f>
        <v>8900.2526582278479</v>
      </c>
      <c r="G50" s="295">
        <f t="shared" si="1"/>
        <v>2.6635929237451887</v>
      </c>
      <c r="H50" s="67">
        <f t="shared" si="2"/>
        <v>11853.325000000001</v>
      </c>
    </row>
    <row r="51" spans="1:8" x14ac:dyDescent="0.25">
      <c r="A51" s="53">
        <f>'A) Base RI'!A53</f>
        <v>5482</v>
      </c>
      <c r="B51" s="116" t="str">
        <f>'A) Base RI'!B53</f>
        <v>Eclépens</v>
      </c>
      <c r="C51" s="44">
        <f>'B) D RI'!Y53</f>
        <v>279831.65000000002</v>
      </c>
      <c r="D51" s="10">
        <f>'B) D RI'!Z53</f>
        <v>177330.05</v>
      </c>
      <c r="E51" s="10">
        <f t="shared" si="0"/>
        <v>457161.7</v>
      </c>
      <c r="F51" s="10">
        <f>'B) D RI'!U53</f>
        <v>26792.007391304349</v>
      </c>
      <c r="G51" s="295">
        <f t="shared" si="1"/>
        <v>17.063361222734546</v>
      </c>
      <c r="H51" s="67">
        <f t="shared" si="2"/>
        <v>193114.84</v>
      </c>
    </row>
    <row r="52" spans="1:8" x14ac:dyDescent="0.25">
      <c r="A52" s="53">
        <f>'A) Base RI'!A54</f>
        <v>5483</v>
      </c>
      <c r="B52" s="116" t="str">
        <f>'A) Base RI'!B54</f>
        <v>Ferreyres</v>
      </c>
      <c r="C52" s="44">
        <f>'B) D RI'!Y54</f>
        <v>9735</v>
      </c>
      <c r="D52" s="10">
        <f>'B) D RI'!Z54</f>
        <v>0</v>
      </c>
      <c r="E52" s="10">
        <f t="shared" si="0"/>
        <v>9735</v>
      </c>
      <c r="F52" s="10">
        <f>'B) D RI'!U54</f>
        <v>9773.8555263157887</v>
      </c>
      <c r="G52" s="295">
        <f t="shared" si="1"/>
        <v>0.99602454464247281</v>
      </c>
      <c r="H52" s="67">
        <f t="shared" si="2"/>
        <v>4867.5</v>
      </c>
    </row>
    <row r="53" spans="1:8" x14ac:dyDescent="0.25">
      <c r="A53" s="53">
        <f>'A) Base RI'!A55</f>
        <v>5484</v>
      </c>
      <c r="B53" s="116" t="str">
        <f>'A) Base RI'!B55</f>
        <v>Gollion</v>
      </c>
      <c r="C53" s="44">
        <f>'B) D RI'!Y55</f>
        <v>203292.4</v>
      </c>
      <c r="D53" s="10">
        <f>'B) D RI'!Z55</f>
        <v>29146.95</v>
      </c>
      <c r="E53" s="10">
        <f t="shared" si="0"/>
        <v>232439.35</v>
      </c>
      <c r="F53" s="10">
        <f>'B) D RI'!U55</f>
        <v>29063.721351351356</v>
      </c>
      <c r="G53" s="295">
        <f t="shared" si="1"/>
        <v>7.9975770201634013</v>
      </c>
      <c r="H53" s="67">
        <f t="shared" si="2"/>
        <v>110390.285</v>
      </c>
    </row>
    <row r="54" spans="1:8" x14ac:dyDescent="0.25">
      <c r="A54" s="53">
        <f>'A) Base RI'!A56</f>
        <v>5485</v>
      </c>
      <c r="B54" s="116" t="str">
        <f>'A) Base RI'!B56</f>
        <v>Grancy</v>
      </c>
      <c r="C54" s="44">
        <f>'B) D RI'!Y56</f>
        <v>59576.4</v>
      </c>
      <c r="D54" s="10">
        <f>'B) D RI'!Z56</f>
        <v>7760.75</v>
      </c>
      <c r="E54" s="10">
        <f t="shared" si="0"/>
        <v>67337.149999999994</v>
      </c>
      <c r="F54" s="10">
        <f>'B) D RI'!U56</f>
        <v>15073.947999999999</v>
      </c>
      <c r="G54" s="295">
        <f t="shared" si="1"/>
        <v>4.4671210223094837</v>
      </c>
      <c r="H54" s="67">
        <f t="shared" si="2"/>
        <v>32116.424999999999</v>
      </c>
    </row>
    <row r="55" spans="1:8" x14ac:dyDescent="0.25">
      <c r="A55" s="53">
        <f>'A) Base RI'!A57</f>
        <v>5486</v>
      </c>
      <c r="B55" s="116" t="str">
        <f>'A) Base RI'!B57</f>
        <v>L'Isle</v>
      </c>
      <c r="C55" s="44">
        <f>'B) D RI'!Y57</f>
        <v>162969.75</v>
      </c>
      <c r="D55" s="10">
        <f>'B) D RI'!Z57</f>
        <v>121802.3</v>
      </c>
      <c r="E55" s="10">
        <f t="shared" si="0"/>
        <v>284772.05</v>
      </c>
      <c r="F55" s="10">
        <f>'B) D RI'!U57</f>
        <v>29834.586052631581</v>
      </c>
      <c r="G55" s="295">
        <f t="shared" si="1"/>
        <v>9.5450310420808222</v>
      </c>
      <c r="H55" s="67">
        <f t="shared" si="2"/>
        <v>118025.565</v>
      </c>
    </row>
    <row r="56" spans="1:8" x14ac:dyDescent="0.25">
      <c r="A56" s="53">
        <f>'A) Base RI'!A58</f>
        <v>5487</v>
      </c>
      <c r="B56" s="116" t="str">
        <f>'A) Base RI'!B58</f>
        <v>Lussery-Villars</v>
      </c>
      <c r="C56" s="44">
        <f>'B) D RI'!Y58</f>
        <v>38455.85</v>
      </c>
      <c r="D56" s="10">
        <f>'B) D RI'!Z58</f>
        <v>3281.85</v>
      </c>
      <c r="E56" s="10">
        <f t="shared" si="0"/>
        <v>41737.699999999997</v>
      </c>
      <c r="F56" s="10">
        <f>'B) D RI'!U58</f>
        <v>13143.798970588234</v>
      </c>
      <c r="G56" s="295">
        <f t="shared" si="1"/>
        <v>3.1754670086933077</v>
      </c>
      <c r="H56" s="67">
        <f t="shared" si="2"/>
        <v>20212.48</v>
      </c>
    </row>
    <row r="57" spans="1:8" x14ac:dyDescent="0.25">
      <c r="A57" s="53">
        <f>'A) Base RI'!A59</f>
        <v>5488</v>
      </c>
      <c r="B57" s="116" t="str">
        <f>'A) Base RI'!B59</f>
        <v>Mauraz</v>
      </c>
      <c r="C57" s="44">
        <f>'B) D RI'!Y59</f>
        <v>0</v>
      </c>
      <c r="D57" s="10">
        <f>'B) D RI'!Z59</f>
        <v>0</v>
      </c>
      <c r="E57" s="10">
        <f t="shared" si="0"/>
        <v>0</v>
      </c>
      <c r="F57" s="10">
        <f>'B) D RI'!U59</f>
        <v>1604.8968918918922</v>
      </c>
      <c r="G57" s="295">
        <f t="shared" si="1"/>
        <v>0</v>
      </c>
      <c r="H57" s="67">
        <f t="shared" si="2"/>
        <v>0</v>
      </c>
    </row>
    <row r="58" spans="1:8" x14ac:dyDescent="0.25">
      <c r="A58" s="53">
        <f>'A) Base RI'!A60</f>
        <v>5489</v>
      </c>
      <c r="B58" s="116" t="str">
        <f>'A) Base RI'!B60</f>
        <v>Mex</v>
      </c>
      <c r="C58" s="44">
        <f>'B) D RI'!Y60</f>
        <v>124660.45</v>
      </c>
      <c r="D58" s="10">
        <f>'B) D RI'!Z60</f>
        <v>206830.25</v>
      </c>
      <c r="E58" s="10">
        <f t="shared" si="0"/>
        <v>331490.7</v>
      </c>
      <c r="F58" s="10">
        <f>'B) D RI'!U60</f>
        <v>46901.97049180328</v>
      </c>
      <c r="G58" s="295">
        <f t="shared" si="1"/>
        <v>7.067735033817657</v>
      </c>
      <c r="H58" s="67">
        <f t="shared" si="2"/>
        <v>124379.29999999999</v>
      </c>
    </row>
    <row r="59" spans="1:8" x14ac:dyDescent="0.25">
      <c r="A59" s="53">
        <f>'A) Base RI'!A61</f>
        <v>5490</v>
      </c>
      <c r="B59" s="116" t="str">
        <f>'A) Base RI'!B61</f>
        <v>Moiry</v>
      </c>
      <c r="C59" s="44">
        <f>'B) D RI'!Y61</f>
        <v>33261.599999999999</v>
      </c>
      <c r="D59" s="10">
        <f>'B) D RI'!Z61</f>
        <v>0</v>
      </c>
      <c r="E59" s="10">
        <f t="shared" si="0"/>
        <v>33261.599999999999</v>
      </c>
      <c r="F59" s="10">
        <f>'B) D RI'!U61</f>
        <v>7445.9272839506175</v>
      </c>
      <c r="G59" s="295">
        <f t="shared" si="1"/>
        <v>4.4670863321072147</v>
      </c>
      <c r="H59" s="67">
        <f t="shared" si="2"/>
        <v>16630.8</v>
      </c>
    </row>
    <row r="60" spans="1:8" x14ac:dyDescent="0.25">
      <c r="A60" s="53">
        <f>'A) Base RI'!A62</f>
        <v>5491</v>
      </c>
      <c r="B60" s="116" t="str">
        <f>'A) Base RI'!B62</f>
        <v>Mont-la-Ville</v>
      </c>
      <c r="C60" s="44">
        <f>'B) D RI'!Y62</f>
        <v>115738.8</v>
      </c>
      <c r="D60" s="10">
        <f>'B) D RI'!Z62</f>
        <v>875.85</v>
      </c>
      <c r="E60" s="10">
        <f t="shared" si="0"/>
        <v>116614.65000000001</v>
      </c>
      <c r="F60" s="10">
        <f>'B) D RI'!U62</f>
        <v>8756.4323684210522</v>
      </c>
      <c r="G60" s="295">
        <f t="shared" si="1"/>
        <v>13.317598434329916</v>
      </c>
      <c r="H60" s="67">
        <f t="shared" si="2"/>
        <v>58132.154999999999</v>
      </c>
    </row>
    <row r="61" spans="1:8" x14ac:dyDescent="0.25">
      <c r="A61" s="53">
        <f>'A) Base RI'!A63</f>
        <v>5492</v>
      </c>
      <c r="B61" s="116" t="str">
        <f>'A) Base RI'!B63</f>
        <v>Montricher</v>
      </c>
      <c r="C61" s="44">
        <f>'B) D RI'!Y63</f>
        <v>124585.75</v>
      </c>
      <c r="D61" s="10">
        <f>'B) D RI'!Z63</f>
        <v>1917</v>
      </c>
      <c r="E61" s="10">
        <f t="shared" si="0"/>
        <v>126502.75</v>
      </c>
      <c r="F61" s="10">
        <f>'B) D RI'!U63</f>
        <v>201844.58625000002</v>
      </c>
      <c r="G61" s="295">
        <f t="shared" ref="G61:G115" si="3">E61/F61</f>
        <v>0.62673343065697407</v>
      </c>
      <c r="H61" s="67">
        <f t="shared" si="2"/>
        <v>62867.974999999999</v>
      </c>
    </row>
    <row r="62" spans="1:8" x14ac:dyDescent="0.25">
      <c r="A62" s="53">
        <f>'A) Base RI'!A64</f>
        <v>5493</v>
      </c>
      <c r="B62" s="116" t="str">
        <f>'A) Base RI'!B64</f>
        <v>Orny</v>
      </c>
      <c r="C62" s="44">
        <f>'B) D RI'!Y64</f>
        <v>224152.2</v>
      </c>
      <c r="D62" s="10">
        <f>'B) D RI'!Z64</f>
        <v>52227.15</v>
      </c>
      <c r="E62" s="10">
        <f t="shared" si="0"/>
        <v>276379.35000000003</v>
      </c>
      <c r="F62" s="10">
        <f>'B) D RI'!U64</f>
        <v>9079.112581664911</v>
      </c>
      <c r="G62" s="295">
        <f t="shared" si="3"/>
        <v>30.441229527007152</v>
      </c>
      <c r="H62" s="67">
        <f t="shared" ref="H62:H116" si="4">(C62*$C$4)+(D62*$D$4)</f>
        <v>127744.24500000001</v>
      </c>
    </row>
    <row r="63" spans="1:8" x14ac:dyDescent="0.25">
      <c r="A63" s="53">
        <f>'A) Base RI'!A65</f>
        <v>5494</v>
      </c>
      <c r="B63" s="116" t="str">
        <f>'A) Base RI'!B65</f>
        <v>Pampigny</v>
      </c>
      <c r="C63" s="44">
        <f>'B) D RI'!Y65</f>
        <v>216399.75</v>
      </c>
      <c r="D63" s="10">
        <f>'B) D RI'!Z65</f>
        <v>21414.7</v>
      </c>
      <c r="E63" s="10">
        <f t="shared" si="0"/>
        <v>237814.45</v>
      </c>
      <c r="F63" s="10">
        <f>'B) D RI'!U65</f>
        <v>36797.992425396827</v>
      </c>
      <c r="G63" s="295">
        <f t="shared" si="3"/>
        <v>6.4627017488015976</v>
      </c>
      <c r="H63" s="67">
        <f t="shared" si="4"/>
        <v>114624.285</v>
      </c>
    </row>
    <row r="64" spans="1:8" x14ac:dyDescent="0.25">
      <c r="A64" s="53">
        <f>'A) Base RI'!A66</f>
        <v>5495</v>
      </c>
      <c r="B64" s="116" t="str">
        <f>'A) Base RI'!B66</f>
        <v>Penthalaz</v>
      </c>
      <c r="C64" s="44">
        <f>'B) D RI'!Y66</f>
        <v>230819.65000000002</v>
      </c>
      <c r="D64" s="10">
        <f>'B) D RI'!Z66</f>
        <v>168264.7</v>
      </c>
      <c r="E64" s="10">
        <f t="shared" si="0"/>
        <v>399084.35000000003</v>
      </c>
      <c r="F64" s="10">
        <f>'B) D RI'!U66</f>
        <v>99436.02810810809</v>
      </c>
      <c r="G64" s="295">
        <f t="shared" si="3"/>
        <v>4.013478390006795</v>
      </c>
      <c r="H64" s="67">
        <f t="shared" si="4"/>
        <v>165889.23500000002</v>
      </c>
    </row>
    <row r="65" spans="1:8" x14ac:dyDescent="0.25">
      <c r="A65" s="53">
        <f>'A) Base RI'!A67</f>
        <v>5496</v>
      </c>
      <c r="B65" s="116" t="str">
        <f>'A) Base RI'!B67</f>
        <v>Penthaz</v>
      </c>
      <c r="C65" s="44">
        <f>'B) D RI'!Y67</f>
        <v>109705.05</v>
      </c>
      <c r="D65" s="10">
        <f>'B) D RI'!Z67</f>
        <v>84768.55</v>
      </c>
      <c r="E65" s="10">
        <f t="shared" si="0"/>
        <v>194473.60000000001</v>
      </c>
      <c r="F65" s="10">
        <f>'B) D RI'!U67</f>
        <v>52905.64732394366</v>
      </c>
      <c r="G65" s="295">
        <f t="shared" si="3"/>
        <v>3.6758571123651396</v>
      </c>
      <c r="H65" s="67">
        <f t="shared" si="4"/>
        <v>80283.09</v>
      </c>
    </row>
    <row r="66" spans="1:8" x14ac:dyDescent="0.25">
      <c r="A66" s="53">
        <f>'A) Base RI'!A68</f>
        <v>5497</v>
      </c>
      <c r="B66" s="116" t="str">
        <f>'A) Base RI'!B68</f>
        <v>Pompaples</v>
      </c>
      <c r="C66" s="44">
        <f>'B) D RI'!Y68</f>
        <v>193091.40000000002</v>
      </c>
      <c r="D66" s="10">
        <f>'B) D RI'!Z68</f>
        <v>245491.55</v>
      </c>
      <c r="E66" s="10">
        <f t="shared" si="0"/>
        <v>438582.95</v>
      </c>
      <c r="F66" s="10">
        <f>'B) D RI'!U68</f>
        <v>22272.608181818188</v>
      </c>
      <c r="G66" s="295">
        <f t="shared" si="3"/>
        <v>19.691584677452759</v>
      </c>
      <c r="H66" s="67">
        <f t="shared" si="4"/>
        <v>170193.16500000001</v>
      </c>
    </row>
    <row r="67" spans="1:8" x14ac:dyDescent="0.25">
      <c r="A67" s="53">
        <f>'A) Base RI'!A69</f>
        <v>5498</v>
      </c>
      <c r="B67" s="116" t="str">
        <f>'A) Base RI'!B69</f>
        <v>La Sarraz</v>
      </c>
      <c r="C67" s="44">
        <f>'B) D RI'!Y69</f>
        <v>301253.25</v>
      </c>
      <c r="D67" s="10">
        <f>'B) D RI'!Z69</f>
        <v>77197.350000000006</v>
      </c>
      <c r="E67" s="10">
        <f t="shared" si="0"/>
        <v>378450.6</v>
      </c>
      <c r="F67" s="10">
        <f>'B) D RI'!U69</f>
        <v>73804.61909090908</v>
      </c>
      <c r="G67" s="295">
        <f t="shared" si="3"/>
        <v>5.1277359691246724</v>
      </c>
      <c r="H67" s="67">
        <f t="shared" si="4"/>
        <v>173785.83000000002</v>
      </c>
    </row>
    <row r="68" spans="1:8" x14ac:dyDescent="0.25">
      <c r="A68" s="53">
        <f>'A) Base RI'!A70</f>
        <v>5499</v>
      </c>
      <c r="B68" s="116" t="str">
        <f>'A) Base RI'!B70</f>
        <v>Senarclens</v>
      </c>
      <c r="C68" s="44">
        <f>'B) D RI'!Y70</f>
        <v>109428</v>
      </c>
      <c r="D68" s="10">
        <f>'B) D RI'!Z70</f>
        <v>12062.9</v>
      </c>
      <c r="E68" s="10">
        <f t="shared" si="0"/>
        <v>121490.9</v>
      </c>
      <c r="F68" s="10">
        <f>'B) D RI'!U70</f>
        <v>18585.936788321167</v>
      </c>
      <c r="G68" s="295">
        <f t="shared" si="3"/>
        <v>6.5367111372261393</v>
      </c>
      <c r="H68" s="67">
        <f t="shared" si="4"/>
        <v>58332.87</v>
      </c>
    </row>
    <row r="69" spans="1:8" x14ac:dyDescent="0.25">
      <c r="A69" s="53">
        <f>'A) Base RI'!A71</f>
        <v>5500</v>
      </c>
      <c r="B69" s="116" t="str">
        <f>'A) Base RI'!B71</f>
        <v>Sévery</v>
      </c>
      <c r="C69" s="44">
        <f>'B) D RI'!Y71</f>
        <v>11495</v>
      </c>
      <c r="D69" s="10">
        <f>'B) D RI'!Z71</f>
        <v>4855.1499999999996</v>
      </c>
      <c r="E69" s="10">
        <f t="shared" ref="E69:E132" si="5">C69+D69</f>
        <v>16350.15</v>
      </c>
      <c r="F69" s="10">
        <f>'B) D RI'!U71</f>
        <v>8028.7526973684207</v>
      </c>
      <c r="G69" s="295">
        <f t="shared" si="3"/>
        <v>2.0364495727162053</v>
      </c>
      <c r="H69" s="67">
        <f t="shared" si="4"/>
        <v>7204.0450000000001</v>
      </c>
    </row>
    <row r="70" spans="1:8" x14ac:dyDescent="0.25">
      <c r="A70" s="53">
        <f>'A) Base RI'!A72</f>
        <v>5501</v>
      </c>
      <c r="B70" s="116" t="str">
        <f>'A) Base RI'!B72</f>
        <v>Sullens</v>
      </c>
      <c r="C70" s="44">
        <f>'B) D RI'!Y72</f>
        <v>344660.25</v>
      </c>
      <c r="D70" s="10">
        <f>'B) D RI'!Z72</f>
        <v>0</v>
      </c>
      <c r="E70" s="10">
        <f t="shared" si="5"/>
        <v>344660.25</v>
      </c>
      <c r="F70" s="10">
        <f>'B) D RI'!U72</f>
        <v>35737.650142857143</v>
      </c>
      <c r="G70" s="295">
        <f t="shared" si="3"/>
        <v>9.6441777403455546</v>
      </c>
      <c r="H70" s="67">
        <f t="shared" si="4"/>
        <v>172330.125</v>
      </c>
    </row>
    <row r="71" spans="1:8" x14ac:dyDescent="0.25">
      <c r="A71" s="53">
        <f>'A) Base RI'!A73</f>
        <v>5503</v>
      </c>
      <c r="B71" s="116" t="str">
        <f>'A) Base RI'!B73</f>
        <v>Vufflens-la-Ville</v>
      </c>
      <c r="C71" s="44">
        <f>'B) D RI'!Y73</f>
        <v>565358.70000000007</v>
      </c>
      <c r="D71" s="10">
        <f>'B) D RI'!Z73</f>
        <v>107223.5</v>
      </c>
      <c r="E71" s="10">
        <f t="shared" si="5"/>
        <v>672582.20000000007</v>
      </c>
      <c r="F71" s="10">
        <f>'B) D RI'!U73</f>
        <v>64927.66542288557</v>
      </c>
      <c r="G71" s="295">
        <f t="shared" si="3"/>
        <v>10.358946307700288</v>
      </c>
      <c r="H71" s="67">
        <f t="shared" si="4"/>
        <v>314846.40000000002</v>
      </c>
    </row>
    <row r="72" spans="1:8" x14ac:dyDescent="0.25">
      <c r="A72" s="53">
        <f>'A) Base RI'!A74</f>
        <v>5511</v>
      </c>
      <c r="B72" s="116" t="str">
        <f>'A) Base RI'!B74</f>
        <v>Assens</v>
      </c>
      <c r="C72" s="44">
        <f>'B) D RI'!Y74</f>
        <v>186410.15</v>
      </c>
      <c r="D72" s="10">
        <f>'B) D RI'!Z74</f>
        <v>9371</v>
      </c>
      <c r="E72" s="10">
        <f t="shared" si="5"/>
        <v>195781.15</v>
      </c>
      <c r="F72" s="10">
        <f>'B) D RI'!U74</f>
        <v>39993.346428571429</v>
      </c>
      <c r="G72" s="295">
        <f t="shared" si="3"/>
        <v>4.8953430378642446</v>
      </c>
      <c r="H72" s="67">
        <f t="shared" si="4"/>
        <v>96016.375</v>
      </c>
    </row>
    <row r="73" spans="1:8" x14ac:dyDescent="0.25">
      <c r="A73" s="53">
        <f>'A) Base RI'!A75</f>
        <v>5512</v>
      </c>
      <c r="B73" s="116" t="str">
        <f>'A) Base RI'!B75</f>
        <v>Bercher</v>
      </c>
      <c r="C73" s="44">
        <f>'B) D RI'!Y75</f>
        <v>295342.3</v>
      </c>
      <c r="D73" s="10">
        <f>'B) D RI'!Z75</f>
        <v>25548.9</v>
      </c>
      <c r="E73" s="10">
        <f t="shared" si="5"/>
        <v>320891.2</v>
      </c>
      <c r="F73" s="10">
        <f>'B) D RI'!U75</f>
        <v>35096.262278481016</v>
      </c>
      <c r="G73" s="295">
        <f t="shared" si="3"/>
        <v>9.1431730665163116</v>
      </c>
      <c r="H73" s="67">
        <f t="shared" si="4"/>
        <v>155335.82</v>
      </c>
    </row>
    <row r="74" spans="1:8" x14ac:dyDescent="0.25">
      <c r="A74" s="53">
        <f>'A) Base RI'!A76</f>
        <v>5513</v>
      </c>
      <c r="B74" s="116" t="str">
        <f>'A) Base RI'!B76</f>
        <v>Bioley-Orjulaz</v>
      </c>
      <c r="C74" s="44">
        <f>'B) D RI'!Y76</f>
        <v>40181.899999999994</v>
      </c>
      <c r="D74" s="10">
        <f>'B) D RI'!Z76</f>
        <v>94517.85</v>
      </c>
      <c r="E74" s="10">
        <f t="shared" si="5"/>
        <v>134699.75</v>
      </c>
      <c r="F74" s="10">
        <f>'B) D RI'!U76</f>
        <v>22441.228030303031</v>
      </c>
      <c r="G74" s="295">
        <f t="shared" si="3"/>
        <v>6.0023341778850554</v>
      </c>
      <c r="H74" s="67">
        <f t="shared" si="4"/>
        <v>48446.304999999993</v>
      </c>
    </row>
    <row r="75" spans="1:8" x14ac:dyDescent="0.25">
      <c r="A75" s="53">
        <f>'A) Base RI'!A77</f>
        <v>5514</v>
      </c>
      <c r="B75" s="116" t="str">
        <f>'A) Base RI'!B77</f>
        <v>Bottens</v>
      </c>
      <c r="C75" s="44">
        <f>'B) D RI'!Y77</f>
        <v>253475.30000000002</v>
      </c>
      <c r="D75" s="10">
        <f>'B) D RI'!Z77</f>
        <v>10495.45</v>
      </c>
      <c r="E75" s="10">
        <f t="shared" si="5"/>
        <v>263970.75</v>
      </c>
      <c r="F75" s="10">
        <f>'B) D RI'!U77</f>
        <v>40579.944927536235</v>
      </c>
      <c r="G75" s="295">
        <f t="shared" si="3"/>
        <v>6.5049558463268884</v>
      </c>
      <c r="H75" s="67">
        <f t="shared" si="4"/>
        <v>129886.285</v>
      </c>
    </row>
    <row r="76" spans="1:8" x14ac:dyDescent="0.25">
      <c r="A76" s="53">
        <f>'A) Base RI'!A78</f>
        <v>5515</v>
      </c>
      <c r="B76" s="116" t="str">
        <f>'A) Base RI'!B78</f>
        <v>Bretigny-sur-Morrens</v>
      </c>
      <c r="C76" s="44">
        <f>'B) D RI'!Y78</f>
        <v>73644.049999999988</v>
      </c>
      <c r="D76" s="10">
        <f>'B) D RI'!Z78</f>
        <v>15317</v>
      </c>
      <c r="E76" s="10">
        <f t="shared" si="5"/>
        <v>88961.049999999988</v>
      </c>
      <c r="F76" s="10">
        <f>'B) D RI'!U78</f>
        <v>25654.980410958906</v>
      </c>
      <c r="G76" s="295">
        <f t="shared" si="3"/>
        <v>3.4675937605471314</v>
      </c>
      <c r="H76" s="67">
        <f t="shared" si="4"/>
        <v>41417.124999999993</v>
      </c>
    </row>
    <row r="77" spans="1:8" x14ac:dyDescent="0.25">
      <c r="A77" s="53">
        <f>'A) Base RI'!A79</f>
        <v>5516</v>
      </c>
      <c r="B77" s="116" t="str">
        <f>'A) Base RI'!B79</f>
        <v>Cugy</v>
      </c>
      <c r="C77" s="44">
        <f>'B) D RI'!Y79</f>
        <v>409342.15</v>
      </c>
      <c r="D77" s="10">
        <f>'B) D RI'!Z79</f>
        <v>113660.65</v>
      </c>
      <c r="E77" s="10">
        <f t="shared" si="5"/>
        <v>523002.80000000005</v>
      </c>
      <c r="F77" s="10">
        <f>'B) D RI'!U79</f>
        <v>107712.55485714282</v>
      </c>
      <c r="G77" s="295">
        <f t="shared" si="3"/>
        <v>4.8555416840093431</v>
      </c>
      <c r="H77" s="67">
        <f t="shared" si="4"/>
        <v>238769.27000000002</v>
      </c>
    </row>
    <row r="78" spans="1:8" x14ac:dyDescent="0.25">
      <c r="A78" s="53">
        <f>'A) Base RI'!A80</f>
        <v>5518</v>
      </c>
      <c r="B78" s="116" t="str">
        <f>'A) Base RI'!B80</f>
        <v>Echallens</v>
      </c>
      <c r="C78" s="44">
        <f>'B) D RI'!Y80</f>
        <v>1273515.8500000001</v>
      </c>
      <c r="D78" s="10">
        <f>'B) D RI'!Z80</f>
        <v>194399.35</v>
      </c>
      <c r="E78" s="10">
        <f t="shared" si="5"/>
        <v>1467915.2000000002</v>
      </c>
      <c r="F78" s="10">
        <f>'B) D RI'!U80</f>
        <v>187267.45324324328</v>
      </c>
      <c r="G78" s="295">
        <f t="shared" si="3"/>
        <v>7.8386028889564319</v>
      </c>
      <c r="H78" s="67">
        <f t="shared" si="4"/>
        <v>695077.7300000001</v>
      </c>
    </row>
    <row r="79" spans="1:8" x14ac:dyDescent="0.25">
      <c r="A79" s="53">
        <f>'A) Base RI'!A81</f>
        <v>5520</v>
      </c>
      <c r="B79" s="116" t="str">
        <f>'A) Base RI'!B81</f>
        <v>Essertines-sur-Yverdon</v>
      </c>
      <c r="C79" s="44">
        <f>'B) D RI'!Y81</f>
        <v>115422.1</v>
      </c>
      <c r="D79" s="10">
        <f>'B) D RI'!Z81</f>
        <v>9444.85</v>
      </c>
      <c r="E79" s="10">
        <f t="shared" si="5"/>
        <v>124866.95000000001</v>
      </c>
      <c r="F79" s="10">
        <f>'B) D RI'!U81</f>
        <v>28096.496575342466</v>
      </c>
      <c r="G79" s="295">
        <f t="shared" si="3"/>
        <v>4.4442177929608304</v>
      </c>
      <c r="H79" s="67">
        <f t="shared" si="4"/>
        <v>60544.505000000005</v>
      </c>
    </row>
    <row r="80" spans="1:8" x14ac:dyDescent="0.25">
      <c r="A80" s="53">
        <f>'A) Base RI'!A82</f>
        <v>5521</v>
      </c>
      <c r="B80" s="116" t="str">
        <f>'A) Base RI'!B82</f>
        <v>Etagnières</v>
      </c>
      <c r="C80" s="44">
        <f>'B) D RI'!Y82</f>
        <v>83605</v>
      </c>
      <c r="D80" s="10">
        <f>'B) D RI'!Z82</f>
        <v>43025.9</v>
      </c>
      <c r="E80" s="10">
        <f t="shared" si="5"/>
        <v>126630.9</v>
      </c>
      <c r="F80" s="10">
        <f>'B) D RI'!U82</f>
        <v>40658.047260273968</v>
      </c>
      <c r="G80" s="295">
        <f t="shared" si="3"/>
        <v>3.1145347239469641</v>
      </c>
      <c r="H80" s="67">
        <f t="shared" si="4"/>
        <v>54710.270000000004</v>
      </c>
    </row>
    <row r="81" spans="1:8" x14ac:dyDescent="0.25">
      <c r="A81" s="53">
        <f>'A) Base RI'!A83</f>
        <v>5522</v>
      </c>
      <c r="B81" s="116" t="str">
        <f>'A) Base RI'!B83</f>
        <v>Fey</v>
      </c>
      <c r="C81" s="44">
        <f>'B) D RI'!Y83</f>
        <v>151314.45000000001</v>
      </c>
      <c r="D81" s="10">
        <f>'B) D RI'!Z83</f>
        <v>9692.35</v>
      </c>
      <c r="E81" s="10">
        <f t="shared" si="5"/>
        <v>161006.80000000002</v>
      </c>
      <c r="F81" s="10">
        <f>'B) D RI'!U83</f>
        <v>19109.159333333333</v>
      </c>
      <c r="G81" s="295">
        <f t="shared" si="3"/>
        <v>8.4256349110630691</v>
      </c>
      <c r="H81" s="67">
        <f t="shared" si="4"/>
        <v>78564.930000000008</v>
      </c>
    </row>
    <row r="82" spans="1:8" x14ac:dyDescent="0.25">
      <c r="A82" s="53">
        <f>'A) Base RI'!A84</f>
        <v>5523</v>
      </c>
      <c r="B82" s="116" t="str">
        <f>'A) Base RI'!B84</f>
        <v>Froideville</v>
      </c>
      <c r="C82" s="44">
        <f>'B) D RI'!Y84</f>
        <v>605293.44999999995</v>
      </c>
      <c r="D82" s="10">
        <f>'B) D RI'!Z84</f>
        <v>2731.4</v>
      </c>
      <c r="E82" s="10">
        <f t="shared" si="5"/>
        <v>608024.85</v>
      </c>
      <c r="F82" s="10">
        <f>'B) D RI'!U84</f>
        <v>77198.057236842113</v>
      </c>
      <c r="G82" s="295">
        <f t="shared" si="3"/>
        <v>7.8761677659140021</v>
      </c>
      <c r="H82" s="67">
        <f t="shared" si="4"/>
        <v>303466.14499999996</v>
      </c>
    </row>
    <row r="83" spans="1:8" x14ac:dyDescent="0.25">
      <c r="A83" s="53">
        <f>'A) Base RI'!A85</f>
        <v>5527</v>
      </c>
      <c r="B83" s="116" t="str">
        <f>'A) Base RI'!B85</f>
        <v>Morrens</v>
      </c>
      <c r="C83" s="44">
        <f>'B) D RI'!Y85</f>
        <v>65820.800000000003</v>
      </c>
      <c r="D83" s="10">
        <f>'B) D RI'!Z85</f>
        <v>12170</v>
      </c>
      <c r="E83" s="10">
        <f t="shared" si="5"/>
        <v>77990.8</v>
      </c>
      <c r="F83" s="10">
        <f>'B) D RI'!U85</f>
        <v>37560.717323943667</v>
      </c>
      <c r="G83" s="295">
        <f t="shared" si="3"/>
        <v>2.0763927197493524</v>
      </c>
      <c r="H83" s="67">
        <f t="shared" si="4"/>
        <v>36561.4</v>
      </c>
    </row>
    <row r="84" spans="1:8" x14ac:dyDescent="0.25">
      <c r="A84" s="53">
        <f>'A) Base RI'!A86</f>
        <v>5529</v>
      </c>
      <c r="B84" s="116" t="str">
        <f>'A) Base RI'!B86</f>
        <v>Oulens-sous-Echallens</v>
      </c>
      <c r="C84" s="44">
        <f>'B) D RI'!Y86</f>
        <v>74163.100000000006</v>
      </c>
      <c r="D84" s="10">
        <f>'B) D RI'!Z86</f>
        <v>0</v>
      </c>
      <c r="E84" s="10">
        <f t="shared" si="5"/>
        <v>74163.100000000006</v>
      </c>
      <c r="F84" s="10">
        <f>'B) D RI'!U86</f>
        <v>19874.862394366199</v>
      </c>
      <c r="G84" s="295">
        <f t="shared" si="3"/>
        <v>3.7315025648188915</v>
      </c>
      <c r="H84" s="67">
        <f t="shared" si="4"/>
        <v>37081.550000000003</v>
      </c>
    </row>
    <row r="85" spans="1:8" x14ac:dyDescent="0.25">
      <c r="A85" s="53">
        <f>'A) Base RI'!A87</f>
        <v>5530</v>
      </c>
      <c r="B85" s="116" t="str">
        <f>'A) Base RI'!B87</f>
        <v>Pailly</v>
      </c>
      <c r="C85" s="44">
        <f>'B) D RI'!Y87</f>
        <v>11851.5</v>
      </c>
      <c r="D85" s="10">
        <f>'B) D RI'!Z87</f>
        <v>0</v>
      </c>
      <c r="E85" s="10">
        <f t="shared" si="5"/>
        <v>11851.5</v>
      </c>
      <c r="F85" s="10">
        <f>'B) D RI'!U87</f>
        <v>15272.027655913982</v>
      </c>
      <c r="G85" s="295">
        <f t="shared" si="3"/>
        <v>0.77602661984511223</v>
      </c>
      <c r="H85" s="67">
        <f t="shared" si="4"/>
        <v>5925.75</v>
      </c>
    </row>
    <row r="86" spans="1:8" x14ac:dyDescent="0.25">
      <c r="A86" s="53">
        <f>'A) Base RI'!A88</f>
        <v>5531</v>
      </c>
      <c r="B86" s="116" t="str">
        <f>'A) Base RI'!B88</f>
        <v>Penthéréaz</v>
      </c>
      <c r="C86" s="44">
        <f>'B) D RI'!Y88</f>
        <v>40591.25</v>
      </c>
      <c r="D86" s="10">
        <f>'B) D RI'!Z88</f>
        <v>26264.9</v>
      </c>
      <c r="E86" s="10">
        <f t="shared" si="5"/>
        <v>66856.149999999994</v>
      </c>
      <c r="F86" s="10">
        <f>'B) D RI'!U88</f>
        <v>12101.700128205126</v>
      </c>
      <c r="G86" s="295">
        <f t="shared" si="3"/>
        <v>5.5245254213645616</v>
      </c>
      <c r="H86" s="67">
        <f t="shared" si="4"/>
        <v>28175.095000000001</v>
      </c>
    </row>
    <row r="87" spans="1:8" x14ac:dyDescent="0.25">
      <c r="A87" s="53">
        <f>'A) Base RI'!A89</f>
        <v>5533</v>
      </c>
      <c r="B87" s="116" t="str">
        <f>'A) Base RI'!B89</f>
        <v>Poliez-Pittet</v>
      </c>
      <c r="C87" s="44">
        <f>'B) D RI'!Y89</f>
        <v>49055.65</v>
      </c>
      <c r="D87" s="10">
        <f>'B) D RI'!Z89</f>
        <v>0</v>
      </c>
      <c r="E87" s="10">
        <f t="shared" si="5"/>
        <v>49055.65</v>
      </c>
      <c r="F87" s="10">
        <f>'B) D RI'!U89</f>
        <v>27045.170985915491</v>
      </c>
      <c r="G87" s="295">
        <f t="shared" si="3"/>
        <v>1.8138413702596692</v>
      </c>
      <c r="H87" s="67">
        <f t="shared" si="4"/>
        <v>24527.825000000001</v>
      </c>
    </row>
    <row r="88" spans="1:8" x14ac:dyDescent="0.25">
      <c r="A88" s="53">
        <f>'A) Base RI'!A90</f>
        <v>5534</v>
      </c>
      <c r="B88" s="116" t="str">
        <f>'A) Base RI'!B90</f>
        <v>Rueyres</v>
      </c>
      <c r="C88" s="44">
        <f>'B) D RI'!Y90</f>
        <v>270515.45</v>
      </c>
      <c r="D88" s="10">
        <f>'B) D RI'!Z90</f>
        <v>23141.9</v>
      </c>
      <c r="E88" s="10">
        <f t="shared" si="5"/>
        <v>293657.35000000003</v>
      </c>
      <c r="F88" s="10">
        <f>'B) D RI'!U90</f>
        <v>10934.157945205479</v>
      </c>
      <c r="G88" s="295">
        <f t="shared" si="3"/>
        <v>26.856878368833687</v>
      </c>
      <c r="H88" s="67">
        <f t="shared" si="4"/>
        <v>142200.29500000001</v>
      </c>
    </row>
    <row r="89" spans="1:8" x14ac:dyDescent="0.25">
      <c r="A89" s="53">
        <f>'A) Base RI'!A91</f>
        <v>5535</v>
      </c>
      <c r="B89" s="116" t="str">
        <f>'A) Base RI'!B91</f>
        <v>Saint-Barthélemy</v>
      </c>
      <c r="C89" s="44">
        <f>'B) D RI'!Y91</f>
        <v>24638.1</v>
      </c>
      <c r="D89" s="10">
        <f>'B) D RI'!Z91</f>
        <v>29288.9</v>
      </c>
      <c r="E89" s="10">
        <f t="shared" si="5"/>
        <v>53927</v>
      </c>
      <c r="F89" s="10">
        <f>'B) D RI'!U91</f>
        <v>20697.547200000001</v>
      </c>
      <c r="G89" s="295">
        <f t="shared" si="3"/>
        <v>2.6054778123660953</v>
      </c>
      <c r="H89" s="67">
        <f t="shared" si="4"/>
        <v>21105.72</v>
      </c>
    </row>
    <row r="90" spans="1:8" x14ac:dyDescent="0.25">
      <c r="A90" s="53">
        <f>'A) Base RI'!A92</f>
        <v>5537</v>
      </c>
      <c r="B90" s="116" t="str">
        <f>'A) Base RI'!B92</f>
        <v>Villars-le-Terroir</v>
      </c>
      <c r="C90" s="44">
        <f>'B) D RI'!Y92</f>
        <v>116712.45000000001</v>
      </c>
      <c r="D90" s="10">
        <f>'B) D RI'!Z92</f>
        <v>191.15</v>
      </c>
      <c r="E90" s="10">
        <f t="shared" si="5"/>
        <v>116903.6</v>
      </c>
      <c r="F90" s="10">
        <f>'B) D RI'!U92</f>
        <v>30041.138287671231</v>
      </c>
      <c r="G90" s="295">
        <f t="shared" si="3"/>
        <v>3.8914504131148986</v>
      </c>
      <c r="H90" s="67">
        <f t="shared" si="4"/>
        <v>58413.570000000007</v>
      </c>
    </row>
    <row r="91" spans="1:8" x14ac:dyDescent="0.25">
      <c r="A91" s="53">
        <f>'A) Base RI'!A93</f>
        <v>5539</v>
      </c>
      <c r="B91" s="116" t="str">
        <f>'A) Base RI'!B93</f>
        <v>Vuarrens</v>
      </c>
      <c r="C91" s="44">
        <f>'B) D RI'!Y93</f>
        <v>83969.05</v>
      </c>
      <c r="D91" s="10">
        <f>'B) D RI'!Z93</f>
        <v>24256.6</v>
      </c>
      <c r="E91" s="10">
        <f t="shared" si="5"/>
        <v>108225.65</v>
      </c>
      <c r="F91" s="10">
        <f>'B) D RI'!U93</f>
        <v>22727.031566666661</v>
      </c>
      <c r="G91" s="295">
        <f t="shared" si="3"/>
        <v>4.7619791296780116</v>
      </c>
      <c r="H91" s="67">
        <f t="shared" si="4"/>
        <v>49261.505000000005</v>
      </c>
    </row>
    <row r="92" spans="1:8" x14ac:dyDescent="0.25">
      <c r="A92" s="53">
        <f>'A) Base RI'!A94</f>
        <v>5540</v>
      </c>
      <c r="B92" s="116" t="str">
        <f>'A) Base RI'!B94</f>
        <v>Montilliez</v>
      </c>
      <c r="C92" s="44">
        <f>'B) D RI'!Y94</f>
        <v>275470.2</v>
      </c>
      <c r="D92" s="10">
        <f>'B) D RI'!Z94</f>
        <v>6178</v>
      </c>
      <c r="E92" s="10">
        <f t="shared" si="5"/>
        <v>281648.2</v>
      </c>
      <c r="F92" s="10">
        <f>'B) D RI'!U94</f>
        <v>54875.674391891895</v>
      </c>
      <c r="G92" s="295">
        <f>E92/F92</f>
        <v>5.1324781539562219</v>
      </c>
      <c r="H92" s="67">
        <f>(C92*$C$4)+(D92*$D$4)</f>
        <v>139588.5</v>
      </c>
    </row>
    <row r="93" spans="1:8" x14ac:dyDescent="0.25">
      <c r="A93" s="53">
        <f>'A) Base RI'!A95</f>
        <v>5541</v>
      </c>
      <c r="B93" s="116" t="str">
        <f>'A) Base RI'!B95</f>
        <v>Goumoëns</v>
      </c>
      <c r="C93" s="44">
        <f>'B) D RI'!Y95</f>
        <v>352593.25</v>
      </c>
      <c r="D93" s="10">
        <f>'B) D RI'!Z95</f>
        <v>4809.55</v>
      </c>
      <c r="E93" s="10">
        <f t="shared" si="5"/>
        <v>357402.8</v>
      </c>
      <c r="F93" s="10">
        <f>'B) D RI'!U95</f>
        <v>32498.070519480509</v>
      </c>
      <c r="G93" s="295">
        <f>E93/F93</f>
        <v>10.997662146919151</v>
      </c>
      <c r="H93" s="67">
        <f>(C93*$C$4)+(D93*$D$4)</f>
        <v>177739.49</v>
      </c>
    </row>
    <row r="94" spans="1:8" x14ac:dyDescent="0.25">
      <c r="A94" s="53">
        <f>'A) Base RI'!A96</f>
        <v>5551</v>
      </c>
      <c r="B94" s="116" t="str">
        <f>'A) Base RI'!B96</f>
        <v>Bonvillars</v>
      </c>
      <c r="C94" s="44">
        <f>'B) D RI'!Y96</f>
        <v>34314.5</v>
      </c>
      <c r="D94" s="10">
        <f>'B) D RI'!Z96</f>
        <v>10139.85</v>
      </c>
      <c r="E94" s="10">
        <f t="shared" si="5"/>
        <v>44454.35</v>
      </c>
      <c r="F94" s="10">
        <f>'B) D RI'!U96</f>
        <v>19291.965896103895</v>
      </c>
      <c r="G94" s="295">
        <f>E94/F94</f>
        <v>2.3042934162027402</v>
      </c>
      <c r="H94" s="67">
        <f>(C94*$C$4)+(D94*$D$4)</f>
        <v>20199.205000000002</v>
      </c>
    </row>
    <row r="95" spans="1:8" x14ac:dyDescent="0.25">
      <c r="A95" s="53">
        <f>'A) Base RI'!A97</f>
        <v>5552</v>
      </c>
      <c r="B95" s="116" t="str">
        <f>'A) Base RI'!B97</f>
        <v>Bullet</v>
      </c>
      <c r="C95" s="44">
        <f>'B) D RI'!Y97</f>
        <v>160465.9</v>
      </c>
      <c r="D95" s="10">
        <f>'B) D RI'!Z97</f>
        <v>41288.050000000003</v>
      </c>
      <c r="E95" s="10">
        <f t="shared" si="5"/>
        <v>201753.95</v>
      </c>
      <c r="F95" s="10">
        <f>'B) D RI'!U97</f>
        <v>15735.537571428569</v>
      </c>
      <c r="G95" s="295">
        <f t="shared" si="3"/>
        <v>12.821547982340938</v>
      </c>
      <c r="H95" s="67">
        <f t="shared" si="4"/>
        <v>92619.364999999991</v>
      </c>
    </row>
    <row r="96" spans="1:8" x14ac:dyDescent="0.25">
      <c r="A96" s="53">
        <f>'A) Base RI'!A98</f>
        <v>5553</v>
      </c>
      <c r="B96" s="116" t="str">
        <f>'A) Base RI'!B98</f>
        <v>Champagne</v>
      </c>
      <c r="C96" s="44">
        <f>'B) D RI'!Y98</f>
        <v>284256.90000000002</v>
      </c>
      <c r="D96" s="10">
        <f>'B) D RI'!Z98</f>
        <v>73437.649999999994</v>
      </c>
      <c r="E96" s="10">
        <f t="shared" si="5"/>
        <v>357694.55000000005</v>
      </c>
      <c r="F96" s="10">
        <f>'B) D RI'!U98</f>
        <v>33369.783650793652</v>
      </c>
      <c r="G96" s="295">
        <f t="shared" si="3"/>
        <v>10.719115045610815</v>
      </c>
      <c r="H96" s="67">
        <f t="shared" si="4"/>
        <v>164159.745</v>
      </c>
    </row>
    <row r="97" spans="1:8" x14ac:dyDescent="0.25">
      <c r="A97" s="53">
        <f>'A) Base RI'!A99</f>
        <v>5554</v>
      </c>
      <c r="B97" s="116" t="str">
        <f>'A) Base RI'!B99</f>
        <v>Concise</v>
      </c>
      <c r="C97" s="44">
        <f>'B) D RI'!Y99</f>
        <v>152608.75</v>
      </c>
      <c r="D97" s="10">
        <f>'B) D RI'!Z99</f>
        <v>2250.0500000000002</v>
      </c>
      <c r="E97" s="10">
        <f t="shared" si="5"/>
        <v>154858.79999999999</v>
      </c>
      <c r="F97" s="10">
        <f>'B) D RI'!U99</f>
        <v>28986.7088</v>
      </c>
      <c r="G97" s="295">
        <f t="shared" si="3"/>
        <v>5.3424071379914642</v>
      </c>
      <c r="H97" s="67">
        <f t="shared" si="4"/>
        <v>76979.39</v>
      </c>
    </row>
    <row r="98" spans="1:8" x14ac:dyDescent="0.25">
      <c r="A98" s="53">
        <f>'A) Base RI'!A100</f>
        <v>5555</v>
      </c>
      <c r="B98" s="116" t="str">
        <f>'A) Base RI'!B100</f>
        <v>Corcelles-près-Concise</v>
      </c>
      <c r="C98" s="44">
        <f>'B) D RI'!Y100</f>
        <v>77973.149999999994</v>
      </c>
      <c r="D98" s="10">
        <f>'B) D RI'!Z100</f>
        <v>7907.7</v>
      </c>
      <c r="E98" s="10">
        <f t="shared" si="5"/>
        <v>85880.849999999991</v>
      </c>
      <c r="F98" s="10">
        <f>'B) D RI'!U100</f>
        <v>11040.372394366199</v>
      </c>
      <c r="G98" s="295">
        <f t="shared" si="3"/>
        <v>7.7788001103861504</v>
      </c>
      <c r="H98" s="67">
        <f t="shared" si="4"/>
        <v>41358.884999999995</v>
      </c>
    </row>
    <row r="99" spans="1:8" x14ac:dyDescent="0.25">
      <c r="A99" s="53">
        <f>'A) Base RI'!A101</f>
        <v>5556</v>
      </c>
      <c r="B99" s="116" t="str">
        <f>'A) Base RI'!B101</f>
        <v>Fiez</v>
      </c>
      <c r="C99" s="44">
        <f>'B) D RI'!Y101</f>
        <v>49851.8</v>
      </c>
      <c r="D99" s="10">
        <f>'B) D RI'!Z101</f>
        <v>0</v>
      </c>
      <c r="E99" s="10">
        <f t="shared" si="5"/>
        <v>49851.8</v>
      </c>
      <c r="F99" s="10">
        <f>'B) D RI'!U101</f>
        <v>12472.754202898552</v>
      </c>
      <c r="G99" s="295">
        <f t="shared" si="3"/>
        <v>3.9968558017775182</v>
      </c>
      <c r="H99" s="67">
        <f t="shared" si="4"/>
        <v>24925.9</v>
      </c>
    </row>
    <row r="100" spans="1:8" x14ac:dyDescent="0.25">
      <c r="A100" s="53">
        <f>'A) Base RI'!A102</f>
        <v>5557</v>
      </c>
      <c r="B100" s="116" t="str">
        <f>'A) Base RI'!B102</f>
        <v>Fontaines-sur-Grandson</v>
      </c>
      <c r="C100" s="44">
        <f>'B) D RI'!Y102</f>
        <v>34468.85</v>
      </c>
      <c r="D100" s="10">
        <f>'B) D RI'!Z102</f>
        <v>1148.05</v>
      </c>
      <c r="E100" s="10">
        <f t="shared" si="5"/>
        <v>35616.9</v>
      </c>
      <c r="F100" s="10">
        <f>'B) D RI'!U102</f>
        <v>4030.2872463768117</v>
      </c>
      <c r="G100" s="295">
        <f t="shared" si="3"/>
        <v>8.837310549519577</v>
      </c>
      <c r="H100" s="67">
        <f t="shared" si="4"/>
        <v>17578.84</v>
      </c>
    </row>
    <row r="101" spans="1:8" x14ac:dyDescent="0.25">
      <c r="A101" s="53">
        <f>'A) Base RI'!A103</f>
        <v>5559</v>
      </c>
      <c r="B101" s="116" t="str">
        <f>'A) Base RI'!B103</f>
        <v>Giez</v>
      </c>
      <c r="C101" s="44">
        <f>'B) D RI'!Y103</f>
        <v>323547.34999999998</v>
      </c>
      <c r="D101" s="10">
        <f>'B) D RI'!Z103</f>
        <v>19419.5</v>
      </c>
      <c r="E101" s="10">
        <f t="shared" si="5"/>
        <v>342966.85</v>
      </c>
      <c r="F101" s="10">
        <f>'B) D RI'!U103</f>
        <v>18149.138484848489</v>
      </c>
      <c r="G101" s="295">
        <f t="shared" si="3"/>
        <v>18.897142158363067</v>
      </c>
      <c r="H101" s="67">
        <f t="shared" si="4"/>
        <v>167599.52499999999</v>
      </c>
    </row>
    <row r="102" spans="1:8" x14ac:dyDescent="0.25">
      <c r="A102" s="53">
        <f>'A) Base RI'!A104</f>
        <v>5560</v>
      </c>
      <c r="B102" s="116" t="str">
        <f>'A) Base RI'!B104</f>
        <v>Grandevent</v>
      </c>
      <c r="C102" s="44">
        <f>'B) D RI'!Y104</f>
        <v>11872.900000000001</v>
      </c>
      <c r="D102" s="10">
        <f>'B) D RI'!Z104</f>
        <v>0</v>
      </c>
      <c r="E102" s="10">
        <f t="shared" si="5"/>
        <v>11872.900000000001</v>
      </c>
      <c r="F102" s="10">
        <f>'B) D RI'!U104</f>
        <v>6446.6273529411765</v>
      </c>
      <c r="G102" s="295">
        <f t="shared" si="3"/>
        <v>1.8417227101832045</v>
      </c>
      <c r="H102" s="67">
        <f t="shared" si="4"/>
        <v>5936.4500000000007</v>
      </c>
    </row>
    <row r="103" spans="1:8" x14ac:dyDescent="0.25">
      <c r="A103" s="53">
        <f>'A) Base RI'!A105</f>
        <v>5561</v>
      </c>
      <c r="B103" s="116" t="str">
        <f>'A) Base RI'!B105</f>
        <v>Grandson</v>
      </c>
      <c r="C103" s="44">
        <f>'B) D RI'!Y105</f>
        <v>662662.05000000005</v>
      </c>
      <c r="D103" s="10">
        <f>'B) D RI'!Z105</f>
        <v>366017.15</v>
      </c>
      <c r="E103" s="10">
        <f t="shared" si="5"/>
        <v>1028679.2000000001</v>
      </c>
      <c r="F103" s="10">
        <f>'B) D RI'!U105</f>
        <v>115170.40130434782</v>
      </c>
      <c r="G103" s="295">
        <f t="shared" si="3"/>
        <v>8.9318018201710156</v>
      </c>
      <c r="H103" s="67">
        <f t="shared" si="4"/>
        <v>441136.17000000004</v>
      </c>
    </row>
    <row r="104" spans="1:8" x14ac:dyDescent="0.25">
      <c r="A104" s="53">
        <f>'A) Base RI'!A106</f>
        <v>5562</v>
      </c>
      <c r="B104" s="116" t="str">
        <f>'A) Base RI'!B106</f>
        <v>Mauborget</v>
      </c>
      <c r="C104" s="44">
        <f>'B) D RI'!Y106</f>
        <v>16048.9</v>
      </c>
      <c r="D104" s="10">
        <f>'B) D RI'!Z106</f>
        <v>0</v>
      </c>
      <c r="E104" s="10">
        <f t="shared" si="5"/>
        <v>16048.9</v>
      </c>
      <c r="F104" s="10">
        <f>'B) D RI'!U106</f>
        <v>3662.5545714285713</v>
      </c>
      <c r="G104" s="295">
        <f t="shared" si="3"/>
        <v>4.3818869281011592</v>
      </c>
      <c r="H104" s="67">
        <f t="shared" si="4"/>
        <v>8024.45</v>
      </c>
    </row>
    <row r="105" spans="1:8" x14ac:dyDescent="0.25">
      <c r="A105" s="53">
        <f>'A) Base RI'!A107</f>
        <v>5563</v>
      </c>
      <c r="B105" s="116" t="str">
        <f>'A) Base RI'!B107</f>
        <v>Mutrux</v>
      </c>
      <c r="C105" s="44">
        <f>'B) D RI'!Y107</f>
        <v>26831.75</v>
      </c>
      <c r="D105" s="10">
        <f>'B) D RI'!Z107</f>
        <v>0</v>
      </c>
      <c r="E105" s="10">
        <f t="shared" si="5"/>
        <v>26831.75</v>
      </c>
      <c r="F105" s="10">
        <f>'B) D RI'!U107</f>
        <v>4275.1686624203812</v>
      </c>
      <c r="G105" s="295">
        <f t="shared" si="3"/>
        <v>6.2761851329648453</v>
      </c>
      <c r="H105" s="67">
        <f t="shared" si="4"/>
        <v>13415.875</v>
      </c>
    </row>
    <row r="106" spans="1:8" x14ac:dyDescent="0.25">
      <c r="A106" s="53">
        <f>'A) Base RI'!A108</f>
        <v>5564</v>
      </c>
      <c r="B106" s="116" t="str">
        <f>'A) Base RI'!B108</f>
        <v>Novalles</v>
      </c>
      <c r="C106" s="44">
        <f>'B) D RI'!Y108</f>
        <v>29940.25</v>
      </c>
      <c r="D106" s="10">
        <f>'B) D RI'!Z108</f>
        <v>0</v>
      </c>
      <c r="E106" s="10">
        <f t="shared" si="5"/>
        <v>29940.25</v>
      </c>
      <c r="F106" s="10">
        <f>'B) D RI'!U108</f>
        <v>2063.0078618421053</v>
      </c>
      <c r="G106" s="295">
        <f t="shared" si="3"/>
        <v>14.51291124662302</v>
      </c>
      <c r="H106" s="67">
        <f t="shared" si="4"/>
        <v>14970.125</v>
      </c>
    </row>
    <row r="107" spans="1:8" x14ac:dyDescent="0.25">
      <c r="A107" s="53">
        <f>'A) Base RI'!A109</f>
        <v>5565</v>
      </c>
      <c r="B107" s="116" t="str">
        <f>'A) Base RI'!B109</f>
        <v>Onnens</v>
      </c>
      <c r="C107" s="44">
        <f>'B) D RI'!Y109</f>
        <v>19983.5</v>
      </c>
      <c r="D107" s="10">
        <f>'B) D RI'!Z109</f>
        <v>25568.9</v>
      </c>
      <c r="E107" s="10">
        <f t="shared" si="5"/>
        <v>45552.4</v>
      </c>
      <c r="F107" s="10">
        <f>'B) D RI'!U109</f>
        <v>17902.806410256413</v>
      </c>
      <c r="G107" s="295">
        <f t="shared" si="3"/>
        <v>2.544427893377839</v>
      </c>
      <c r="H107" s="67">
        <f t="shared" si="4"/>
        <v>17662.419999999998</v>
      </c>
    </row>
    <row r="108" spans="1:8" x14ac:dyDescent="0.25">
      <c r="A108" s="53">
        <f>'A) Base RI'!A110</f>
        <v>5566</v>
      </c>
      <c r="B108" s="116" t="str">
        <f>'A) Base RI'!B110</f>
        <v>Provence</v>
      </c>
      <c r="C108" s="44">
        <f>'B) D RI'!Y110</f>
        <v>49982.55</v>
      </c>
      <c r="D108" s="10">
        <f>'B) D RI'!Z110</f>
        <v>75885.149999999994</v>
      </c>
      <c r="E108" s="10">
        <f t="shared" si="5"/>
        <v>125867.7</v>
      </c>
      <c r="F108" s="10">
        <f>'B) D RI'!U110</f>
        <v>8605.0976954732487</v>
      </c>
      <c r="G108" s="295">
        <f t="shared" si="3"/>
        <v>14.627108773699719</v>
      </c>
      <c r="H108" s="67">
        <f t="shared" si="4"/>
        <v>47756.82</v>
      </c>
    </row>
    <row r="109" spans="1:8" x14ac:dyDescent="0.25">
      <c r="A109" s="53">
        <f>'A) Base RI'!A111</f>
        <v>5568</v>
      </c>
      <c r="B109" s="116" t="str">
        <f>'A) Base RI'!B111</f>
        <v>Sainte-Croix</v>
      </c>
      <c r="C109" s="44">
        <f>'B) D RI'!Y111</f>
        <v>568074.69999999995</v>
      </c>
      <c r="D109" s="10">
        <f>'B) D RI'!Z111</f>
        <v>1980595.05</v>
      </c>
      <c r="E109" s="10">
        <f t="shared" si="5"/>
        <v>2548669.75</v>
      </c>
      <c r="F109" s="10">
        <f>'B) D RI'!U111</f>
        <v>96229.339714285714</v>
      </c>
      <c r="G109" s="295">
        <f t="shared" si="3"/>
        <v>26.485370860563407</v>
      </c>
      <c r="H109" s="67">
        <f t="shared" si="4"/>
        <v>878215.86499999999</v>
      </c>
    </row>
    <row r="110" spans="1:8" x14ac:dyDescent="0.25">
      <c r="A110" s="53">
        <f>'A) Base RI'!A112</f>
        <v>5571</v>
      </c>
      <c r="B110" s="116" t="str">
        <f>'A) Base RI'!B112</f>
        <v>Tévenon</v>
      </c>
      <c r="C110" s="44">
        <f>'B) D RI'!Y112</f>
        <v>359901.65</v>
      </c>
      <c r="D110" s="10">
        <f>'B) D RI'!Z112</f>
        <v>60704.55</v>
      </c>
      <c r="E110" s="10">
        <f t="shared" si="5"/>
        <v>420606.2</v>
      </c>
      <c r="F110" s="10">
        <f>'B) D RI'!U112</f>
        <v>20963.465799086756</v>
      </c>
      <c r="G110" s="295">
        <f t="shared" si="3"/>
        <v>20.063772089552248</v>
      </c>
      <c r="H110" s="67">
        <f t="shared" si="4"/>
        <v>198162.19</v>
      </c>
    </row>
    <row r="111" spans="1:8" x14ac:dyDescent="0.25">
      <c r="A111" s="53">
        <f>'A) Base RI'!A113</f>
        <v>5581</v>
      </c>
      <c r="B111" s="116" t="str">
        <f>'A) Base RI'!B113</f>
        <v>Belmont-sur-Lausanne</v>
      </c>
      <c r="C111" s="44">
        <f>'B) D RI'!Y113</f>
        <v>646547.6</v>
      </c>
      <c r="D111" s="10">
        <f>'B) D RI'!Z113</f>
        <v>0</v>
      </c>
      <c r="E111" s="10">
        <f t="shared" si="5"/>
        <v>646547.6</v>
      </c>
      <c r="F111" s="10">
        <f>'B) D RI'!U113</f>
        <v>187042.91923261393</v>
      </c>
      <c r="G111" s="295">
        <f t="shared" si="3"/>
        <v>3.4566804381187399</v>
      </c>
      <c r="H111" s="67">
        <f t="shared" si="4"/>
        <v>323273.8</v>
      </c>
    </row>
    <row r="112" spans="1:8" x14ac:dyDescent="0.25">
      <c r="A112" s="53">
        <f>'A) Base RI'!A114</f>
        <v>5582</v>
      </c>
      <c r="B112" s="116" t="str">
        <f>'A) Base RI'!B114</f>
        <v>Cheseaux-sur-Lausanne</v>
      </c>
      <c r="C112" s="44">
        <f>'B) D RI'!Y114</f>
        <v>544526.94999999995</v>
      </c>
      <c r="D112" s="10">
        <f>'B) D RI'!Z114</f>
        <v>594174.44999999995</v>
      </c>
      <c r="E112" s="10">
        <f t="shared" si="5"/>
        <v>1138701.3999999999</v>
      </c>
      <c r="F112" s="10">
        <f>'B) D RI'!U114</f>
        <v>203617.184295302</v>
      </c>
      <c r="G112" s="295">
        <f t="shared" si="3"/>
        <v>5.5923639448258147</v>
      </c>
      <c r="H112" s="67">
        <f t="shared" si="4"/>
        <v>450515.80999999994</v>
      </c>
    </row>
    <row r="113" spans="1:8" x14ac:dyDescent="0.25">
      <c r="A113" s="53">
        <f>'A) Base RI'!A115</f>
        <v>5583</v>
      </c>
      <c r="B113" s="116" t="str">
        <f>'A) Base RI'!B115</f>
        <v>Crissier</v>
      </c>
      <c r="C113" s="44">
        <f>'B) D RI'!Y115</f>
        <v>767302.15</v>
      </c>
      <c r="D113" s="10">
        <f>'B) D RI'!Z115</f>
        <v>1524139.45</v>
      </c>
      <c r="E113" s="10">
        <f t="shared" si="5"/>
        <v>2291441.6</v>
      </c>
      <c r="F113" s="10">
        <f>'B) D RI'!U115</f>
        <v>311741.22092307697</v>
      </c>
      <c r="G113" s="295">
        <f t="shared" si="3"/>
        <v>7.3504607225664902</v>
      </c>
      <c r="H113" s="67">
        <f t="shared" si="4"/>
        <v>840892.90999999992</v>
      </c>
    </row>
    <row r="114" spans="1:8" x14ac:dyDescent="0.25">
      <c r="A114" s="53">
        <f>'A) Base RI'!A116</f>
        <v>5584</v>
      </c>
      <c r="B114" s="116" t="str">
        <f>'A) Base RI'!B116</f>
        <v>Epalinges</v>
      </c>
      <c r="C114" s="44">
        <f>'B) D RI'!Y116</f>
        <v>4411165.6499999994</v>
      </c>
      <c r="D114" s="10">
        <f>'B) D RI'!Z116</f>
        <v>192165.8</v>
      </c>
      <c r="E114" s="10">
        <f t="shared" si="5"/>
        <v>4603331.4499999993</v>
      </c>
      <c r="F114" s="10">
        <f>'B) D RI'!U116</f>
        <v>455692.51</v>
      </c>
      <c r="G114" s="295">
        <f t="shared" si="3"/>
        <v>10.101836982135167</v>
      </c>
      <c r="H114" s="67">
        <f t="shared" si="4"/>
        <v>2263232.5649999999</v>
      </c>
    </row>
    <row r="115" spans="1:8" x14ac:dyDescent="0.25">
      <c r="A115" s="53">
        <f>'A) Base RI'!A117</f>
        <v>5585</v>
      </c>
      <c r="B115" s="116" t="str">
        <f>'A) Base RI'!B117</f>
        <v>Jouxtens-Mézery</v>
      </c>
      <c r="C115" s="44">
        <f>'B) D RI'!Y117</f>
        <v>1225154.55</v>
      </c>
      <c r="D115" s="10">
        <f>'B) D RI'!Z117</f>
        <v>2901.35</v>
      </c>
      <c r="E115" s="10">
        <f t="shared" si="5"/>
        <v>1228055.9000000001</v>
      </c>
      <c r="F115" s="10">
        <f>'B) D RI'!U117</f>
        <v>201546.16339622639</v>
      </c>
      <c r="G115" s="295">
        <f t="shared" si="3"/>
        <v>6.0931742847703019</v>
      </c>
      <c r="H115" s="67">
        <f t="shared" si="4"/>
        <v>613447.68000000005</v>
      </c>
    </row>
    <row r="116" spans="1:8" x14ac:dyDescent="0.25">
      <c r="A116" s="53">
        <f>'A) Base RI'!A118</f>
        <v>5586</v>
      </c>
      <c r="B116" s="116" t="str">
        <f>'A) Base RI'!B118</f>
        <v>Lausanne</v>
      </c>
      <c r="C116" s="44">
        <f>'B) D RI'!Y118</f>
        <v>24882871.449999999</v>
      </c>
      <c r="D116" s="10">
        <f>'B) D RI'!Z118</f>
        <v>10836314.949999999</v>
      </c>
      <c r="E116" s="10">
        <f t="shared" si="5"/>
        <v>35719186.399999999</v>
      </c>
      <c r="F116" s="10">
        <f>'B) D RI'!U118</f>
        <v>6075429.3645991571</v>
      </c>
      <c r="G116" s="295">
        <f t="shared" ref="G116:G169" si="6">E116/F116</f>
        <v>5.8792859329633025</v>
      </c>
      <c r="H116" s="67">
        <f t="shared" si="4"/>
        <v>15692330.209999999</v>
      </c>
    </row>
    <row r="117" spans="1:8" x14ac:dyDescent="0.25">
      <c r="A117" s="53">
        <f>'A) Base RI'!A119</f>
        <v>5587</v>
      </c>
      <c r="B117" s="116" t="str">
        <f>'A) Base RI'!B119</f>
        <v>Le Mont-sur-Lausanne</v>
      </c>
      <c r="C117" s="44">
        <f>'B) D RI'!Y119</f>
        <v>1922893.75</v>
      </c>
      <c r="D117" s="10">
        <f>'B) D RI'!Z119</f>
        <v>462043.85</v>
      </c>
      <c r="E117" s="10">
        <f t="shared" si="5"/>
        <v>2384937.6</v>
      </c>
      <c r="F117" s="10">
        <f>'B) D RI'!U119</f>
        <v>413343.80273333337</v>
      </c>
      <c r="G117" s="295">
        <f t="shared" si="6"/>
        <v>5.7698641765741687</v>
      </c>
      <c r="H117" s="67">
        <f t="shared" ref="H117:H170" si="7">(C117*$C$4)+(D117*$D$4)</f>
        <v>1100060.03</v>
      </c>
    </row>
    <row r="118" spans="1:8" x14ac:dyDescent="0.25">
      <c r="A118" s="53">
        <f>'A) Base RI'!A120</f>
        <v>5588</v>
      </c>
      <c r="B118" s="116" t="str">
        <f>'A) Base RI'!B120</f>
        <v>Paudex</v>
      </c>
      <c r="C118" s="44">
        <f>'B) D RI'!Y120</f>
        <v>548544.94999999995</v>
      </c>
      <c r="D118" s="10">
        <f>'B) D RI'!Z120</f>
        <v>20109.5</v>
      </c>
      <c r="E118" s="10">
        <f t="shared" si="5"/>
        <v>568654.44999999995</v>
      </c>
      <c r="F118" s="10">
        <f>'B) D RI'!U120</f>
        <v>160000.57716608592</v>
      </c>
      <c r="G118" s="295">
        <f t="shared" si="6"/>
        <v>3.5540774919187808</v>
      </c>
      <c r="H118" s="67">
        <f t="shared" si="7"/>
        <v>280305.32499999995</v>
      </c>
    </row>
    <row r="119" spans="1:8" x14ac:dyDescent="0.25">
      <c r="A119" s="53">
        <f>'A) Base RI'!A121</f>
        <v>5589</v>
      </c>
      <c r="B119" s="116" t="str">
        <f>'A) Base RI'!B121</f>
        <v>Prilly</v>
      </c>
      <c r="C119" s="44">
        <f>'B) D RI'!Y121</f>
        <v>2462250.35</v>
      </c>
      <c r="D119" s="10">
        <f>'B) D RI'!Z121</f>
        <v>1188811.95</v>
      </c>
      <c r="E119" s="10">
        <f t="shared" si="5"/>
        <v>3651062.3</v>
      </c>
      <c r="F119" s="10">
        <f>'B) D RI'!U121</f>
        <v>437574.2323809524</v>
      </c>
      <c r="G119" s="295">
        <f t="shared" si="6"/>
        <v>8.3438695193125145</v>
      </c>
      <c r="H119" s="67">
        <f t="shared" si="7"/>
        <v>1587768.76</v>
      </c>
    </row>
    <row r="120" spans="1:8" x14ac:dyDescent="0.25">
      <c r="A120" s="53">
        <f>'A) Base RI'!A122</f>
        <v>5590</v>
      </c>
      <c r="B120" s="116" t="str">
        <f>'A) Base RI'!B122</f>
        <v>Pully</v>
      </c>
      <c r="C120" s="44">
        <f>'B) D RI'!Y122</f>
        <v>7820594.4499999993</v>
      </c>
      <c r="D120" s="10">
        <f>'B) D RI'!Z122</f>
        <v>130183.05</v>
      </c>
      <c r="E120" s="10">
        <f t="shared" si="5"/>
        <v>7950777.4999999991</v>
      </c>
      <c r="F120" s="10">
        <f>'B) D RI'!U122</f>
        <v>1422298.2200936768</v>
      </c>
      <c r="G120" s="295">
        <f t="shared" si="6"/>
        <v>5.5900917175276623</v>
      </c>
      <c r="H120" s="67">
        <f t="shared" si="7"/>
        <v>3949352.1399999997</v>
      </c>
    </row>
    <row r="121" spans="1:8" x14ac:dyDescent="0.25">
      <c r="A121" s="53">
        <f>'A) Base RI'!A123</f>
        <v>5591</v>
      </c>
      <c r="B121" s="116" t="str">
        <f>'A) Base RI'!B123</f>
        <v>Renens</v>
      </c>
      <c r="C121" s="44">
        <f>'B) D RI'!Y123</f>
        <v>2177827.0499999998</v>
      </c>
      <c r="D121" s="10">
        <f>'B) D RI'!Z123</f>
        <v>2005010.75</v>
      </c>
      <c r="E121" s="10">
        <f t="shared" si="5"/>
        <v>4182837.8</v>
      </c>
      <c r="F121" s="10">
        <f>'B) D RI'!U123</f>
        <v>529647.11015468603</v>
      </c>
      <c r="G121" s="295">
        <f t="shared" si="6"/>
        <v>7.8974051208896086</v>
      </c>
      <c r="H121" s="67">
        <f t="shared" si="7"/>
        <v>1690416.75</v>
      </c>
    </row>
    <row r="122" spans="1:8" x14ac:dyDescent="0.25">
      <c r="A122" s="53">
        <f>'A) Base RI'!A124</f>
        <v>5592</v>
      </c>
      <c r="B122" s="116" t="str">
        <f>'A) Base RI'!B124</f>
        <v>Romanel-sur-Lausanne</v>
      </c>
      <c r="C122" s="44">
        <f>'B) D RI'!Y124</f>
        <v>272372.84999999998</v>
      </c>
      <c r="D122" s="10">
        <f>'B) D RI'!Z124</f>
        <v>200675.95</v>
      </c>
      <c r="E122" s="10">
        <f t="shared" si="5"/>
        <v>473048.8</v>
      </c>
      <c r="F122" s="10">
        <f>'B) D RI'!U124</f>
        <v>116555.94314285714</v>
      </c>
      <c r="G122" s="295">
        <f t="shared" si="6"/>
        <v>4.0585558080054858</v>
      </c>
      <c r="H122" s="67">
        <f t="shared" si="7"/>
        <v>196389.21</v>
      </c>
    </row>
    <row r="123" spans="1:8" x14ac:dyDescent="0.25">
      <c r="A123" s="53">
        <f>'A) Base RI'!A125</f>
        <v>5601</v>
      </c>
      <c r="B123" s="116" t="str">
        <f>'A) Base RI'!B125</f>
        <v>Chexbres</v>
      </c>
      <c r="C123" s="44">
        <f>'B) D RI'!Y125</f>
        <v>525657.15</v>
      </c>
      <c r="D123" s="10">
        <f>'B) D RI'!Z125</f>
        <v>49184.1</v>
      </c>
      <c r="E123" s="10">
        <f t="shared" si="5"/>
        <v>574841.25</v>
      </c>
      <c r="F123" s="10">
        <f>'B) D RI'!U125</f>
        <v>99746.160000000018</v>
      </c>
      <c r="G123" s="295">
        <f t="shared" si="6"/>
        <v>5.7630414043006759</v>
      </c>
      <c r="H123" s="67">
        <f t="shared" si="7"/>
        <v>277583.80499999999</v>
      </c>
    </row>
    <row r="124" spans="1:8" x14ac:dyDescent="0.25">
      <c r="A124" s="53">
        <f>'A) Base RI'!A126</f>
        <v>5604</v>
      </c>
      <c r="B124" s="116" t="str">
        <f>'A) Base RI'!B126</f>
        <v>Forel (Lavaux)</v>
      </c>
      <c r="C124" s="44">
        <f>'B) D RI'!Y126</f>
        <v>290197.45</v>
      </c>
      <c r="D124" s="10">
        <f>'B) D RI'!Z126</f>
        <v>17419.25</v>
      </c>
      <c r="E124" s="10">
        <f t="shared" si="5"/>
        <v>307616.7</v>
      </c>
      <c r="F124" s="10">
        <f>'B) D RI'!U126</f>
        <v>71240.347352941171</v>
      </c>
      <c r="G124" s="295">
        <f t="shared" si="6"/>
        <v>4.3180123543754734</v>
      </c>
      <c r="H124" s="67">
        <f t="shared" si="7"/>
        <v>150324.5</v>
      </c>
    </row>
    <row r="125" spans="1:8" x14ac:dyDescent="0.25">
      <c r="A125" s="53">
        <f>'A) Base RI'!A127</f>
        <v>5606</v>
      </c>
      <c r="B125" s="116" t="str">
        <f>'A) Base RI'!B127</f>
        <v>Lutry</v>
      </c>
      <c r="C125" s="44">
        <f>'B) D RI'!Y127</f>
        <v>6558401.7000000011</v>
      </c>
      <c r="D125" s="10">
        <f>'B) D RI'!Z127</f>
        <v>101231.4</v>
      </c>
      <c r="E125" s="10">
        <f t="shared" si="5"/>
        <v>6659633.1000000015</v>
      </c>
      <c r="F125" s="10">
        <f>'B) D RI'!U127</f>
        <v>770648.37755469768</v>
      </c>
      <c r="G125" s="295">
        <f t="shared" si="6"/>
        <v>8.6415975092704667</v>
      </c>
      <c r="H125" s="67">
        <f t="shared" si="7"/>
        <v>3309570.2700000005</v>
      </c>
    </row>
    <row r="126" spans="1:8" x14ac:dyDescent="0.25">
      <c r="A126" s="53">
        <f>'A) Base RI'!A128</f>
        <v>5607</v>
      </c>
      <c r="B126" s="116" t="str">
        <f>'A) Base RI'!B128</f>
        <v>Puidoux</v>
      </c>
      <c r="C126" s="44">
        <f>'B) D RI'!Y128</f>
        <v>767132.35</v>
      </c>
      <c r="D126" s="10">
        <f>'B) D RI'!Z128</f>
        <v>153618.65</v>
      </c>
      <c r="E126" s="10">
        <f t="shared" si="5"/>
        <v>920751</v>
      </c>
      <c r="F126" s="10">
        <f>'B) D RI'!U128</f>
        <v>97147.534937888209</v>
      </c>
      <c r="G126" s="295">
        <f t="shared" si="6"/>
        <v>9.47786272280287</v>
      </c>
      <c r="H126" s="67">
        <f t="shared" si="7"/>
        <v>429651.76999999996</v>
      </c>
    </row>
    <row r="127" spans="1:8" x14ac:dyDescent="0.25">
      <c r="A127" s="53">
        <f>'A) Base RI'!A129</f>
        <v>5609</v>
      </c>
      <c r="B127" s="116" t="str">
        <f>'A) Base RI'!B129</f>
        <v>Rivaz</v>
      </c>
      <c r="C127" s="44">
        <f>'B) D RI'!Y129</f>
        <v>375410.55</v>
      </c>
      <c r="D127" s="10">
        <f>'B) D RI'!Z129</f>
        <v>0</v>
      </c>
      <c r="E127" s="10">
        <f t="shared" si="5"/>
        <v>375410.55</v>
      </c>
      <c r="F127" s="10">
        <f>'B) D RI'!U129</f>
        <v>16888.91165354331</v>
      </c>
      <c r="G127" s="295">
        <f t="shared" si="6"/>
        <v>22.228226288414415</v>
      </c>
      <c r="H127" s="67">
        <f t="shared" si="7"/>
        <v>187705.27499999999</v>
      </c>
    </row>
    <row r="128" spans="1:8" x14ac:dyDescent="0.25">
      <c r="A128" s="53">
        <f>'A) Base RI'!A130</f>
        <v>5610</v>
      </c>
      <c r="B128" s="116" t="str">
        <f>'A) Base RI'!B130</f>
        <v>St-Saphorin (Lavaux)</v>
      </c>
      <c r="C128" s="44">
        <f>'B) D RI'!Y130</f>
        <v>145394.5</v>
      </c>
      <c r="D128" s="10">
        <f>'B) D RI'!Z130</f>
        <v>0</v>
      </c>
      <c r="E128" s="10">
        <f t="shared" si="5"/>
        <v>145394.5</v>
      </c>
      <c r="F128" s="10">
        <f>'B) D RI'!U130</f>
        <v>20007.714179104478</v>
      </c>
      <c r="G128" s="295">
        <f t="shared" si="6"/>
        <v>7.2669220830756434</v>
      </c>
      <c r="H128" s="67">
        <f t="shared" si="7"/>
        <v>72697.25</v>
      </c>
    </row>
    <row r="129" spans="1:8" x14ac:dyDescent="0.25">
      <c r="A129" s="53">
        <f>'A) Base RI'!A131</f>
        <v>5611</v>
      </c>
      <c r="B129" s="116" t="str">
        <f>'A) Base RI'!B131</f>
        <v>Savigny</v>
      </c>
      <c r="C129" s="44">
        <f>'B) D RI'!Y131</f>
        <v>510493.35</v>
      </c>
      <c r="D129" s="10">
        <f>'B) D RI'!Z131</f>
        <v>135100.65</v>
      </c>
      <c r="E129" s="10">
        <f t="shared" si="5"/>
        <v>645594</v>
      </c>
      <c r="F129" s="10">
        <f>'B) D RI'!U131</f>
        <v>115537.42516908211</v>
      </c>
      <c r="G129" s="295">
        <f t="shared" si="6"/>
        <v>5.5877478579361775</v>
      </c>
      <c r="H129" s="67">
        <f t="shared" si="7"/>
        <v>295776.87</v>
      </c>
    </row>
    <row r="130" spans="1:8" x14ac:dyDescent="0.25">
      <c r="A130" s="53">
        <f>'A) Base RI'!A132</f>
        <v>5613</v>
      </c>
      <c r="B130" s="116" t="str">
        <f>'A) Base RI'!B132</f>
        <v>Bourg-en-Lavaux</v>
      </c>
      <c r="C130" s="44">
        <f>'B) D RI'!Y132</f>
        <v>1843279.55</v>
      </c>
      <c r="D130" s="10">
        <f>'B) D RI'!Z132</f>
        <v>29017</v>
      </c>
      <c r="E130" s="10">
        <f t="shared" si="5"/>
        <v>1872296.55</v>
      </c>
      <c r="F130" s="10">
        <f>'B) D RI'!U132</f>
        <v>301872.13311475411</v>
      </c>
      <c r="G130" s="295">
        <f t="shared" si="6"/>
        <v>6.2022834989152926</v>
      </c>
      <c r="H130" s="67">
        <f t="shared" si="7"/>
        <v>930344.875</v>
      </c>
    </row>
    <row r="131" spans="1:8" x14ac:dyDescent="0.25">
      <c r="A131" s="53">
        <f>'A) Base RI'!A133</f>
        <v>5621</v>
      </c>
      <c r="B131" s="116" t="str">
        <f>'A) Base RI'!B133</f>
        <v>Aclens</v>
      </c>
      <c r="C131" s="44">
        <f>'B) D RI'!Y133</f>
        <v>70687.950000000012</v>
      </c>
      <c r="D131" s="10">
        <f>'B) D RI'!Z133</f>
        <v>166682.9</v>
      </c>
      <c r="E131" s="10">
        <f t="shared" si="5"/>
        <v>237370.85</v>
      </c>
      <c r="F131" s="10">
        <f>'B) D RI'!U133</f>
        <v>26820.105850439882</v>
      </c>
      <c r="G131" s="295">
        <f t="shared" si="6"/>
        <v>8.8504814754900316</v>
      </c>
      <c r="H131" s="67">
        <f t="shared" si="7"/>
        <v>85348.845000000001</v>
      </c>
    </row>
    <row r="132" spans="1:8" x14ac:dyDescent="0.25">
      <c r="A132" s="53">
        <f>'A) Base RI'!A134</f>
        <v>5622</v>
      </c>
      <c r="B132" s="116" t="str">
        <f>'A) Base RI'!B134</f>
        <v>Bremblens</v>
      </c>
      <c r="C132" s="44">
        <f>'B) D RI'!Y134</f>
        <v>288976.90000000002</v>
      </c>
      <c r="D132" s="10">
        <f>'B) D RI'!Z134</f>
        <v>26447.75</v>
      </c>
      <c r="E132" s="10">
        <f t="shared" si="5"/>
        <v>315424.65000000002</v>
      </c>
      <c r="F132" s="10">
        <f>'B) D RI'!U134</f>
        <v>32681.756515151512</v>
      </c>
      <c r="G132" s="295">
        <f t="shared" si="6"/>
        <v>9.6513983222953996</v>
      </c>
      <c r="H132" s="67">
        <f t="shared" si="7"/>
        <v>152422.77500000002</v>
      </c>
    </row>
    <row r="133" spans="1:8" x14ac:dyDescent="0.25">
      <c r="A133" s="53">
        <f>'A) Base RI'!A135</f>
        <v>5623</v>
      </c>
      <c r="B133" s="116" t="str">
        <f>'A) Base RI'!B135</f>
        <v>Buchillon</v>
      </c>
      <c r="C133" s="44">
        <f>'B) D RI'!Y135</f>
        <v>1935327.35</v>
      </c>
      <c r="D133" s="10">
        <f>'B) D RI'!Z135</f>
        <v>942.3</v>
      </c>
      <c r="E133" s="10">
        <f t="shared" ref="E133:E196" si="8">C133+D133</f>
        <v>1936269.6500000001</v>
      </c>
      <c r="F133" s="10">
        <f>'B) D RI'!U135</f>
        <v>82402.410188679249</v>
      </c>
      <c r="G133" s="295">
        <f t="shared" si="6"/>
        <v>23.497730777127344</v>
      </c>
      <c r="H133" s="67">
        <f t="shared" si="7"/>
        <v>967946.36499999999</v>
      </c>
    </row>
    <row r="134" spans="1:8" x14ac:dyDescent="0.25">
      <c r="A134" s="53">
        <f>'A) Base RI'!A136</f>
        <v>5624</v>
      </c>
      <c r="B134" s="116" t="str">
        <f>'A) Base RI'!B136</f>
        <v>Bussigny</v>
      </c>
      <c r="C134" s="44">
        <f>'B) D RI'!Y136</f>
        <v>1246662.05</v>
      </c>
      <c r="D134" s="10">
        <f>'B) D RI'!Z136</f>
        <v>1348175.55</v>
      </c>
      <c r="E134" s="10">
        <f t="shared" si="8"/>
        <v>2594837.6</v>
      </c>
      <c r="F134" s="10">
        <f>'B) D RI'!U136</f>
        <v>334130.13322580641</v>
      </c>
      <c r="G134" s="295">
        <f t="shared" si="6"/>
        <v>7.7659490778295028</v>
      </c>
      <c r="H134" s="67">
        <f t="shared" si="7"/>
        <v>1027783.69</v>
      </c>
    </row>
    <row r="135" spans="1:8" x14ac:dyDescent="0.25">
      <c r="A135" s="53">
        <f>'A) Base RI'!A137</f>
        <v>5625</v>
      </c>
      <c r="B135" s="116" t="str">
        <f>'A) Base RI'!B137</f>
        <v>Bussy-Chardonney</v>
      </c>
      <c r="C135" s="44">
        <f>'B) D RI'!Y137</f>
        <v>113863.40000000001</v>
      </c>
      <c r="D135" s="10">
        <f>'B) D RI'!Z137</f>
        <v>0</v>
      </c>
      <c r="E135" s="10">
        <f t="shared" si="8"/>
        <v>113863.40000000001</v>
      </c>
      <c r="F135" s="10">
        <f>'B) D RI'!U137</f>
        <v>13745.926324786325</v>
      </c>
      <c r="G135" s="295">
        <f t="shared" si="6"/>
        <v>8.2834286543995397</v>
      </c>
      <c r="H135" s="67">
        <f t="shared" si="7"/>
        <v>56931.700000000004</v>
      </c>
    </row>
    <row r="136" spans="1:8" x14ac:dyDescent="0.25">
      <c r="A136" s="53">
        <f>'A) Base RI'!A138</f>
        <v>5627</v>
      </c>
      <c r="B136" s="116" t="str">
        <f>'A) Base RI'!B138</f>
        <v>Chavannes-près-Renens</v>
      </c>
      <c r="C136" s="44">
        <f>'B) D RI'!Y138</f>
        <v>519872.85</v>
      </c>
      <c r="D136" s="10">
        <f>'B) D RI'!Z138</f>
        <v>464106.9</v>
      </c>
      <c r="E136" s="10">
        <f t="shared" si="8"/>
        <v>983979.75</v>
      </c>
      <c r="F136" s="10">
        <f>'B) D RI'!U138</f>
        <v>171770.86046413501</v>
      </c>
      <c r="G136" s="295">
        <f t="shared" si="6"/>
        <v>5.7284439708878949</v>
      </c>
      <c r="H136" s="67">
        <f t="shared" si="7"/>
        <v>399168.495</v>
      </c>
    </row>
    <row r="137" spans="1:8" x14ac:dyDescent="0.25">
      <c r="A137" s="53">
        <f>'A) Base RI'!A139</f>
        <v>5628</v>
      </c>
      <c r="B137" s="116" t="str">
        <f>'A) Base RI'!B139</f>
        <v>Chigny</v>
      </c>
      <c r="C137" s="44">
        <f>'B) D RI'!Y139</f>
        <v>74474.3</v>
      </c>
      <c r="D137" s="10">
        <f>'B) D RI'!Z139</f>
        <v>18046</v>
      </c>
      <c r="E137" s="10">
        <f t="shared" si="8"/>
        <v>92520.3</v>
      </c>
      <c r="F137" s="10">
        <f>'B) D RI'!U139</f>
        <v>19361.666733870967</v>
      </c>
      <c r="G137" s="295">
        <f t="shared" si="6"/>
        <v>4.7785297243106957</v>
      </c>
      <c r="H137" s="67">
        <f t="shared" si="7"/>
        <v>42650.950000000004</v>
      </c>
    </row>
    <row r="138" spans="1:8" x14ac:dyDescent="0.25">
      <c r="A138" s="53">
        <f>'A) Base RI'!A140</f>
        <v>5629</v>
      </c>
      <c r="B138" s="116" t="str">
        <f>'A) Base RI'!B140</f>
        <v>Clarmont</v>
      </c>
      <c r="C138" s="44">
        <f>'B) D RI'!Y140</f>
        <v>82145.75</v>
      </c>
      <c r="D138" s="10">
        <f>'B) D RI'!Z140</f>
        <v>0</v>
      </c>
      <c r="E138" s="10">
        <f t="shared" si="8"/>
        <v>82145.75</v>
      </c>
      <c r="F138" s="10">
        <f>'B) D RI'!U140</f>
        <v>7536.1791999999996</v>
      </c>
      <c r="G138" s="295">
        <f t="shared" si="6"/>
        <v>10.900185335295637</v>
      </c>
      <c r="H138" s="67">
        <f t="shared" si="7"/>
        <v>41072.875</v>
      </c>
    </row>
    <row r="139" spans="1:8" x14ac:dyDescent="0.25">
      <c r="A139" s="53">
        <f>'A) Base RI'!A141</f>
        <v>5631</v>
      </c>
      <c r="B139" s="116" t="str">
        <f>'A) Base RI'!B141</f>
        <v>Denens</v>
      </c>
      <c r="C139" s="44">
        <f>'B) D RI'!Y141</f>
        <v>606142.15</v>
      </c>
      <c r="D139" s="10">
        <f>'B) D RI'!Z141</f>
        <v>0</v>
      </c>
      <c r="E139" s="10">
        <f t="shared" si="8"/>
        <v>606142.15</v>
      </c>
      <c r="F139" s="10">
        <f>'B) D RI'!U141</f>
        <v>42221.936176470583</v>
      </c>
      <c r="G139" s="295">
        <f t="shared" si="6"/>
        <v>14.35609554868757</v>
      </c>
      <c r="H139" s="67">
        <f t="shared" si="7"/>
        <v>303071.07500000001</v>
      </c>
    </row>
    <row r="140" spans="1:8" x14ac:dyDescent="0.25">
      <c r="A140" s="53">
        <f>'A) Base RI'!A142</f>
        <v>5632</v>
      </c>
      <c r="B140" s="116" t="str">
        <f>'A) Base RI'!B142</f>
        <v>Denges</v>
      </c>
      <c r="C140" s="44">
        <f>'B) D RI'!Y142</f>
        <v>303647.65000000002</v>
      </c>
      <c r="D140" s="10">
        <f>'B) D RI'!Z142</f>
        <v>120436.9</v>
      </c>
      <c r="E140" s="10">
        <f t="shared" si="8"/>
        <v>424084.55000000005</v>
      </c>
      <c r="F140" s="10">
        <f>'B) D RI'!U142</f>
        <v>67310.066612903232</v>
      </c>
      <c r="G140" s="295">
        <f t="shared" si="6"/>
        <v>6.3004624915748293</v>
      </c>
      <c r="H140" s="67">
        <f t="shared" si="7"/>
        <v>187954.89500000002</v>
      </c>
    </row>
    <row r="141" spans="1:8" x14ac:dyDescent="0.25">
      <c r="A141" s="53">
        <f>'A) Base RI'!A143</f>
        <v>5633</v>
      </c>
      <c r="B141" s="116" t="str">
        <f>'A) Base RI'!B143</f>
        <v>Echandens</v>
      </c>
      <c r="C141" s="44">
        <f>'B) D RI'!Y143</f>
        <v>519686.5</v>
      </c>
      <c r="D141" s="10">
        <f>'B) D RI'!Z143</f>
        <v>134469</v>
      </c>
      <c r="E141" s="10">
        <f t="shared" si="8"/>
        <v>654155.5</v>
      </c>
      <c r="F141" s="10">
        <f>'B) D RI'!U143</f>
        <v>139554.44612903227</v>
      </c>
      <c r="G141" s="295">
        <f t="shared" si="6"/>
        <v>4.6874572480132004</v>
      </c>
      <c r="H141" s="67">
        <f t="shared" si="7"/>
        <v>300183.95</v>
      </c>
    </row>
    <row r="142" spans="1:8" x14ac:dyDescent="0.25">
      <c r="A142" s="53">
        <f>'A) Base RI'!A144</f>
        <v>5634</v>
      </c>
      <c r="B142" s="116" t="str">
        <f>'A) Base RI'!B144</f>
        <v>Echichens</v>
      </c>
      <c r="C142" s="44">
        <f>'B) D RI'!Y144</f>
        <v>1009281.6</v>
      </c>
      <c r="D142" s="10">
        <f>'B) D RI'!Z144</f>
        <v>20791.55</v>
      </c>
      <c r="E142" s="10">
        <f t="shared" si="8"/>
        <v>1030073.15</v>
      </c>
      <c r="F142" s="10">
        <f>'B) D RI'!U144</f>
        <v>125699.21529411766</v>
      </c>
      <c r="G142" s="295">
        <f t="shared" si="6"/>
        <v>8.1947460657553073</v>
      </c>
      <c r="H142" s="67">
        <f t="shared" si="7"/>
        <v>510878.26500000001</v>
      </c>
    </row>
    <row r="143" spans="1:8" x14ac:dyDescent="0.25">
      <c r="A143" s="53">
        <f>'A) Base RI'!A145</f>
        <v>5635</v>
      </c>
      <c r="B143" s="116" t="str">
        <f>'A) Base RI'!B145</f>
        <v>Ecublens</v>
      </c>
      <c r="C143" s="44">
        <f>'B) D RI'!Y145</f>
        <v>1927973.05</v>
      </c>
      <c r="D143" s="10">
        <f>'B) D RI'!Z145</f>
        <v>1718415.3</v>
      </c>
      <c r="E143" s="10">
        <f t="shared" si="8"/>
        <v>3646388.35</v>
      </c>
      <c r="F143" s="10">
        <f>'B) D RI'!U145</f>
        <v>424543.31159592536</v>
      </c>
      <c r="G143" s="295">
        <f t="shared" si="6"/>
        <v>8.5889666623003684</v>
      </c>
      <c r="H143" s="67">
        <f t="shared" si="7"/>
        <v>1479511.115</v>
      </c>
    </row>
    <row r="144" spans="1:8" x14ac:dyDescent="0.25">
      <c r="A144" s="53">
        <f>'A) Base RI'!A146</f>
        <v>5636</v>
      </c>
      <c r="B144" s="116" t="str">
        <f>'A) Base RI'!B146</f>
        <v>Etoy</v>
      </c>
      <c r="C144" s="44">
        <f>'B) D RI'!Y146</f>
        <v>5002394.8999999994</v>
      </c>
      <c r="D144" s="10">
        <f>'B) D RI'!Z146</f>
        <v>521446.40000000002</v>
      </c>
      <c r="E144" s="10">
        <f t="shared" si="8"/>
        <v>5523841.2999999998</v>
      </c>
      <c r="F144" s="10">
        <f>'B) D RI'!U146</f>
        <v>150854.83475409835</v>
      </c>
      <c r="G144" s="295">
        <f t="shared" si="6"/>
        <v>36.616932490126445</v>
      </c>
      <c r="H144" s="67">
        <f t="shared" si="7"/>
        <v>2657631.3699999996</v>
      </c>
    </row>
    <row r="145" spans="1:8" x14ac:dyDescent="0.25">
      <c r="A145" s="53">
        <f>'A) Base RI'!A147</f>
        <v>5637</v>
      </c>
      <c r="B145" s="116" t="str">
        <f>'A) Base RI'!B147</f>
        <v>Lavigny</v>
      </c>
      <c r="C145" s="44">
        <f>'B) D RI'!Y147</f>
        <v>118001.45</v>
      </c>
      <c r="D145" s="10">
        <f>'B) D RI'!Z147</f>
        <v>265599.65000000002</v>
      </c>
      <c r="E145" s="10">
        <f t="shared" si="8"/>
        <v>383601.10000000003</v>
      </c>
      <c r="F145" s="10">
        <f>'B) D RI'!U147</f>
        <v>35788.809619686814</v>
      </c>
      <c r="G145" s="295">
        <f t="shared" si="6"/>
        <v>10.718464907784684</v>
      </c>
      <c r="H145" s="67">
        <f t="shared" si="7"/>
        <v>138680.62</v>
      </c>
    </row>
    <row r="146" spans="1:8" x14ac:dyDescent="0.25">
      <c r="A146" s="53">
        <f>'A) Base RI'!A148</f>
        <v>5638</v>
      </c>
      <c r="B146" s="116" t="str">
        <f>'A) Base RI'!B148</f>
        <v>Lonay</v>
      </c>
      <c r="C146" s="44">
        <f>'B) D RI'!Y148</f>
        <v>2693906.55</v>
      </c>
      <c r="D146" s="10">
        <f>'B) D RI'!Z148</f>
        <v>173908.2</v>
      </c>
      <c r="E146" s="10">
        <f t="shared" si="8"/>
        <v>2867814.75</v>
      </c>
      <c r="F146" s="10">
        <f>'B) D RI'!U148</f>
        <v>150874.30218181817</v>
      </c>
      <c r="G146" s="295">
        <f t="shared" si="6"/>
        <v>19.007973581504988</v>
      </c>
      <c r="H146" s="67">
        <f t="shared" si="7"/>
        <v>1399125.7349999999</v>
      </c>
    </row>
    <row r="147" spans="1:8" x14ac:dyDescent="0.25">
      <c r="A147" s="53">
        <f>'A) Base RI'!A149</f>
        <v>5639</v>
      </c>
      <c r="B147" s="116" t="str">
        <f>'A) Base RI'!B149</f>
        <v>Lully</v>
      </c>
      <c r="C147" s="44">
        <f>'B) D RI'!Y149</f>
        <v>147824.59999999998</v>
      </c>
      <c r="D147" s="10">
        <f>'B) D RI'!Z149</f>
        <v>0</v>
      </c>
      <c r="E147" s="10">
        <f t="shared" si="8"/>
        <v>147824.59999999998</v>
      </c>
      <c r="F147" s="10">
        <f>'B) D RI'!U149</f>
        <v>41723.705573770494</v>
      </c>
      <c r="G147" s="295">
        <f t="shared" si="6"/>
        <v>3.5429403493089922</v>
      </c>
      <c r="H147" s="67">
        <f t="shared" si="7"/>
        <v>73912.299999999988</v>
      </c>
    </row>
    <row r="148" spans="1:8" x14ac:dyDescent="0.25">
      <c r="A148" s="53">
        <f>'A) Base RI'!A150</f>
        <v>5640</v>
      </c>
      <c r="B148" s="116" t="str">
        <f>'A) Base RI'!B150</f>
        <v>Lussy-sur-Morges</v>
      </c>
      <c r="C148" s="44">
        <f>'B) D RI'!Y150</f>
        <v>374759.75</v>
      </c>
      <c r="D148" s="10">
        <f>'B) D RI'!Z150</f>
        <v>20362.95</v>
      </c>
      <c r="E148" s="10">
        <f t="shared" si="8"/>
        <v>395122.7</v>
      </c>
      <c r="F148" s="10">
        <f>'B) D RI'!U150</f>
        <v>54175.567575757566</v>
      </c>
      <c r="G148" s="295">
        <f t="shared" si="6"/>
        <v>7.2933744431467504</v>
      </c>
      <c r="H148" s="67">
        <f t="shared" si="7"/>
        <v>193488.76</v>
      </c>
    </row>
    <row r="149" spans="1:8" x14ac:dyDescent="0.25">
      <c r="A149" s="53">
        <f>'A) Base RI'!A151</f>
        <v>5642</v>
      </c>
      <c r="B149" s="116" t="str">
        <f>'A) Base RI'!B151</f>
        <v>Morges</v>
      </c>
      <c r="C149" s="44">
        <f>'B) D RI'!Y151</f>
        <v>4228481.4000000004</v>
      </c>
      <c r="D149" s="10">
        <f>'B) D RI'!Z151</f>
        <v>1269504.8500000001</v>
      </c>
      <c r="E149" s="10">
        <f t="shared" si="8"/>
        <v>5497986.25</v>
      </c>
      <c r="F149" s="10">
        <f>'B) D RI'!U151</f>
        <v>781778.61635036487</v>
      </c>
      <c r="G149" s="295">
        <f t="shared" si="6"/>
        <v>7.0326638961636698</v>
      </c>
      <c r="H149" s="67">
        <f t="shared" si="7"/>
        <v>2495092.1550000003</v>
      </c>
    </row>
    <row r="150" spans="1:8" x14ac:dyDescent="0.25">
      <c r="A150" s="53">
        <f>'A) Base RI'!A152</f>
        <v>5643</v>
      </c>
      <c r="B150" s="116" t="str">
        <f>'A) Base RI'!B152</f>
        <v>Préverenges</v>
      </c>
      <c r="C150" s="44">
        <f>'B) D RI'!Y152</f>
        <v>973989.95</v>
      </c>
      <c r="D150" s="10">
        <f>'B) D RI'!Z152</f>
        <v>204178.25</v>
      </c>
      <c r="E150" s="10">
        <f t="shared" si="8"/>
        <v>1178168.2</v>
      </c>
      <c r="F150" s="10">
        <f>'B) D RI'!U152</f>
        <v>262779.91921874997</v>
      </c>
      <c r="G150" s="295">
        <f t="shared" si="6"/>
        <v>4.4834788118617199</v>
      </c>
      <c r="H150" s="67">
        <f t="shared" si="7"/>
        <v>548248.44999999995</v>
      </c>
    </row>
    <row r="151" spans="1:8" x14ac:dyDescent="0.25">
      <c r="A151" s="53">
        <f>'A) Base RI'!A153</f>
        <v>5644</v>
      </c>
      <c r="B151" s="116" t="str">
        <f>'A) Base RI'!B153</f>
        <v>Reverolle</v>
      </c>
      <c r="C151" s="44">
        <f>'B) D RI'!Y153</f>
        <v>56590.35</v>
      </c>
      <c r="D151" s="10">
        <f>'B) D RI'!Z153</f>
        <v>10960.05</v>
      </c>
      <c r="E151" s="10">
        <f t="shared" si="8"/>
        <v>67550.399999999994</v>
      </c>
      <c r="F151" s="10">
        <f>'B) D RI'!U153</f>
        <v>14128.860263157892</v>
      </c>
      <c r="G151" s="295">
        <f t="shared" si="6"/>
        <v>4.7810225836929634</v>
      </c>
      <c r="H151" s="67">
        <f t="shared" si="7"/>
        <v>31583.19</v>
      </c>
    </row>
    <row r="152" spans="1:8" x14ac:dyDescent="0.25">
      <c r="A152" s="53">
        <f>'A) Base RI'!A154</f>
        <v>5645</v>
      </c>
      <c r="B152" s="116" t="str">
        <f>'A) Base RI'!B154</f>
        <v>Romanel-sur-Morges</v>
      </c>
      <c r="C152" s="44">
        <f>'B) D RI'!Y154</f>
        <v>104530.85</v>
      </c>
      <c r="D152" s="10">
        <f>'B) D RI'!Z154</f>
        <v>61686.3</v>
      </c>
      <c r="E152" s="10">
        <f t="shared" si="8"/>
        <v>166217.15000000002</v>
      </c>
      <c r="F152" s="10">
        <f>'B) D RI'!U154</f>
        <v>26355.884598214288</v>
      </c>
      <c r="G152" s="295">
        <f t="shared" si="6"/>
        <v>6.306642806110248</v>
      </c>
      <c r="H152" s="67">
        <f t="shared" si="7"/>
        <v>70771.315000000002</v>
      </c>
    </row>
    <row r="153" spans="1:8" x14ac:dyDescent="0.25">
      <c r="A153" s="53">
        <f>'A) Base RI'!A155</f>
        <v>5646</v>
      </c>
      <c r="B153" s="116" t="str">
        <f>'A) Base RI'!B155</f>
        <v>Saint-Prex</v>
      </c>
      <c r="C153" s="44">
        <f>'B) D RI'!Y155</f>
        <v>1395664.05</v>
      </c>
      <c r="D153" s="10">
        <f>'B) D RI'!Z155</f>
        <v>610213.05000000005</v>
      </c>
      <c r="E153" s="10">
        <f t="shared" si="8"/>
        <v>2005877.1</v>
      </c>
      <c r="F153" s="10">
        <f>'B) D RI'!U155</f>
        <v>529776.58672727272</v>
      </c>
      <c r="G153" s="295">
        <f t="shared" si="6"/>
        <v>3.786269816851342</v>
      </c>
      <c r="H153" s="67">
        <f t="shared" si="7"/>
        <v>880895.94000000006</v>
      </c>
    </row>
    <row r="154" spans="1:8" x14ac:dyDescent="0.25">
      <c r="A154" s="53">
        <f>'A) Base RI'!A156</f>
        <v>5648</v>
      </c>
      <c r="B154" s="116" t="str">
        <f>'A) Base RI'!B156</f>
        <v>Saint-Sulpice</v>
      </c>
      <c r="C154" s="44">
        <f>'B) D RI'!Y156</f>
        <v>2779847.5</v>
      </c>
      <c r="D154" s="10">
        <f>'B) D RI'!Z156</f>
        <v>50581.9</v>
      </c>
      <c r="E154" s="10">
        <f t="shared" si="8"/>
        <v>2830429.4</v>
      </c>
      <c r="F154" s="10">
        <f>'B) D RI'!U156</f>
        <v>320539.61704545456</v>
      </c>
      <c r="G154" s="295">
        <f t="shared" si="6"/>
        <v>8.8302014773999904</v>
      </c>
      <c r="H154" s="67">
        <f t="shared" si="7"/>
        <v>1405098.32</v>
      </c>
    </row>
    <row r="155" spans="1:8" x14ac:dyDescent="0.25">
      <c r="A155" s="53">
        <f>'A) Base RI'!A157</f>
        <v>5649</v>
      </c>
      <c r="B155" s="116" t="str">
        <f>'A) Base RI'!B157</f>
        <v>Tolochenaz</v>
      </c>
      <c r="C155" s="44">
        <f>'B) D RI'!Y157</f>
        <v>617334.35</v>
      </c>
      <c r="D155" s="10">
        <f>'B) D RI'!Z157</f>
        <v>470084</v>
      </c>
      <c r="E155" s="10">
        <f t="shared" si="8"/>
        <v>1087418.3500000001</v>
      </c>
      <c r="F155" s="10">
        <f>'B) D RI'!U157</f>
        <v>78727.730769230766</v>
      </c>
      <c r="G155" s="295">
        <f t="shared" si="6"/>
        <v>13.812392906223545</v>
      </c>
      <c r="H155" s="67">
        <f t="shared" si="7"/>
        <v>449692.375</v>
      </c>
    </row>
    <row r="156" spans="1:8" x14ac:dyDescent="0.25">
      <c r="A156" s="53">
        <f>'A) Base RI'!A158</f>
        <v>5650</v>
      </c>
      <c r="B156" s="116" t="str">
        <f>'A) Base RI'!B158</f>
        <v>Vaux-sur-Morges</v>
      </c>
      <c r="C156" s="44">
        <f>'B) D RI'!Y158</f>
        <v>2238.1999999999998</v>
      </c>
      <c r="D156" s="10">
        <f>'B) D RI'!Z158</f>
        <v>0</v>
      </c>
      <c r="E156" s="10">
        <f t="shared" si="8"/>
        <v>2238.1999999999998</v>
      </c>
      <c r="F156" s="10">
        <f>'B) D RI'!U158</f>
        <v>258152.18179487175</v>
      </c>
      <c r="G156" s="295">
        <f t="shared" si="6"/>
        <v>8.6700797352876075E-3</v>
      </c>
      <c r="H156" s="67">
        <f t="shared" si="7"/>
        <v>1119.0999999999999</v>
      </c>
    </row>
    <row r="157" spans="1:8" x14ac:dyDescent="0.25">
      <c r="A157" s="53">
        <f>'A) Base RI'!A159</f>
        <v>5651</v>
      </c>
      <c r="B157" s="116" t="str">
        <f>'A) Base RI'!B159</f>
        <v>Villars-Sainte-Croix</v>
      </c>
      <c r="C157" s="44">
        <f>'B) D RI'!Y159</f>
        <v>338924.44999999995</v>
      </c>
      <c r="D157" s="10">
        <f>'B) D RI'!Z159</f>
        <v>185736.05</v>
      </c>
      <c r="E157" s="10">
        <f t="shared" si="8"/>
        <v>524660.5</v>
      </c>
      <c r="F157" s="10">
        <f>'B) D RI'!U159</f>
        <v>39092.930338983046</v>
      </c>
      <c r="G157" s="295">
        <f t="shared" si="6"/>
        <v>13.420853731110922</v>
      </c>
      <c r="H157" s="67">
        <f t="shared" si="7"/>
        <v>225183.03999999998</v>
      </c>
    </row>
    <row r="158" spans="1:8" x14ac:dyDescent="0.25">
      <c r="A158" s="53">
        <f>'A) Base RI'!A160</f>
        <v>5652</v>
      </c>
      <c r="B158" s="116" t="str">
        <f>'A) Base RI'!B160</f>
        <v>Villars-sous-Yens</v>
      </c>
      <c r="C158" s="44">
        <f>'B) D RI'!Y160</f>
        <v>127243.45000000001</v>
      </c>
      <c r="D158" s="10">
        <f>'B) D RI'!Z160</f>
        <v>2656.2</v>
      </c>
      <c r="E158" s="10">
        <f t="shared" si="8"/>
        <v>129899.65000000001</v>
      </c>
      <c r="F158" s="10">
        <f>'B) D RI'!U160</f>
        <v>21921.455131578947</v>
      </c>
      <c r="G158" s="295">
        <f t="shared" si="6"/>
        <v>5.9256855541890143</v>
      </c>
      <c r="H158" s="67">
        <f t="shared" si="7"/>
        <v>64418.585000000006</v>
      </c>
    </row>
    <row r="159" spans="1:8" x14ac:dyDescent="0.25">
      <c r="A159" s="53">
        <f>'A) Base RI'!A161</f>
        <v>5653</v>
      </c>
      <c r="B159" s="116" t="str">
        <f>'A) Base RI'!B161</f>
        <v>Vufflens-le-Château</v>
      </c>
      <c r="C159" s="44">
        <f>'B) D RI'!Y161</f>
        <v>205885.45</v>
      </c>
      <c r="D159" s="10">
        <f>'B) D RI'!Z161</f>
        <v>1378.1</v>
      </c>
      <c r="E159" s="10">
        <f t="shared" si="8"/>
        <v>207263.55000000002</v>
      </c>
      <c r="F159" s="10">
        <f>'B) D RI'!U161</f>
        <v>61105.159227272721</v>
      </c>
      <c r="G159" s="295">
        <f t="shared" si="6"/>
        <v>3.3919157174455612</v>
      </c>
      <c r="H159" s="67">
        <f t="shared" si="7"/>
        <v>103356.155</v>
      </c>
    </row>
    <row r="160" spans="1:8" x14ac:dyDescent="0.25">
      <c r="A160" s="53">
        <f>'A) Base RI'!A162</f>
        <v>5654</v>
      </c>
      <c r="B160" s="116" t="str">
        <f>'A) Base RI'!B162</f>
        <v>Vullierens</v>
      </c>
      <c r="C160" s="44">
        <f>'B) D RI'!Y162</f>
        <v>96037.65</v>
      </c>
      <c r="D160" s="10">
        <f>'B) D RI'!Z162</f>
        <v>1924.35</v>
      </c>
      <c r="E160" s="10">
        <f t="shared" si="8"/>
        <v>97962</v>
      </c>
      <c r="F160" s="10">
        <f>'B) D RI'!U162</f>
        <v>17141.735000000001</v>
      </c>
      <c r="G160" s="295">
        <f t="shared" si="6"/>
        <v>5.7148240828597574</v>
      </c>
      <c r="H160" s="67">
        <f t="shared" si="7"/>
        <v>48596.13</v>
      </c>
    </row>
    <row r="161" spans="1:8" x14ac:dyDescent="0.25">
      <c r="A161" s="53">
        <f>'A) Base RI'!A163</f>
        <v>5655</v>
      </c>
      <c r="B161" s="116" t="str">
        <f>'A) Base RI'!B163</f>
        <v>Yens</v>
      </c>
      <c r="C161" s="44">
        <f>'B) D RI'!Y163</f>
        <v>199199.34999999998</v>
      </c>
      <c r="D161" s="10">
        <f>'B) D RI'!Z163</f>
        <v>67540.800000000003</v>
      </c>
      <c r="E161" s="10">
        <f t="shared" si="8"/>
        <v>266740.14999999997</v>
      </c>
      <c r="F161" s="10">
        <f>'B) D RI'!U163</f>
        <v>83580.564109589031</v>
      </c>
      <c r="G161" s="295">
        <f t="shared" si="6"/>
        <v>3.1914136120241547</v>
      </c>
      <c r="H161" s="67">
        <f t="shared" si="7"/>
        <v>119861.91499999999</v>
      </c>
    </row>
    <row r="162" spans="1:8" x14ac:dyDescent="0.25">
      <c r="A162" s="53">
        <f>'A) Base RI'!A164</f>
        <v>5661</v>
      </c>
      <c r="B162" s="116" t="str">
        <f>'A) Base RI'!B164</f>
        <v>Boulens</v>
      </c>
      <c r="C162" s="44">
        <f>'B) D RI'!Y164</f>
        <v>39458.199999999997</v>
      </c>
      <c r="D162" s="10">
        <f>'B) D RI'!Z164</f>
        <v>13441.35</v>
      </c>
      <c r="E162" s="10">
        <f t="shared" si="8"/>
        <v>52899.549999999996</v>
      </c>
      <c r="F162" s="10">
        <f>'B) D RI'!U164</f>
        <v>9592.9711392405043</v>
      </c>
      <c r="G162" s="295">
        <f t="shared" si="6"/>
        <v>5.5144072917734395</v>
      </c>
      <c r="H162" s="67">
        <f t="shared" si="7"/>
        <v>23761.504999999997</v>
      </c>
    </row>
    <row r="163" spans="1:8" x14ac:dyDescent="0.25">
      <c r="A163" s="53">
        <f>'A) Base RI'!A165</f>
        <v>5662</v>
      </c>
      <c r="B163" s="116" t="str">
        <f>'A) Base RI'!B165</f>
        <v>Brenles</v>
      </c>
      <c r="C163" s="44">
        <f>'B) D RI'!Y165</f>
        <v>49566.75</v>
      </c>
      <c r="D163" s="10">
        <f>'B) D RI'!Z165</f>
        <v>0</v>
      </c>
      <c r="E163" s="10">
        <f t="shared" si="8"/>
        <v>49566.75</v>
      </c>
      <c r="F163" s="10">
        <f>'B) D RI'!U165</f>
        <v>5126.068504273504</v>
      </c>
      <c r="G163" s="295">
        <f t="shared" si="6"/>
        <v>9.6695449853386002</v>
      </c>
      <c r="H163" s="67">
        <f t="shared" si="7"/>
        <v>24783.375</v>
      </c>
    </row>
    <row r="164" spans="1:8" x14ac:dyDescent="0.25">
      <c r="A164" s="53">
        <f>'A) Base RI'!A166</f>
        <v>5663</v>
      </c>
      <c r="B164" s="116" t="str">
        <f>'A) Base RI'!B166</f>
        <v>Bussy-sur-Moudon</v>
      </c>
      <c r="C164" s="44">
        <f>'B) D RI'!Y166</f>
        <v>20699.7</v>
      </c>
      <c r="D164" s="10">
        <f>'B) D RI'!Z166</f>
        <v>0</v>
      </c>
      <c r="E164" s="10">
        <f t="shared" si="8"/>
        <v>20699.7</v>
      </c>
      <c r="F164" s="10">
        <f>'B) D RI'!U166</f>
        <v>5468.4132499999996</v>
      </c>
      <c r="G164" s="295">
        <f t="shared" si="6"/>
        <v>3.7853210892574736</v>
      </c>
      <c r="H164" s="67">
        <f t="shared" si="7"/>
        <v>10349.85</v>
      </c>
    </row>
    <row r="165" spans="1:8" x14ac:dyDescent="0.25">
      <c r="A165" s="53">
        <f>'A) Base RI'!A167</f>
        <v>5665</v>
      </c>
      <c r="B165" s="116" t="str">
        <f>'A) Base RI'!B167</f>
        <v>Chavannes-sur-Moudon</v>
      </c>
      <c r="C165" s="44">
        <f>'B) D RI'!Y167</f>
        <v>2420</v>
      </c>
      <c r="D165" s="10">
        <f>'B) D RI'!Z167</f>
        <v>0</v>
      </c>
      <c r="E165" s="10">
        <f t="shared" si="8"/>
        <v>2420</v>
      </c>
      <c r="F165" s="10">
        <f>'B) D RI'!U167</f>
        <v>4982.8790410958891</v>
      </c>
      <c r="G165" s="295">
        <f t="shared" si="6"/>
        <v>0.48566300326402612</v>
      </c>
      <c r="H165" s="67">
        <f t="shared" si="7"/>
        <v>1210</v>
      </c>
    </row>
    <row r="166" spans="1:8" x14ac:dyDescent="0.25">
      <c r="A166" s="53">
        <f>'A) Base RI'!A168</f>
        <v>5666</v>
      </c>
      <c r="B166" s="116" t="str">
        <f>'A) Base RI'!B168</f>
        <v>Chesalles-sur-Moudon</v>
      </c>
      <c r="C166" s="44">
        <f>'B) D RI'!Y168</f>
        <v>0</v>
      </c>
      <c r="D166" s="10">
        <f>'B) D RI'!Z168</f>
        <v>0</v>
      </c>
      <c r="E166" s="10">
        <f t="shared" si="8"/>
        <v>0</v>
      </c>
      <c r="F166" s="10">
        <f>'B) D RI'!U168</f>
        <v>3797.0531999999998</v>
      </c>
      <c r="G166" s="295">
        <f t="shared" si="6"/>
        <v>0</v>
      </c>
      <c r="H166" s="67">
        <f t="shared" si="7"/>
        <v>0</v>
      </c>
    </row>
    <row r="167" spans="1:8" x14ac:dyDescent="0.25">
      <c r="A167" s="53">
        <f>'A) Base RI'!A169</f>
        <v>5668</v>
      </c>
      <c r="B167" s="116" t="str">
        <f>'A) Base RI'!B169</f>
        <v>Cremin</v>
      </c>
      <c r="C167" s="44">
        <f>'B) D RI'!Y169</f>
        <v>5658.85</v>
      </c>
      <c r="D167" s="10">
        <f>'B) D RI'!Z169</f>
        <v>0</v>
      </c>
      <c r="E167" s="10">
        <f t="shared" si="8"/>
        <v>5658.85</v>
      </c>
      <c r="F167" s="10">
        <f>'B) D RI'!U169</f>
        <v>1016.3289610389612</v>
      </c>
      <c r="G167" s="295">
        <f t="shared" si="6"/>
        <v>5.5679314640558264</v>
      </c>
      <c r="H167" s="67">
        <f t="shared" si="7"/>
        <v>2829.4250000000002</v>
      </c>
    </row>
    <row r="168" spans="1:8" x14ac:dyDescent="0.25">
      <c r="A168" s="53">
        <f>'A) Base RI'!A170</f>
        <v>5669</v>
      </c>
      <c r="B168" s="116" t="str">
        <f>'A) Base RI'!B170</f>
        <v>Curtilles</v>
      </c>
      <c r="C168" s="44">
        <f>'B) D RI'!Y170</f>
        <v>6066.4</v>
      </c>
      <c r="D168" s="10">
        <f>'B) D RI'!Z170</f>
        <v>0</v>
      </c>
      <c r="E168" s="10">
        <f t="shared" si="8"/>
        <v>6066.4</v>
      </c>
      <c r="F168" s="10">
        <f>'B) D RI'!U170</f>
        <v>8279.174027777779</v>
      </c>
      <c r="G168" s="295">
        <f t="shared" si="6"/>
        <v>0.73273009839464476</v>
      </c>
      <c r="H168" s="67">
        <f t="shared" si="7"/>
        <v>3033.2</v>
      </c>
    </row>
    <row r="169" spans="1:8" x14ac:dyDescent="0.25">
      <c r="A169" s="53">
        <f>'A) Base RI'!A171</f>
        <v>5671</v>
      </c>
      <c r="B169" s="116" t="str">
        <f>'A) Base RI'!B171</f>
        <v>Dompierre</v>
      </c>
      <c r="C169" s="44">
        <f>'B) D RI'!Y171</f>
        <v>0</v>
      </c>
      <c r="D169" s="10">
        <f>'B) D RI'!Z171</f>
        <v>0</v>
      </c>
      <c r="E169" s="10">
        <f t="shared" si="8"/>
        <v>0</v>
      </c>
      <c r="F169" s="10">
        <f>'B) D RI'!U171</f>
        <v>6672.7971250000001</v>
      </c>
      <c r="G169" s="295">
        <f t="shared" si="6"/>
        <v>0</v>
      </c>
      <c r="H169" s="67">
        <f t="shared" si="7"/>
        <v>0</v>
      </c>
    </row>
    <row r="170" spans="1:8" x14ac:dyDescent="0.25">
      <c r="A170" s="53">
        <f>'A) Base RI'!A172</f>
        <v>5672</v>
      </c>
      <c r="B170" s="116" t="str">
        <f>'A) Base RI'!B172</f>
        <v>Forel-sur-Lucens</v>
      </c>
      <c r="C170" s="44">
        <f>'B) D RI'!Y172</f>
        <v>2200</v>
      </c>
      <c r="D170" s="10">
        <f>'B) D RI'!Z172</f>
        <v>0</v>
      </c>
      <c r="E170" s="10">
        <f t="shared" si="8"/>
        <v>2200</v>
      </c>
      <c r="F170" s="10">
        <f>'B) D RI'!U172</f>
        <v>4096.3695000000007</v>
      </c>
      <c r="G170" s="295">
        <f t="shared" ref="G170:G225" si="9">E170/F170</f>
        <v>0.53706092675477635</v>
      </c>
      <c r="H170" s="67">
        <f t="shared" si="7"/>
        <v>1100</v>
      </c>
    </row>
    <row r="171" spans="1:8" x14ac:dyDescent="0.25">
      <c r="A171" s="53">
        <f>'A) Base RI'!A173</f>
        <v>5673</v>
      </c>
      <c r="B171" s="116" t="str">
        <f>'A) Base RI'!B173</f>
        <v>Hermenches</v>
      </c>
      <c r="C171" s="44">
        <f>'B) D RI'!Y173</f>
        <v>15018.15</v>
      </c>
      <c r="D171" s="10">
        <f>'B) D RI'!Z173</f>
        <v>17541.400000000001</v>
      </c>
      <c r="E171" s="10">
        <f t="shared" si="8"/>
        <v>32559.550000000003</v>
      </c>
      <c r="F171" s="10">
        <f>'B) D RI'!U173</f>
        <v>7873.3323555555571</v>
      </c>
      <c r="G171" s="295">
        <f t="shared" si="9"/>
        <v>4.1354217667472692</v>
      </c>
      <c r="H171" s="67">
        <f t="shared" ref="H171:H226" si="10">(C171*$C$4)+(D171*$D$4)</f>
        <v>12771.494999999999</v>
      </c>
    </row>
    <row r="172" spans="1:8" x14ac:dyDescent="0.25">
      <c r="A172" s="53">
        <f>'A) Base RI'!A174</f>
        <v>5674</v>
      </c>
      <c r="B172" s="116" t="str">
        <f>'A) Base RI'!B174</f>
        <v>Lovatens</v>
      </c>
      <c r="C172" s="44">
        <f>'B) D RI'!Y174</f>
        <v>55216.3</v>
      </c>
      <c r="D172" s="10">
        <f>'B) D RI'!Z174</f>
        <v>0</v>
      </c>
      <c r="E172" s="10">
        <f t="shared" si="8"/>
        <v>55216.3</v>
      </c>
      <c r="F172" s="10">
        <f>'B) D RI'!U174</f>
        <v>3776.8391809523814</v>
      </c>
      <c r="G172" s="295">
        <f t="shared" si="9"/>
        <v>14.619711709852698</v>
      </c>
      <c r="H172" s="67">
        <f t="shared" si="10"/>
        <v>27608.15</v>
      </c>
    </row>
    <row r="173" spans="1:8" x14ac:dyDescent="0.25">
      <c r="A173" s="53">
        <f>'A) Base RI'!A175</f>
        <v>5675</v>
      </c>
      <c r="B173" s="116" t="str">
        <f>'A) Base RI'!B175</f>
        <v>Lucens</v>
      </c>
      <c r="C173" s="44">
        <f>'B) D RI'!Y175</f>
        <v>351508.80000000005</v>
      </c>
      <c r="D173" s="10">
        <f>'B) D RI'!Z175</f>
        <v>31958.400000000001</v>
      </c>
      <c r="E173" s="10">
        <f t="shared" si="8"/>
        <v>383467.20000000007</v>
      </c>
      <c r="F173" s="10">
        <f>'B) D RI'!U175</f>
        <v>77479.696914600558</v>
      </c>
      <c r="G173" s="295">
        <f t="shared" si="9"/>
        <v>4.9492604549378161</v>
      </c>
      <c r="H173" s="67">
        <f t="shared" si="10"/>
        <v>185341.92</v>
      </c>
    </row>
    <row r="174" spans="1:8" x14ac:dyDescent="0.25">
      <c r="A174" s="53">
        <f>'A) Base RI'!A176</f>
        <v>5678</v>
      </c>
      <c r="B174" s="116" t="str">
        <f>'A) Base RI'!B176</f>
        <v>Moudon</v>
      </c>
      <c r="C174" s="44">
        <f>'B) D RI'!Y176</f>
        <v>698300.4</v>
      </c>
      <c r="D174" s="10">
        <f>'B) D RI'!Z176</f>
        <v>174981.1</v>
      </c>
      <c r="E174" s="10">
        <f t="shared" si="8"/>
        <v>873281.5</v>
      </c>
      <c r="F174" s="10">
        <f>'B) D RI'!U176</f>
        <v>123116.47720000001</v>
      </c>
      <c r="G174" s="295">
        <f t="shared" si="9"/>
        <v>7.0931326160459696</v>
      </c>
      <c r="H174" s="67">
        <f t="shared" si="10"/>
        <v>401644.53</v>
      </c>
    </row>
    <row r="175" spans="1:8" x14ac:dyDescent="0.25">
      <c r="A175" s="53">
        <f>'A) Base RI'!A177</f>
        <v>5680</v>
      </c>
      <c r="B175" s="116" t="str">
        <f>'A) Base RI'!B177</f>
        <v>Ogens</v>
      </c>
      <c r="C175" s="44">
        <f>'B) D RI'!Y177</f>
        <v>39469.949999999997</v>
      </c>
      <c r="D175" s="10">
        <f>'B) D RI'!Z177</f>
        <v>0</v>
      </c>
      <c r="E175" s="10">
        <f t="shared" si="8"/>
        <v>39469.949999999997</v>
      </c>
      <c r="F175" s="10">
        <f>'B) D RI'!U177</f>
        <v>8504.3488034188031</v>
      </c>
      <c r="G175" s="295">
        <f t="shared" si="9"/>
        <v>4.6411490065098011</v>
      </c>
      <c r="H175" s="67">
        <f t="shared" si="10"/>
        <v>19734.974999999999</v>
      </c>
    </row>
    <row r="176" spans="1:8" x14ac:dyDescent="0.25">
      <c r="A176" s="53">
        <f>'A) Base RI'!A178</f>
        <v>5683</v>
      </c>
      <c r="B176" s="116" t="str">
        <f>'A) Base RI'!B178</f>
        <v>Prévonloup</v>
      </c>
      <c r="C176" s="44">
        <f>'B) D RI'!Y178</f>
        <v>0</v>
      </c>
      <c r="D176" s="10">
        <f>'B) D RI'!Z178</f>
        <v>0</v>
      </c>
      <c r="E176" s="10">
        <f t="shared" si="8"/>
        <v>0</v>
      </c>
      <c r="F176" s="10">
        <f>'B) D RI'!U178</f>
        <v>4128.5685135135127</v>
      </c>
      <c r="G176" s="295">
        <f t="shared" si="9"/>
        <v>0</v>
      </c>
      <c r="H176" s="67">
        <f t="shared" si="10"/>
        <v>0</v>
      </c>
    </row>
    <row r="177" spans="1:8" x14ac:dyDescent="0.25">
      <c r="A177" s="53">
        <f>'A) Base RI'!A179</f>
        <v>5684</v>
      </c>
      <c r="B177" s="116" t="str">
        <f>'A) Base RI'!B179</f>
        <v>Rossenges</v>
      </c>
      <c r="C177" s="44">
        <f>'B) D RI'!Y179</f>
        <v>0</v>
      </c>
      <c r="D177" s="10">
        <f>'B) D RI'!Z179</f>
        <v>0</v>
      </c>
      <c r="E177" s="10">
        <f t="shared" si="8"/>
        <v>0</v>
      </c>
      <c r="F177" s="10">
        <f>'B) D RI'!U179</f>
        <v>2119.9519999999998</v>
      </c>
      <c r="G177" s="295">
        <f t="shared" si="9"/>
        <v>0</v>
      </c>
      <c r="H177" s="67">
        <f t="shared" si="10"/>
        <v>0</v>
      </c>
    </row>
    <row r="178" spans="1:8" x14ac:dyDescent="0.25">
      <c r="A178" s="53">
        <f>'A) Base RI'!A180</f>
        <v>5686</v>
      </c>
      <c r="B178" s="116" t="str">
        <f>'A) Base RI'!B180</f>
        <v>Sarzens</v>
      </c>
      <c r="C178" s="44">
        <f>'B) D RI'!Y180</f>
        <v>12326.9</v>
      </c>
      <c r="D178" s="10">
        <f>'B) D RI'!Z180</f>
        <v>0</v>
      </c>
      <c r="E178" s="10">
        <f t="shared" si="8"/>
        <v>12326.9</v>
      </c>
      <c r="F178" s="10">
        <f>'B) D RI'!U180</f>
        <v>1678.3095945945947</v>
      </c>
      <c r="G178" s="295">
        <f t="shared" si="9"/>
        <v>7.3448307986212953</v>
      </c>
      <c r="H178" s="67">
        <f t="shared" si="10"/>
        <v>6163.45</v>
      </c>
    </row>
    <row r="179" spans="1:8" x14ac:dyDescent="0.25">
      <c r="A179" s="53">
        <f>'A) Base RI'!A181</f>
        <v>5688</v>
      </c>
      <c r="B179" s="116" t="str">
        <f>'A) Base RI'!B181</f>
        <v>Syens</v>
      </c>
      <c r="C179" s="44">
        <f>'B) D RI'!Y181</f>
        <v>43036.75</v>
      </c>
      <c r="D179" s="10">
        <f>'B) D RI'!Z181</f>
        <v>115.75</v>
      </c>
      <c r="E179" s="10">
        <f t="shared" si="8"/>
        <v>43152.5</v>
      </c>
      <c r="F179" s="10">
        <f>'B) D RI'!U181</f>
        <v>4845.4007936507942</v>
      </c>
      <c r="G179" s="295">
        <f t="shared" si="9"/>
        <v>8.9058680257255887</v>
      </c>
      <c r="H179" s="67">
        <f t="shared" si="10"/>
        <v>21553.1</v>
      </c>
    </row>
    <row r="180" spans="1:8" x14ac:dyDescent="0.25">
      <c r="A180" s="53">
        <f>'A) Base RI'!A182</f>
        <v>5690</v>
      </c>
      <c r="B180" s="116" t="str">
        <f>'A) Base RI'!B182</f>
        <v>Villars-le-Comte</v>
      </c>
      <c r="C180" s="44">
        <f>'B) D RI'!Y182</f>
        <v>2746.25</v>
      </c>
      <c r="D180" s="10">
        <f>'B) D RI'!Z182</f>
        <v>0</v>
      </c>
      <c r="E180" s="10">
        <f t="shared" si="8"/>
        <v>2746.25</v>
      </c>
      <c r="F180" s="10">
        <f>'B) D RI'!U182</f>
        <v>3252.2851315789467</v>
      </c>
      <c r="G180" s="295">
        <f t="shared" si="9"/>
        <v>0.84440628324206235</v>
      </c>
      <c r="H180" s="67">
        <f t="shared" si="10"/>
        <v>1373.125</v>
      </c>
    </row>
    <row r="181" spans="1:8" x14ac:dyDescent="0.25">
      <c r="A181" s="53">
        <f>'A) Base RI'!A183</f>
        <v>5692</v>
      </c>
      <c r="B181" s="116" t="str">
        <f>'A) Base RI'!B183</f>
        <v>Vucherens</v>
      </c>
      <c r="C181" s="44">
        <f>'B) D RI'!Y183</f>
        <v>136228.04999999999</v>
      </c>
      <c r="D181" s="10">
        <f>'B) D RI'!Z183</f>
        <v>5328.7</v>
      </c>
      <c r="E181" s="10">
        <f t="shared" si="8"/>
        <v>141556.75</v>
      </c>
      <c r="F181" s="10">
        <f>'B) D RI'!U183</f>
        <v>16993.232405063292</v>
      </c>
      <c r="G181" s="295">
        <f t="shared" si="9"/>
        <v>8.3301838417640806</v>
      </c>
      <c r="H181" s="67">
        <f t="shared" si="10"/>
        <v>69712.634999999995</v>
      </c>
    </row>
    <row r="182" spans="1:8" x14ac:dyDescent="0.25">
      <c r="A182" s="53">
        <f>'A) Base RI'!A184</f>
        <v>5693</v>
      </c>
      <c r="B182" s="116" t="str">
        <f>'A) Base RI'!B184</f>
        <v>Montanaire</v>
      </c>
      <c r="C182" s="44">
        <f>'B) D RI'!Y184</f>
        <v>286683.59999999998</v>
      </c>
      <c r="D182" s="10">
        <f>'B) D RI'!Z184</f>
        <v>11101.4</v>
      </c>
      <c r="E182" s="10">
        <f t="shared" si="8"/>
        <v>297785</v>
      </c>
      <c r="F182" s="10">
        <f>'B) D RI'!U184</f>
        <v>63585.08152777778</v>
      </c>
      <c r="G182" s="295">
        <f>E182/F182</f>
        <v>4.6832526253805247</v>
      </c>
      <c r="H182" s="67">
        <f>(C182*$C$4)+(D182*$D$4)</f>
        <v>146672.22</v>
      </c>
    </row>
    <row r="183" spans="1:8" x14ac:dyDescent="0.25">
      <c r="A183" s="53">
        <f>'A) Base RI'!A185</f>
        <v>5701</v>
      </c>
      <c r="B183" s="116" t="str">
        <f>'A) Base RI'!B185</f>
        <v>Arnex-sur-Nyon</v>
      </c>
      <c r="C183" s="44">
        <f>'B) D RI'!Y185</f>
        <v>113832.35</v>
      </c>
      <c r="D183" s="10">
        <f>'B) D RI'!Z185</f>
        <v>0</v>
      </c>
      <c r="E183" s="10">
        <f t="shared" si="8"/>
        <v>113832.35</v>
      </c>
      <c r="F183" s="10">
        <f>'B) D RI'!U185</f>
        <v>15270.610714285714</v>
      </c>
      <c r="G183" s="295">
        <f>E183/F183</f>
        <v>7.4543416848095934</v>
      </c>
      <c r="H183" s="67">
        <f>(C183*$C$4)+(D183*$D$4)</f>
        <v>56916.175000000003</v>
      </c>
    </row>
    <row r="184" spans="1:8" x14ac:dyDescent="0.25">
      <c r="A184" s="53">
        <f>'A) Base RI'!A186</f>
        <v>5702</v>
      </c>
      <c r="B184" s="116" t="str">
        <f>'A) Base RI'!B186</f>
        <v>Arzier-Le Muids</v>
      </c>
      <c r="C184" s="44">
        <f>'B) D RI'!Y186</f>
        <v>906076.75</v>
      </c>
      <c r="D184" s="10">
        <f>'B) D RI'!Z186</f>
        <v>60340.95</v>
      </c>
      <c r="E184" s="10">
        <f t="shared" si="8"/>
        <v>966417.7</v>
      </c>
      <c r="F184" s="10">
        <f>'B) D RI'!U186</f>
        <v>153872.87421874999</v>
      </c>
      <c r="G184" s="295">
        <f t="shared" si="9"/>
        <v>6.2806242159752825</v>
      </c>
      <c r="H184" s="67">
        <f t="shared" si="10"/>
        <v>471140.66</v>
      </c>
    </row>
    <row r="185" spans="1:8" x14ac:dyDescent="0.25">
      <c r="A185" s="53">
        <f>'A) Base RI'!A187</f>
        <v>5703</v>
      </c>
      <c r="B185" s="116" t="str">
        <f>'A) Base RI'!B187</f>
        <v>Bassins</v>
      </c>
      <c r="C185" s="44">
        <f>'B) D RI'!Y187</f>
        <v>189955.19999999998</v>
      </c>
      <c r="D185" s="10">
        <f>'B) D RI'!Z187</f>
        <v>34704.25</v>
      </c>
      <c r="E185" s="10">
        <f t="shared" si="8"/>
        <v>224659.44999999998</v>
      </c>
      <c r="F185" s="10">
        <f>'B) D RI'!U187</f>
        <v>52372.205915492945</v>
      </c>
      <c r="G185" s="295">
        <f t="shared" si="9"/>
        <v>4.2896694166846308</v>
      </c>
      <c r="H185" s="67">
        <f t="shared" si="10"/>
        <v>105388.87499999999</v>
      </c>
    </row>
    <row r="186" spans="1:8" x14ac:dyDescent="0.25">
      <c r="A186" s="53">
        <f>'A) Base RI'!A188</f>
        <v>5704</v>
      </c>
      <c r="B186" s="116" t="str">
        <f>'A) Base RI'!B188</f>
        <v>Begnins</v>
      </c>
      <c r="C186" s="44">
        <f>'B) D RI'!Y188</f>
        <v>707034.5</v>
      </c>
      <c r="D186" s="10">
        <f>'B) D RI'!Z188</f>
        <v>52487.1</v>
      </c>
      <c r="E186" s="10">
        <f t="shared" si="8"/>
        <v>759521.6</v>
      </c>
      <c r="F186" s="10">
        <f>'B) D RI'!U188</f>
        <v>118306.82039800995</v>
      </c>
      <c r="G186" s="295">
        <f t="shared" si="9"/>
        <v>6.4199307989581973</v>
      </c>
      <c r="H186" s="67">
        <f t="shared" si="10"/>
        <v>369263.38</v>
      </c>
    </row>
    <row r="187" spans="1:8" x14ac:dyDescent="0.25">
      <c r="A187" s="53">
        <f>'A) Base RI'!A189</f>
        <v>5705</v>
      </c>
      <c r="B187" s="116" t="str">
        <f>'A) Base RI'!B189</f>
        <v>Bogis-Bossey</v>
      </c>
      <c r="C187" s="44">
        <f>'B) D RI'!Y189</f>
        <v>136104.29999999999</v>
      </c>
      <c r="D187" s="10">
        <f>'B) D RI'!Z189</f>
        <v>30724.95</v>
      </c>
      <c r="E187" s="10">
        <f t="shared" si="8"/>
        <v>166829.25</v>
      </c>
      <c r="F187" s="10">
        <f>'B) D RI'!U189</f>
        <v>49610.676285714275</v>
      </c>
      <c r="G187" s="295">
        <f t="shared" si="9"/>
        <v>3.3627691152446473</v>
      </c>
      <c r="H187" s="67">
        <f t="shared" si="10"/>
        <v>77269.634999999995</v>
      </c>
    </row>
    <row r="188" spans="1:8" x14ac:dyDescent="0.25">
      <c r="A188" s="53">
        <f>'A) Base RI'!A190</f>
        <v>5706</v>
      </c>
      <c r="B188" s="116" t="str">
        <f>'A) Base RI'!B190</f>
        <v>Borex</v>
      </c>
      <c r="C188" s="44">
        <f>'B) D RI'!Y190</f>
        <v>420626.15</v>
      </c>
      <c r="D188" s="10">
        <f>'B) D RI'!Z190</f>
        <v>7866.85</v>
      </c>
      <c r="E188" s="10">
        <f t="shared" si="8"/>
        <v>428493</v>
      </c>
      <c r="F188" s="10">
        <f>'B) D RI'!U190</f>
        <v>68211.153151515144</v>
      </c>
      <c r="G188" s="295">
        <f t="shared" si="9"/>
        <v>6.2818612529274045</v>
      </c>
      <c r="H188" s="67">
        <f t="shared" si="10"/>
        <v>212673.13</v>
      </c>
    </row>
    <row r="189" spans="1:8" x14ac:dyDescent="0.25">
      <c r="A189" s="53">
        <f>'A) Base RI'!A191</f>
        <v>5707</v>
      </c>
      <c r="B189" s="116" t="str">
        <f>'A) Base RI'!B191</f>
        <v>Chavannes-de-Bogis</v>
      </c>
      <c r="C189" s="44">
        <f>'B) D RI'!Y191</f>
        <v>440062.15</v>
      </c>
      <c r="D189" s="10">
        <f>'B) D RI'!Z191</f>
        <v>532120.35</v>
      </c>
      <c r="E189" s="10">
        <f t="shared" si="8"/>
        <v>972182.5</v>
      </c>
      <c r="F189" s="10">
        <f>'B) D RI'!U191</f>
        <v>101262.00960451979</v>
      </c>
      <c r="G189" s="295">
        <f t="shared" si="9"/>
        <v>9.6006637019833256</v>
      </c>
      <c r="H189" s="67">
        <f t="shared" si="10"/>
        <v>379667.18</v>
      </c>
    </row>
    <row r="190" spans="1:8" x14ac:dyDescent="0.25">
      <c r="A190" s="53">
        <f>'A) Base RI'!A192</f>
        <v>5708</v>
      </c>
      <c r="B190" s="116" t="str">
        <f>'A) Base RI'!B192</f>
        <v>Chavannes-des-Bois</v>
      </c>
      <c r="C190" s="44">
        <f>'B) D RI'!Y192</f>
        <v>286129.65000000002</v>
      </c>
      <c r="D190" s="10">
        <f>'B) D RI'!Z192</f>
        <v>1162.3499999999999</v>
      </c>
      <c r="E190" s="10">
        <f t="shared" si="8"/>
        <v>287292</v>
      </c>
      <c r="F190" s="10">
        <f>'B) D RI'!U192</f>
        <v>66077.93781420766</v>
      </c>
      <c r="G190" s="295">
        <f t="shared" si="9"/>
        <v>4.3477749079849204</v>
      </c>
      <c r="H190" s="67">
        <f t="shared" si="10"/>
        <v>143413.53</v>
      </c>
    </row>
    <row r="191" spans="1:8" x14ac:dyDescent="0.25">
      <c r="A191" s="53">
        <f>'A) Base RI'!A193</f>
        <v>5709</v>
      </c>
      <c r="B191" s="116" t="str">
        <f>'A) Base RI'!B193</f>
        <v>Chéserex</v>
      </c>
      <c r="C191" s="44">
        <f>'B) D RI'!Y193</f>
        <v>1379141.95</v>
      </c>
      <c r="D191" s="10">
        <f>'B) D RI'!Z193</f>
        <v>25524.7</v>
      </c>
      <c r="E191" s="10">
        <f t="shared" si="8"/>
        <v>1404666.65</v>
      </c>
      <c r="F191" s="10">
        <f>'B) D RI'!U193</f>
        <v>141681.04461538463</v>
      </c>
      <c r="G191" s="295">
        <f t="shared" si="9"/>
        <v>9.9142877850257776</v>
      </c>
      <c r="H191" s="67">
        <f t="shared" si="10"/>
        <v>697228.38500000001</v>
      </c>
    </row>
    <row r="192" spans="1:8" x14ac:dyDescent="0.25">
      <c r="A192" s="53">
        <f>'A) Base RI'!A194</f>
        <v>5710</v>
      </c>
      <c r="B192" s="116" t="str">
        <f>'A) Base RI'!B194</f>
        <v>Coinsins</v>
      </c>
      <c r="C192" s="44">
        <f>'B) D RI'!Y194</f>
        <v>92128.2</v>
      </c>
      <c r="D192" s="10">
        <f>'B) D RI'!Z194</f>
        <v>28126.3</v>
      </c>
      <c r="E192" s="10">
        <f t="shared" si="8"/>
        <v>120254.5</v>
      </c>
      <c r="F192" s="10">
        <f>'B) D RI'!U194</f>
        <v>77522.491219512216</v>
      </c>
      <c r="G192" s="295">
        <f t="shared" si="9"/>
        <v>1.5512207890673699</v>
      </c>
      <c r="H192" s="67">
        <f t="shared" si="10"/>
        <v>54501.99</v>
      </c>
    </row>
    <row r="193" spans="1:8" x14ac:dyDescent="0.25">
      <c r="A193" s="53">
        <f>'A) Base RI'!A195</f>
        <v>5711</v>
      </c>
      <c r="B193" s="116" t="str">
        <f>'A) Base RI'!B195</f>
        <v>Commugny</v>
      </c>
      <c r="C193" s="44">
        <f>'B) D RI'!Y195</f>
        <v>1200322.8999999999</v>
      </c>
      <c r="D193" s="10">
        <f>'B) D RI'!Z195</f>
        <v>30020.2</v>
      </c>
      <c r="E193" s="10">
        <f t="shared" si="8"/>
        <v>1230343.0999999999</v>
      </c>
      <c r="F193" s="10">
        <f>'B) D RI'!U195</f>
        <v>249621.80260458836</v>
      </c>
      <c r="G193" s="295">
        <f t="shared" si="9"/>
        <v>4.9288286806778494</v>
      </c>
      <c r="H193" s="67">
        <f t="shared" si="10"/>
        <v>609167.51</v>
      </c>
    </row>
    <row r="194" spans="1:8" x14ac:dyDescent="0.25">
      <c r="A194" s="53">
        <f>'A) Base RI'!A196</f>
        <v>5712</v>
      </c>
      <c r="B194" s="116" t="str">
        <f>'A) Base RI'!B196</f>
        <v>Coppet</v>
      </c>
      <c r="C194" s="44">
        <f>'B) D RI'!Y196</f>
        <v>2451376.0999999996</v>
      </c>
      <c r="D194" s="10">
        <f>'B) D RI'!Z196</f>
        <v>139072.15</v>
      </c>
      <c r="E194" s="10">
        <f t="shared" si="8"/>
        <v>2590448.2499999995</v>
      </c>
      <c r="F194" s="10">
        <f>'B) D RI'!U196</f>
        <v>316866.86955974839</v>
      </c>
      <c r="G194" s="295">
        <f t="shared" si="9"/>
        <v>8.1751943761086228</v>
      </c>
      <c r="H194" s="67">
        <f t="shared" si="10"/>
        <v>1267409.6949999998</v>
      </c>
    </row>
    <row r="195" spans="1:8" x14ac:dyDescent="0.25">
      <c r="A195" s="53">
        <f>'A) Base RI'!A197</f>
        <v>5713</v>
      </c>
      <c r="B195" s="116" t="str">
        <f>'A) Base RI'!B197</f>
        <v>Crans-près-Céligny</v>
      </c>
      <c r="C195" s="44">
        <f>'B) D RI'!Y197</f>
        <v>1560513.05</v>
      </c>
      <c r="D195" s="10">
        <f>'B) D RI'!Z197</f>
        <v>31755.65</v>
      </c>
      <c r="E195" s="10">
        <f t="shared" si="8"/>
        <v>1592268.7</v>
      </c>
      <c r="F195" s="10">
        <f>'B) D RI'!U197</f>
        <v>229285.72754716981</v>
      </c>
      <c r="G195" s="295">
        <f t="shared" si="9"/>
        <v>6.9444736793415567</v>
      </c>
      <c r="H195" s="67">
        <f t="shared" si="10"/>
        <v>789783.22</v>
      </c>
    </row>
    <row r="196" spans="1:8" x14ac:dyDescent="0.25">
      <c r="A196" s="53">
        <f>'A) Base RI'!A198</f>
        <v>5714</v>
      </c>
      <c r="B196" s="116" t="str">
        <f>'A) Base RI'!B198</f>
        <v>Crassier</v>
      </c>
      <c r="C196" s="44">
        <f>'B) D RI'!Y198</f>
        <v>287518.65000000002</v>
      </c>
      <c r="D196" s="10">
        <f>'B) D RI'!Z198</f>
        <v>77119.850000000006</v>
      </c>
      <c r="E196" s="10">
        <f t="shared" si="8"/>
        <v>364638.5</v>
      </c>
      <c r="F196" s="10">
        <f>'B) D RI'!U198</f>
        <v>82427.7421875</v>
      </c>
      <c r="G196" s="295">
        <f t="shared" si="9"/>
        <v>4.4237351445408954</v>
      </c>
      <c r="H196" s="67">
        <f t="shared" si="10"/>
        <v>166895.28000000003</v>
      </c>
    </row>
    <row r="197" spans="1:8" x14ac:dyDescent="0.25">
      <c r="A197" s="53">
        <f>'A) Base RI'!A199</f>
        <v>5715</v>
      </c>
      <c r="B197" s="116" t="str">
        <f>'A) Base RI'!B199</f>
        <v>Duillier</v>
      </c>
      <c r="C197" s="44">
        <f>'B) D RI'!Y199</f>
        <v>372083.94999999995</v>
      </c>
      <c r="D197" s="10">
        <f>'B) D RI'!Z199</f>
        <v>37959.25</v>
      </c>
      <c r="E197" s="10">
        <f t="shared" ref="E197:E260" si="11">C197+D197</f>
        <v>410043.19999999995</v>
      </c>
      <c r="F197" s="10">
        <f>'B) D RI'!U199</f>
        <v>64112.353030303027</v>
      </c>
      <c r="G197" s="295">
        <f t="shared" si="9"/>
        <v>6.3956972505156839</v>
      </c>
      <c r="H197" s="67">
        <f t="shared" si="10"/>
        <v>197429.74999999997</v>
      </c>
    </row>
    <row r="198" spans="1:8" x14ac:dyDescent="0.25">
      <c r="A198" s="53">
        <f>'A) Base RI'!A200</f>
        <v>5716</v>
      </c>
      <c r="B198" s="116" t="str">
        <f>'A) Base RI'!B200</f>
        <v>Eysins</v>
      </c>
      <c r="C198" s="44">
        <f>'B) D RI'!Y200</f>
        <v>1236010.6499999999</v>
      </c>
      <c r="D198" s="10">
        <f>'B) D RI'!Z200</f>
        <v>454385.3</v>
      </c>
      <c r="E198" s="10">
        <f t="shared" si="11"/>
        <v>1690395.95</v>
      </c>
      <c r="F198" s="10">
        <f>'B) D RI'!U200</f>
        <v>93259.046229508182</v>
      </c>
      <c r="G198" s="295">
        <f t="shared" si="9"/>
        <v>18.125812115212693</v>
      </c>
      <c r="H198" s="67">
        <f t="shared" si="10"/>
        <v>754320.91499999992</v>
      </c>
    </row>
    <row r="199" spans="1:8" x14ac:dyDescent="0.25">
      <c r="A199" s="53">
        <f>'A) Base RI'!A201</f>
        <v>5717</v>
      </c>
      <c r="B199" s="116" t="str">
        <f>'A) Base RI'!B201</f>
        <v>Founex</v>
      </c>
      <c r="C199" s="44">
        <f>'B) D RI'!Y201</f>
        <v>1516153.25</v>
      </c>
      <c r="D199" s="10">
        <f>'B) D RI'!Z201</f>
        <v>168707.25</v>
      </c>
      <c r="E199" s="10">
        <f t="shared" si="11"/>
        <v>1684860.5</v>
      </c>
      <c r="F199" s="10">
        <f>'B) D RI'!U201</f>
        <v>359686.500877193</v>
      </c>
      <c r="G199" s="295">
        <f t="shared" si="9"/>
        <v>4.6842472427822868</v>
      </c>
      <c r="H199" s="67">
        <f t="shared" si="10"/>
        <v>808688.8</v>
      </c>
    </row>
    <row r="200" spans="1:8" x14ac:dyDescent="0.25">
      <c r="A200" s="53">
        <f>'A) Base RI'!A202</f>
        <v>5718</v>
      </c>
      <c r="B200" s="116" t="str">
        <f>'A) Base RI'!B202</f>
        <v>Genolier</v>
      </c>
      <c r="C200" s="44">
        <f>'B) D RI'!Y202</f>
        <v>1062525.8</v>
      </c>
      <c r="D200" s="10">
        <f>'B) D RI'!Z202</f>
        <v>364037.8</v>
      </c>
      <c r="E200" s="10">
        <f t="shared" si="11"/>
        <v>1426563.6</v>
      </c>
      <c r="F200" s="10">
        <f>'B) D RI'!U202</f>
        <v>194551.61054545455</v>
      </c>
      <c r="G200" s="295">
        <f t="shared" si="9"/>
        <v>7.3325715269095726</v>
      </c>
      <c r="H200" s="67">
        <f t="shared" si="10"/>
        <v>640474.24</v>
      </c>
    </row>
    <row r="201" spans="1:8" x14ac:dyDescent="0.25">
      <c r="A201" s="53">
        <f>'A) Base RI'!A203</f>
        <v>5719</v>
      </c>
      <c r="B201" s="116" t="str">
        <f>'A) Base RI'!B203</f>
        <v>Gingins</v>
      </c>
      <c r="C201" s="44">
        <f>'B) D RI'!Y203</f>
        <v>998297.20000000007</v>
      </c>
      <c r="D201" s="10">
        <f>'B) D RI'!Z203</f>
        <v>68663.100000000006</v>
      </c>
      <c r="E201" s="10">
        <f t="shared" si="11"/>
        <v>1066960.3</v>
      </c>
      <c r="F201" s="10">
        <f>'B) D RI'!U203</f>
        <v>90011.711578947361</v>
      </c>
      <c r="G201" s="295">
        <f t="shared" si="9"/>
        <v>11.853571955069334</v>
      </c>
      <c r="H201" s="67">
        <f t="shared" si="10"/>
        <v>519747.53</v>
      </c>
    </row>
    <row r="202" spans="1:8" x14ac:dyDescent="0.25">
      <c r="A202" s="53">
        <f>'A) Base RI'!A204</f>
        <v>5720</v>
      </c>
      <c r="B202" s="116" t="str">
        <f>'A) Base RI'!B204</f>
        <v>Givrins</v>
      </c>
      <c r="C202" s="44">
        <f>'B) D RI'!Y204</f>
        <v>268008.15000000002</v>
      </c>
      <c r="D202" s="10">
        <f>'B) D RI'!Z204</f>
        <v>22318.35</v>
      </c>
      <c r="E202" s="10">
        <f t="shared" si="11"/>
        <v>290326.5</v>
      </c>
      <c r="F202" s="10">
        <f>'B) D RI'!U204</f>
        <v>73631.281876138426</v>
      </c>
      <c r="G202" s="295">
        <f t="shared" si="9"/>
        <v>3.9429776665899068</v>
      </c>
      <c r="H202" s="67">
        <f t="shared" si="10"/>
        <v>140699.58000000002</v>
      </c>
    </row>
    <row r="203" spans="1:8" x14ac:dyDescent="0.25">
      <c r="A203" s="53">
        <f>'A) Base RI'!A205</f>
        <v>5721</v>
      </c>
      <c r="B203" s="116" t="str">
        <f>'A) Base RI'!B205</f>
        <v>Gland</v>
      </c>
      <c r="C203" s="44">
        <f>'B) D RI'!Y205</f>
        <v>296683.14999999991</v>
      </c>
      <c r="D203" s="10">
        <f>'B) D RI'!Z205</f>
        <v>1972526.75</v>
      </c>
      <c r="E203" s="10">
        <f t="shared" si="11"/>
        <v>2269209.9</v>
      </c>
      <c r="F203" s="10">
        <f>'B) D RI'!U205</f>
        <v>541149.08192000003</v>
      </c>
      <c r="G203" s="295">
        <f t="shared" si="9"/>
        <v>4.1933174716823514</v>
      </c>
      <c r="H203" s="67">
        <f t="shared" si="10"/>
        <v>740099.6</v>
      </c>
    </row>
    <row r="204" spans="1:8" x14ac:dyDescent="0.25">
      <c r="A204" s="53">
        <f>'A) Base RI'!A206</f>
        <v>5722</v>
      </c>
      <c r="B204" s="116" t="str">
        <f>'A) Base RI'!B206</f>
        <v>Grens</v>
      </c>
      <c r="C204" s="44">
        <f>'B) D RI'!Y206</f>
        <v>371806.3</v>
      </c>
      <c r="D204" s="10">
        <f>'B) D RI'!Z206</f>
        <v>7421.2</v>
      </c>
      <c r="E204" s="10">
        <f t="shared" si="11"/>
        <v>379227.5</v>
      </c>
      <c r="F204" s="10">
        <f>'B) D RI'!U206</f>
        <v>20499.342258064513</v>
      </c>
      <c r="G204" s="295">
        <f t="shared" si="9"/>
        <v>18.499495994843961</v>
      </c>
      <c r="H204" s="67">
        <f t="shared" si="10"/>
        <v>188129.50999999998</v>
      </c>
    </row>
    <row r="205" spans="1:8" x14ac:dyDescent="0.25">
      <c r="A205" s="53">
        <f>'A) Base RI'!A207</f>
        <v>5723</v>
      </c>
      <c r="B205" s="116" t="str">
        <f>'A) Base RI'!B207</f>
        <v>Mies</v>
      </c>
      <c r="C205" s="44">
        <f>'B) D RI'!Y207</f>
        <v>1824409.85</v>
      </c>
      <c r="D205" s="10">
        <f>'B) D RI'!Z207</f>
        <v>148394.4</v>
      </c>
      <c r="E205" s="10">
        <f t="shared" si="11"/>
        <v>1972804.25</v>
      </c>
      <c r="F205" s="10">
        <f>'B) D RI'!U207</f>
        <v>621558.82755102031</v>
      </c>
      <c r="G205" s="295">
        <f t="shared" si="9"/>
        <v>3.1739622422755529</v>
      </c>
      <c r="H205" s="67">
        <f t="shared" si="10"/>
        <v>956723.245</v>
      </c>
    </row>
    <row r="206" spans="1:8" x14ac:dyDescent="0.25">
      <c r="A206" s="53">
        <f>'A) Base RI'!A208</f>
        <v>5724</v>
      </c>
      <c r="B206" s="116" t="str">
        <f>'A) Base RI'!B208</f>
        <v>Nyon</v>
      </c>
      <c r="C206" s="44">
        <f>'B) D RI'!Y208</f>
        <v>8619854.25</v>
      </c>
      <c r="D206" s="10">
        <f>'B) D RI'!Z208</f>
        <v>4000000</v>
      </c>
      <c r="E206" s="10">
        <f t="shared" si="11"/>
        <v>12619854.25</v>
      </c>
      <c r="F206" s="10">
        <f>'B) D RI'!U208</f>
        <v>1418675.3806683479</v>
      </c>
      <c r="G206" s="295">
        <f t="shared" si="9"/>
        <v>8.8955193146826144</v>
      </c>
      <c r="H206" s="67">
        <f t="shared" si="10"/>
        <v>5509927.125</v>
      </c>
    </row>
    <row r="207" spans="1:8" x14ac:dyDescent="0.25">
      <c r="A207" s="53">
        <f>'A) Base RI'!A209</f>
        <v>5725</v>
      </c>
      <c r="B207" s="116" t="str">
        <f>'A) Base RI'!B209</f>
        <v>Prangins</v>
      </c>
      <c r="C207" s="44">
        <f>'B) D RI'!Y209</f>
        <v>927134</v>
      </c>
      <c r="D207" s="10">
        <f>'B) D RI'!Z209</f>
        <v>1232272.8999999999</v>
      </c>
      <c r="E207" s="10">
        <f t="shared" si="11"/>
        <v>2159406.9</v>
      </c>
      <c r="F207" s="10">
        <f>'B) D RI'!U209</f>
        <v>319840.55765306117</v>
      </c>
      <c r="G207" s="295">
        <f t="shared" si="9"/>
        <v>6.7515105521494281</v>
      </c>
      <c r="H207" s="67">
        <f t="shared" si="10"/>
        <v>833248.86999999988</v>
      </c>
    </row>
    <row r="208" spans="1:8" x14ac:dyDescent="0.25">
      <c r="A208" s="53">
        <f>'A) Base RI'!A210</f>
        <v>5726</v>
      </c>
      <c r="B208" s="116" t="str">
        <f>'A) Base RI'!B210</f>
        <v>La Rippe</v>
      </c>
      <c r="C208" s="44">
        <f>'B) D RI'!Y210</f>
        <v>228294.39999999999</v>
      </c>
      <c r="D208" s="10">
        <f>'B) D RI'!Z210</f>
        <v>22619.15</v>
      </c>
      <c r="E208" s="10">
        <f t="shared" si="11"/>
        <v>250913.55</v>
      </c>
      <c r="F208" s="10">
        <f>'B) D RI'!U210</f>
        <v>62420.845692307696</v>
      </c>
      <c r="G208" s="295">
        <f t="shared" si="9"/>
        <v>4.0197076347993281</v>
      </c>
      <c r="H208" s="67">
        <f t="shared" si="10"/>
        <v>120932.94499999999</v>
      </c>
    </row>
    <row r="209" spans="1:8" x14ac:dyDescent="0.25">
      <c r="A209" s="53">
        <f>'A) Base RI'!A211</f>
        <v>5727</v>
      </c>
      <c r="B209" s="116" t="str">
        <f>'A) Base RI'!B211</f>
        <v>Saint-Cergue</v>
      </c>
      <c r="C209" s="44">
        <f>'B) D RI'!Y211</f>
        <v>644005.25</v>
      </c>
      <c r="D209" s="10">
        <f>'B) D RI'!Z211</f>
        <v>142442.29999999999</v>
      </c>
      <c r="E209" s="10">
        <f t="shared" si="11"/>
        <v>786447.55</v>
      </c>
      <c r="F209" s="10">
        <f>'B) D RI'!U211</f>
        <v>94126.01979797981</v>
      </c>
      <c r="G209" s="295">
        <f t="shared" si="9"/>
        <v>8.3552619316946757</v>
      </c>
      <c r="H209" s="67">
        <f t="shared" si="10"/>
        <v>364735.315</v>
      </c>
    </row>
    <row r="210" spans="1:8" x14ac:dyDescent="0.25">
      <c r="A210" s="53">
        <f>'A) Base RI'!A212</f>
        <v>5728</v>
      </c>
      <c r="B210" s="116" t="str">
        <f>'A) Base RI'!B212</f>
        <v>Signy-Avenex</v>
      </c>
      <c r="C210" s="44">
        <f>'B) D RI'!Y212</f>
        <v>315689.84999999998</v>
      </c>
      <c r="D210" s="10">
        <f>'B) D RI'!Z212</f>
        <v>231020.6</v>
      </c>
      <c r="E210" s="10">
        <f t="shared" si="11"/>
        <v>546710.44999999995</v>
      </c>
      <c r="F210" s="10">
        <f>'B) D RI'!U212</f>
        <v>33547.613749999997</v>
      </c>
      <c r="G210" s="295">
        <f t="shared" si="9"/>
        <v>16.296552537958085</v>
      </c>
      <c r="H210" s="67">
        <f t="shared" si="10"/>
        <v>227151.10499999998</v>
      </c>
    </row>
    <row r="211" spans="1:8" x14ac:dyDescent="0.25">
      <c r="A211" s="53">
        <f>'A) Base RI'!A213</f>
        <v>5729</v>
      </c>
      <c r="B211" s="116" t="str">
        <f>'A) Base RI'!B213</f>
        <v>Tannay</v>
      </c>
      <c r="C211" s="44">
        <f>'B) D RI'!Y213</f>
        <v>416125.1</v>
      </c>
      <c r="D211" s="10">
        <f>'B) D RI'!Z213</f>
        <v>16008.55</v>
      </c>
      <c r="E211" s="10">
        <f t="shared" si="11"/>
        <v>432133.64999999997</v>
      </c>
      <c r="F211" s="10">
        <f>'B) D RI'!U213</f>
        <v>141635.67650273221</v>
      </c>
      <c r="G211" s="295">
        <f t="shared" si="9"/>
        <v>3.0510226001685665</v>
      </c>
      <c r="H211" s="67">
        <f t="shared" si="10"/>
        <v>212865.11499999999</v>
      </c>
    </row>
    <row r="212" spans="1:8" x14ac:dyDescent="0.25">
      <c r="A212" s="53">
        <f>'A) Base RI'!A214</f>
        <v>5730</v>
      </c>
      <c r="B212" s="116" t="str">
        <f>'A) Base RI'!B214</f>
        <v>Trélex</v>
      </c>
      <c r="C212" s="44">
        <f>'B) D RI'!Y214</f>
        <v>334982.95</v>
      </c>
      <c r="D212" s="10">
        <f>'B) D RI'!Z214</f>
        <v>8092.75</v>
      </c>
      <c r="E212" s="10">
        <f t="shared" si="11"/>
        <v>343075.7</v>
      </c>
      <c r="F212" s="10">
        <f>'B) D RI'!U214</f>
        <v>125167.38524366473</v>
      </c>
      <c r="G212" s="295">
        <f t="shared" si="9"/>
        <v>2.7409352630649813</v>
      </c>
      <c r="H212" s="67">
        <f t="shared" si="10"/>
        <v>169919.30000000002</v>
      </c>
    </row>
    <row r="213" spans="1:8" x14ac:dyDescent="0.25">
      <c r="A213" s="53">
        <f>'A) Base RI'!A215</f>
        <v>5731</v>
      </c>
      <c r="B213" s="116" t="str">
        <f>'A) Base RI'!B215</f>
        <v>Le Vaud</v>
      </c>
      <c r="C213" s="44">
        <f>'B) D RI'!Y215</f>
        <v>265249.8</v>
      </c>
      <c r="D213" s="10">
        <f>'B) D RI'!Z215</f>
        <v>24199.599999999999</v>
      </c>
      <c r="E213" s="10">
        <f t="shared" si="11"/>
        <v>289449.39999999997</v>
      </c>
      <c r="F213" s="10">
        <f>'B) D RI'!U215</f>
        <v>47266.974133333322</v>
      </c>
      <c r="G213" s="295">
        <f t="shared" si="9"/>
        <v>6.1237133391171801</v>
      </c>
      <c r="H213" s="67">
        <f t="shared" si="10"/>
        <v>139884.78</v>
      </c>
    </row>
    <row r="214" spans="1:8" x14ac:dyDescent="0.25">
      <c r="A214" s="53">
        <f>'A) Base RI'!A216</f>
        <v>5732</v>
      </c>
      <c r="B214" s="116" t="str">
        <f>'A) Base RI'!B216</f>
        <v>Vich</v>
      </c>
      <c r="C214" s="44">
        <f>'B) D RI'!Y216</f>
        <v>293269.8</v>
      </c>
      <c r="D214" s="10">
        <f>'B) D RI'!Z216</f>
        <v>95066.75</v>
      </c>
      <c r="E214" s="10">
        <f t="shared" si="11"/>
        <v>388336.55</v>
      </c>
      <c r="F214" s="10">
        <f>'B) D RI'!U216</f>
        <v>76343.818235294122</v>
      </c>
      <c r="G214" s="295">
        <f t="shared" si="9"/>
        <v>5.0866796942633146</v>
      </c>
      <c r="H214" s="67">
        <f t="shared" si="10"/>
        <v>175154.92499999999</v>
      </c>
    </row>
    <row r="215" spans="1:8" x14ac:dyDescent="0.25">
      <c r="A215" s="53">
        <f>'A) Base RI'!A217</f>
        <v>5741</v>
      </c>
      <c r="B215" s="116" t="str">
        <f>'A) Base RI'!B217</f>
        <v>L'Abergement</v>
      </c>
      <c r="C215" s="44">
        <f>'B) D RI'!Y217</f>
        <v>32736.300000000003</v>
      </c>
      <c r="D215" s="10">
        <f>'B) D RI'!Z217</f>
        <v>10260.85</v>
      </c>
      <c r="E215" s="10">
        <f t="shared" si="11"/>
        <v>42997.15</v>
      </c>
      <c r="F215" s="10">
        <f>'B) D RI'!U217</f>
        <v>6474.3855761316872</v>
      </c>
      <c r="G215" s="295">
        <f t="shared" si="9"/>
        <v>6.6411166734511848</v>
      </c>
      <c r="H215" s="67">
        <f t="shared" si="10"/>
        <v>19446.405000000002</v>
      </c>
    </row>
    <row r="216" spans="1:8" x14ac:dyDescent="0.25">
      <c r="A216" s="53">
        <f>'A) Base RI'!A218</f>
        <v>5742</v>
      </c>
      <c r="B216" s="116" t="str">
        <f>'A) Base RI'!B218</f>
        <v>Agiez</v>
      </c>
      <c r="C216" s="44">
        <f>'B) D RI'!Y218</f>
        <v>96253.75</v>
      </c>
      <c r="D216" s="10">
        <f>'B) D RI'!Z218</f>
        <v>0</v>
      </c>
      <c r="E216" s="10">
        <f t="shared" si="11"/>
        <v>96253.75</v>
      </c>
      <c r="F216" s="10">
        <f>'B) D RI'!U218</f>
        <v>8406.0221052631568</v>
      </c>
      <c r="G216" s="295">
        <f t="shared" si="9"/>
        <v>11.450570649788542</v>
      </c>
      <c r="H216" s="67">
        <f t="shared" si="10"/>
        <v>48126.875</v>
      </c>
    </row>
    <row r="217" spans="1:8" x14ac:dyDescent="0.25">
      <c r="A217" s="53">
        <f>'A) Base RI'!A219</f>
        <v>5743</v>
      </c>
      <c r="B217" s="116" t="str">
        <f>'A) Base RI'!B219</f>
        <v>Arnex-sur-Orbe</v>
      </c>
      <c r="C217" s="44">
        <f>'B) D RI'!Y219</f>
        <v>28960.1</v>
      </c>
      <c r="D217" s="10">
        <f>'B) D RI'!Z219</f>
        <v>27032.1</v>
      </c>
      <c r="E217" s="10">
        <f t="shared" si="11"/>
        <v>55992.2</v>
      </c>
      <c r="F217" s="10">
        <f>'B) D RI'!U219</f>
        <v>16157.310890410963</v>
      </c>
      <c r="G217" s="295">
        <f t="shared" si="9"/>
        <v>3.4654405290443617</v>
      </c>
      <c r="H217" s="67">
        <f t="shared" si="10"/>
        <v>22589.68</v>
      </c>
    </row>
    <row r="218" spans="1:8" x14ac:dyDescent="0.25">
      <c r="A218" s="53">
        <f>'A) Base RI'!A220</f>
        <v>5744</v>
      </c>
      <c r="B218" s="116" t="str">
        <f>'A) Base RI'!B220</f>
        <v>Ballaigues</v>
      </c>
      <c r="C218" s="44">
        <f>'B) D RI'!Y220</f>
        <v>114078.9</v>
      </c>
      <c r="D218" s="10">
        <f>'B) D RI'!Z220</f>
        <v>1408983.5</v>
      </c>
      <c r="E218" s="10">
        <f t="shared" si="11"/>
        <v>1523062.4</v>
      </c>
      <c r="F218" s="10">
        <f>'B) D RI'!U220</f>
        <v>67876.800151515155</v>
      </c>
      <c r="G218" s="295">
        <f t="shared" si="9"/>
        <v>22.438629938361963</v>
      </c>
      <c r="H218" s="67">
        <f t="shared" si="10"/>
        <v>479734.5</v>
      </c>
    </row>
    <row r="219" spans="1:8" x14ac:dyDescent="0.25">
      <c r="A219" s="53">
        <f>'A) Base RI'!A221</f>
        <v>5745</v>
      </c>
      <c r="B219" s="116" t="str">
        <f>'A) Base RI'!B221</f>
        <v>Baulmes</v>
      </c>
      <c r="C219" s="44">
        <f>'B) D RI'!Y221</f>
        <v>57202.75</v>
      </c>
      <c r="D219" s="10">
        <f>'B) D RI'!Z221</f>
        <v>182094.5</v>
      </c>
      <c r="E219" s="10">
        <f t="shared" si="11"/>
        <v>239297.25</v>
      </c>
      <c r="F219" s="10">
        <f>'B) D RI'!U221</f>
        <v>26708.244230769233</v>
      </c>
      <c r="G219" s="295">
        <f t="shared" si="9"/>
        <v>8.9596773165761903</v>
      </c>
      <c r="H219" s="67">
        <f t="shared" si="10"/>
        <v>83229.725000000006</v>
      </c>
    </row>
    <row r="220" spans="1:8" x14ac:dyDescent="0.25">
      <c r="A220" s="53">
        <f>'A) Base RI'!A222</f>
        <v>5746</v>
      </c>
      <c r="B220" s="116" t="str">
        <f>'A) Base RI'!B222</f>
        <v>Bavois</v>
      </c>
      <c r="C220" s="44">
        <f>'B) D RI'!Y222</f>
        <v>101749.2</v>
      </c>
      <c r="D220" s="10">
        <f>'B) D RI'!Z222</f>
        <v>20529.7</v>
      </c>
      <c r="E220" s="10">
        <f t="shared" si="11"/>
        <v>122278.9</v>
      </c>
      <c r="F220" s="10">
        <f>'B) D RI'!U222</f>
        <v>26575.73502283105</v>
      </c>
      <c r="G220" s="295">
        <f t="shared" si="9"/>
        <v>4.6011483744457475</v>
      </c>
      <c r="H220" s="67">
        <f t="shared" si="10"/>
        <v>57033.509999999995</v>
      </c>
    </row>
    <row r="221" spans="1:8" x14ac:dyDescent="0.25">
      <c r="A221" s="53">
        <f>'A) Base RI'!A223</f>
        <v>5747</v>
      </c>
      <c r="B221" s="116" t="str">
        <f>'A) Base RI'!B223</f>
        <v>Bofflens</v>
      </c>
      <c r="C221" s="44">
        <f>'B) D RI'!Y223</f>
        <v>14864.65</v>
      </c>
      <c r="D221" s="10">
        <f>'B) D RI'!Z223</f>
        <v>0</v>
      </c>
      <c r="E221" s="10">
        <f t="shared" si="11"/>
        <v>14864.65</v>
      </c>
      <c r="F221" s="10">
        <f>'B) D RI'!U223</f>
        <v>5307.8250724637683</v>
      </c>
      <c r="G221" s="295">
        <f t="shared" si="9"/>
        <v>2.800516180745229</v>
      </c>
      <c r="H221" s="67">
        <f t="shared" si="10"/>
        <v>7432.3249999999998</v>
      </c>
    </row>
    <row r="222" spans="1:8" x14ac:dyDescent="0.25">
      <c r="A222" s="53">
        <f>'A) Base RI'!A224</f>
        <v>5748</v>
      </c>
      <c r="B222" s="116" t="str">
        <f>'A) Base RI'!B224</f>
        <v>Bretonnières</v>
      </c>
      <c r="C222" s="44">
        <f>'B) D RI'!Y224</f>
        <v>49274.400000000001</v>
      </c>
      <c r="D222" s="10">
        <f>'B) D RI'!Z224</f>
        <v>7947.3</v>
      </c>
      <c r="E222" s="10">
        <f t="shared" si="11"/>
        <v>57221.700000000004</v>
      </c>
      <c r="F222" s="10">
        <f>'B) D RI'!U224</f>
        <v>7260.9913888888877</v>
      </c>
      <c r="G222" s="295">
        <f t="shared" si="9"/>
        <v>7.8807007108648213</v>
      </c>
      <c r="H222" s="67">
        <f t="shared" si="10"/>
        <v>27021.39</v>
      </c>
    </row>
    <row r="223" spans="1:8" x14ac:dyDescent="0.25">
      <c r="A223" s="53">
        <f>'A) Base RI'!A225</f>
        <v>5749</v>
      </c>
      <c r="B223" s="116" t="str">
        <f>'A) Base RI'!B225</f>
        <v>Chavornay</v>
      </c>
      <c r="C223" s="44">
        <f>'B) D RI'!Y225</f>
        <v>753532.45</v>
      </c>
      <c r="D223" s="10">
        <f>'B) D RI'!Z225</f>
        <v>612035.4</v>
      </c>
      <c r="E223" s="10">
        <f t="shared" si="11"/>
        <v>1365567.85</v>
      </c>
      <c r="F223" s="10">
        <f>'B) D RI'!U225</f>
        <v>119889.98763888891</v>
      </c>
      <c r="G223" s="295">
        <f t="shared" si="9"/>
        <v>11.390174249688959</v>
      </c>
      <c r="H223" s="67">
        <f t="shared" si="10"/>
        <v>560376.84499999997</v>
      </c>
    </row>
    <row r="224" spans="1:8" x14ac:dyDescent="0.25">
      <c r="A224" s="53">
        <f>'A) Base RI'!A226</f>
        <v>5750</v>
      </c>
      <c r="B224" s="116" t="str">
        <f>'A) Base RI'!B226</f>
        <v>Les Clées</v>
      </c>
      <c r="C224" s="44">
        <f>'B) D RI'!Y226</f>
        <v>17904.3</v>
      </c>
      <c r="D224" s="10">
        <f>'B) D RI'!Z226</f>
        <v>7714.9</v>
      </c>
      <c r="E224" s="10">
        <f t="shared" si="11"/>
        <v>25619.199999999997</v>
      </c>
      <c r="F224" s="10">
        <f>'B) D RI'!U226</f>
        <v>4790.0727916666665</v>
      </c>
      <c r="G224" s="295">
        <f t="shared" si="9"/>
        <v>5.3483947142870054</v>
      </c>
      <c r="H224" s="67">
        <f t="shared" si="10"/>
        <v>11266.619999999999</v>
      </c>
    </row>
    <row r="225" spans="1:8" x14ac:dyDescent="0.25">
      <c r="A225" s="53">
        <f>'A) Base RI'!A227</f>
        <v>5751</v>
      </c>
      <c r="B225" s="116" t="str">
        <f>'A) Base RI'!B227</f>
        <v>Corcelles-sur-Chavornay</v>
      </c>
      <c r="C225" s="44">
        <f>'B) D RI'!Y227</f>
        <v>18789.349999999999</v>
      </c>
      <c r="D225" s="10">
        <f>'B) D RI'!Z227</f>
        <v>27868.15</v>
      </c>
      <c r="E225" s="10">
        <f t="shared" si="11"/>
        <v>46657.5</v>
      </c>
      <c r="F225" s="10">
        <f>'B) D RI'!U227</f>
        <v>8772.6488157894728</v>
      </c>
      <c r="G225" s="295">
        <f t="shared" si="9"/>
        <v>5.3185190675846261</v>
      </c>
      <c r="H225" s="67">
        <f t="shared" si="10"/>
        <v>17755.12</v>
      </c>
    </row>
    <row r="226" spans="1:8" x14ac:dyDescent="0.25">
      <c r="A226" s="53">
        <f>'A) Base RI'!A228</f>
        <v>5752</v>
      </c>
      <c r="B226" s="116" t="str">
        <f>'A) Base RI'!B228</f>
        <v>Croy</v>
      </c>
      <c r="C226" s="44">
        <f>'B) D RI'!Y228</f>
        <v>37667.199999999997</v>
      </c>
      <c r="D226" s="10">
        <f>'B) D RI'!Z228</f>
        <v>14784.85</v>
      </c>
      <c r="E226" s="10">
        <f t="shared" si="11"/>
        <v>52452.049999999996</v>
      </c>
      <c r="F226" s="10">
        <f>'B) D RI'!U228</f>
        <v>9213.5061196911174</v>
      </c>
      <c r="G226" s="295">
        <f t="shared" ref="G226:G272" si="12">E226/F226</f>
        <v>5.6929522071841259</v>
      </c>
      <c r="H226" s="67">
        <f t="shared" si="10"/>
        <v>23269.055</v>
      </c>
    </row>
    <row r="227" spans="1:8" x14ac:dyDescent="0.25">
      <c r="A227" s="53">
        <f>'A) Base RI'!A229</f>
        <v>5754</v>
      </c>
      <c r="B227" s="116" t="str">
        <f>'A) Base RI'!B229</f>
        <v>Juriens</v>
      </c>
      <c r="C227" s="44">
        <f>'B) D RI'!Y229</f>
        <v>29551.75</v>
      </c>
      <c r="D227" s="10">
        <f>'B) D RI'!Z229</f>
        <v>3752.9</v>
      </c>
      <c r="E227" s="10">
        <f t="shared" si="11"/>
        <v>33304.65</v>
      </c>
      <c r="F227" s="10">
        <f>'B) D RI'!U229</f>
        <v>7202.565316455697</v>
      </c>
      <c r="G227" s="295">
        <f t="shared" si="12"/>
        <v>4.6239983306932162</v>
      </c>
      <c r="H227" s="67">
        <f t="shared" ref="H227:H273" si="13">(C227*$C$4)+(D227*$D$4)</f>
        <v>15901.744999999999</v>
      </c>
    </row>
    <row r="228" spans="1:8" x14ac:dyDescent="0.25">
      <c r="A228" s="53">
        <f>'A) Base RI'!A230</f>
        <v>5755</v>
      </c>
      <c r="B228" s="116" t="str">
        <f>'A) Base RI'!B230</f>
        <v>Lignerolle</v>
      </c>
      <c r="C228" s="44">
        <f>'B) D RI'!Y230</f>
        <v>65497.2</v>
      </c>
      <c r="D228" s="10">
        <f>'B) D RI'!Z230</f>
        <v>22958.75</v>
      </c>
      <c r="E228" s="10">
        <f t="shared" si="11"/>
        <v>88455.95</v>
      </c>
      <c r="F228" s="10">
        <f>'B) D RI'!U230</f>
        <v>9116.1979107142852</v>
      </c>
      <c r="G228" s="295">
        <f t="shared" si="12"/>
        <v>9.7031625318311203</v>
      </c>
      <c r="H228" s="67">
        <f t="shared" si="13"/>
        <v>39636.224999999999</v>
      </c>
    </row>
    <row r="229" spans="1:8" x14ac:dyDescent="0.25">
      <c r="A229" s="53">
        <f>'A) Base RI'!A231</f>
        <v>5756</v>
      </c>
      <c r="B229" s="116" t="str">
        <f>'A) Base RI'!B231</f>
        <v>Montcherand</v>
      </c>
      <c r="C229" s="44">
        <f>'B) D RI'!Y231</f>
        <v>114359.75</v>
      </c>
      <c r="D229" s="10">
        <f>'B) D RI'!Z231</f>
        <v>20534.8</v>
      </c>
      <c r="E229" s="10">
        <f t="shared" si="11"/>
        <v>134894.54999999999</v>
      </c>
      <c r="F229" s="10">
        <f>'B) D RI'!U231</f>
        <v>14643.939999999999</v>
      </c>
      <c r="G229" s="295">
        <f t="shared" si="12"/>
        <v>9.2116295204705843</v>
      </c>
      <c r="H229" s="67">
        <f t="shared" si="13"/>
        <v>63340.315000000002</v>
      </c>
    </row>
    <row r="230" spans="1:8" x14ac:dyDescent="0.25">
      <c r="A230" s="53">
        <f>'A) Base RI'!A232</f>
        <v>5757</v>
      </c>
      <c r="B230" s="116" t="str">
        <f>'A) Base RI'!B232</f>
        <v>Orbe</v>
      </c>
      <c r="C230" s="44">
        <f>'B) D RI'!Y232</f>
        <v>469231.45</v>
      </c>
      <c r="D230" s="10">
        <f>'B) D RI'!Z232</f>
        <v>2683850.4</v>
      </c>
      <c r="E230" s="10">
        <f t="shared" si="11"/>
        <v>3153081.85</v>
      </c>
      <c r="F230" s="10">
        <f>'B) D RI'!U232</f>
        <v>219459.11337837842</v>
      </c>
      <c r="G230" s="295">
        <f t="shared" si="12"/>
        <v>14.367513845568322</v>
      </c>
      <c r="H230" s="67">
        <f t="shared" si="13"/>
        <v>1039770.845</v>
      </c>
    </row>
    <row r="231" spans="1:8" x14ac:dyDescent="0.25">
      <c r="A231" s="53">
        <f>'A) Base RI'!A233</f>
        <v>5758</v>
      </c>
      <c r="B231" s="116" t="str">
        <f>'A) Base RI'!B233</f>
        <v>La Praz</v>
      </c>
      <c r="C231" s="44">
        <f>'B) D RI'!Y233</f>
        <v>11668.45</v>
      </c>
      <c r="D231" s="10">
        <f>'B) D RI'!Z233</f>
        <v>0</v>
      </c>
      <c r="E231" s="10">
        <f t="shared" si="11"/>
        <v>11668.45</v>
      </c>
      <c r="F231" s="10">
        <f>'B) D RI'!U233</f>
        <v>3792.6817536813919</v>
      </c>
      <c r="G231" s="295">
        <f t="shared" si="12"/>
        <v>3.0765697619300489</v>
      </c>
      <c r="H231" s="67">
        <f t="shared" si="13"/>
        <v>5834.2250000000004</v>
      </c>
    </row>
    <row r="232" spans="1:8" x14ac:dyDescent="0.25">
      <c r="A232" s="53">
        <f>'A) Base RI'!A234</f>
        <v>5759</v>
      </c>
      <c r="B232" s="116" t="str">
        <f>'A) Base RI'!B234</f>
        <v>Premier</v>
      </c>
      <c r="C232" s="44">
        <f>'B) D RI'!Y234</f>
        <v>5390</v>
      </c>
      <c r="D232" s="10">
        <f>'B) D RI'!Z234</f>
        <v>1507.6</v>
      </c>
      <c r="E232" s="10">
        <f t="shared" si="11"/>
        <v>6897.6</v>
      </c>
      <c r="F232" s="10">
        <f>'B) D RI'!U234</f>
        <v>4689.5245679012341</v>
      </c>
      <c r="G232" s="295">
        <f t="shared" si="12"/>
        <v>1.4708527272066252</v>
      </c>
      <c r="H232" s="67">
        <f t="shared" si="13"/>
        <v>3147.2799999999997</v>
      </c>
    </row>
    <row r="233" spans="1:8" x14ac:dyDescent="0.25">
      <c r="A233" s="53">
        <f>'A) Base RI'!A235</f>
        <v>5760</v>
      </c>
      <c r="B233" s="116" t="str">
        <f>'A) Base RI'!B235</f>
        <v>Rances</v>
      </c>
      <c r="C233" s="44">
        <f>'B) D RI'!Y235</f>
        <v>206464.59999999998</v>
      </c>
      <c r="D233" s="10">
        <f>'B) D RI'!Z235</f>
        <v>13661.85</v>
      </c>
      <c r="E233" s="10">
        <f t="shared" si="11"/>
        <v>220126.44999999998</v>
      </c>
      <c r="F233" s="10">
        <f>'B) D RI'!U235</f>
        <v>13227.609572649571</v>
      </c>
      <c r="G233" s="295">
        <f t="shared" si="12"/>
        <v>16.641438408883072</v>
      </c>
      <c r="H233" s="67">
        <f t="shared" si="13"/>
        <v>107330.85499999998</v>
      </c>
    </row>
    <row r="234" spans="1:8" x14ac:dyDescent="0.25">
      <c r="A234" s="53">
        <f>'A) Base RI'!A236</f>
        <v>5761</v>
      </c>
      <c r="B234" s="116" t="str">
        <f>'A) Base RI'!B236</f>
        <v>Romainmôtier-Envy</v>
      </c>
      <c r="C234" s="44">
        <f>'B) D RI'!Y236</f>
        <v>123456.6</v>
      </c>
      <c r="D234" s="10">
        <f>'B) D RI'!Z236</f>
        <v>41030.199999999997</v>
      </c>
      <c r="E234" s="10">
        <f t="shared" si="11"/>
        <v>164486.79999999999</v>
      </c>
      <c r="F234" s="10">
        <f>'B) D RI'!U236</f>
        <v>12165.915592105261</v>
      </c>
      <c r="G234" s="295">
        <f t="shared" si="12"/>
        <v>13.520297650818753</v>
      </c>
      <c r="H234" s="67">
        <f t="shared" si="13"/>
        <v>74037.36</v>
      </c>
    </row>
    <row r="235" spans="1:8" x14ac:dyDescent="0.25">
      <c r="A235" s="53">
        <f>'A) Base RI'!A237</f>
        <v>5762</v>
      </c>
      <c r="B235" s="116" t="str">
        <f>'A) Base RI'!B237</f>
        <v>Sergey</v>
      </c>
      <c r="C235" s="44">
        <f>'B) D RI'!Y237</f>
        <v>3564</v>
      </c>
      <c r="D235" s="10">
        <f>'B) D RI'!Z237</f>
        <v>7814.8</v>
      </c>
      <c r="E235" s="10">
        <f t="shared" si="11"/>
        <v>11378.8</v>
      </c>
      <c r="F235" s="10">
        <f>'B) D RI'!U237</f>
        <v>3586.5485897435897</v>
      </c>
      <c r="G235" s="295">
        <f t="shared" si="12"/>
        <v>3.1726323275083512</v>
      </c>
      <c r="H235" s="67">
        <f t="shared" si="13"/>
        <v>4126.4400000000005</v>
      </c>
    </row>
    <row r="236" spans="1:8" x14ac:dyDescent="0.25">
      <c r="A236" s="53">
        <f>'A) Base RI'!A238</f>
        <v>5763</v>
      </c>
      <c r="B236" s="116" t="str">
        <f>'A) Base RI'!B238</f>
        <v>Valeyres-sous-Rances</v>
      </c>
      <c r="C236" s="44">
        <f>'B) D RI'!Y238</f>
        <v>75247.8</v>
      </c>
      <c r="D236" s="10">
        <f>'B) D RI'!Z238</f>
        <v>40770.949999999997</v>
      </c>
      <c r="E236" s="10">
        <f t="shared" si="11"/>
        <v>116018.75</v>
      </c>
      <c r="F236" s="10">
        <f>'B) D RI'!U238</f>
        <v>16085.850769230768</v>
      </c>
      <c r="G236" s="295">
        <f t="shared" si="12"/>
        <v>7.2124721075942233</v>
      </c>
      <c r="H236" s="67">
        <f t="shared" si="13"/>
        <v>49855.184999999998</v>
      </c>
    </row>
    <row r="237" spans="1:8" x14ac:dyDescent="0.25">
      <c r="A237" s="53">
        <f>'A) Base RI'!A239</f>
        <v>5764</v>
      </c>
      <c r="B237" s="116" t="str">
        <f>'A) Base RI'!B239</f>
        <v>Vallorbe</v>
      </c>
      <c r="C237" s="44">
        <f>'B) D RI'!Y239</f>
        <v>390119.55000000005</v>
      </c>
      <c r="D237" s="10">
        <f>'B) D RI'!Z239</f>
        <v>2204983.65</v>
      </c>
      <c r="E237" s="10">
        <f t="shared" si="11"/>
        <v>2595103.2000000002</v>
      </c>
      <c r="F237" s="10">
        <f>'B) D RI'!U239</f>
        <v>84513.608378378369</v>
      </c>
      <c r="G237" s="295">
        <f t="shared" si="12"/>
        <v>30.706335344023973</v>
      </c>
      <c r="H237" s="67">
        <f t="shared" si="13"/>
        <v>856554.87</v>
      </c>
    </row>
    <row r="238" spans="1:8" x14ac:dyDescent="0.25">
      <c r="A238" s="53">
        <f>'A) Base RI'!A240</f>
        <v>5765</v>
      </c>
      <c r="B238" s="116" t="str">
        <f>'A) Base RI'!B240</f>
        <v>Vaulion</v>
      </c>
      <c r="C238" s="44">
        <f>'B) D RI'!Y240</f>
        <v>12252.5</v>
      </c>
      <c r="D238" s="10">
        <f>'B) D RI'!Z240</f>
        <v>44930.85</v>
      </c>
      <c r="E238" s="10">
        <f t="shared" si="11"/>
        <v>57183.35</v>
      </c>
      <c r="F238" s="10">
        <f>'B) D RI'!U240</f>
        <v>10199.027160493826</v>
      </c>
      <c r="G238" s="295">
        <f t="shared" si="12"/>
        <v>5.6067455356429541</v>
      </c>
      <c r="H238" s="67">
        <f t="shared" si="13"/>
        <v>19605.504999999997</v>
      </c>
    </row>
    <row r="239" spans="1:8" x14ac:dyDescent="0.25">
      <c r="A239" s="53">
        <f>'A) Base RI'!A241</f>
        <v>5766</v>
      </c>
      <c r="B239" s="116" t="str">
        <f>'A) Base RI'!B241</f>
        <v>Vuiteboeuf</v>
      </c>
      <c r="C239" s="44">
        <f>'B) D RI'!Y241</f>
        <v>43661.25</v>
      </c>
      <c r="D239" s="10">
        <f>'B) D RI'!Z241</f>
        <v>21712.6</v>
      </c>
      <c r="E239" s="10">
        <f t="shared" si="11"/>
        <v>65373.85</v>
      </c>
      <c r="F239" s="10">
        <f>'B) D RI'!U241</f>
        <v>13023.960575139146</v>
      </c>
      <c r="G239" s="295">
        <f t="shared" si="12"/>
        <v>5.0195061343159475</v>
      </c>
      <c r="H239" s="67">
        <f t="shared" si="13"/>
        <v>28344.404999999999</v>
      </c>
    </row>
    <row r="240" spans="1:8" x14ac:dyDescent="0.25">
      <c r="A240" s="53">
        <f>'A) Base RI'!A242</f>
        <v>5782</v>
      </c>
      <c r="B240" s="116" t="str">
        <f>'A) Base RI'!B242</f>
        <v>Carrouge</v>
      </c>
      <c r="C240" s="44">
        <f>'B) D RI'!Y242</f>
        <v>342701.65</v>
      </c>
      <c r="D240" s="10">
        <f>'B) D RI'!Z242</f>
        <v>9298.7000000000007</v>
      </c>
      <c r="E240" s="10">
        <f t="shared" si="11"/>
        <v>352000.35000000003</v>
      </c>
      <c r="F240" s="10">
        <f>'B) D RI'!U242</f>
        <v>32585.638421052627</v>
      </c>
      <c r="G240" s="295">
        <f t="shared" si="12"/>
        <v>10.802315592275857</v>
      </c>
      <c r="H240" s="67">
        <f t="shared" si="13"/>
        <v>174140.435</v>
      </c>
    </row>
    <row r="241" spans="1:8" x14ac:dyDescent="0.25">
      <c r="A241" s="53">
        <f>'A) Base RI'!A243</f>
        <v>5785</v>
      </c>
      <c r="B241" s="116" t="str">
        <f>'A) Base RI'!B243</f>
        <v>Corcelles-le-Jorat</v>
      </c>
      <c r="C241" s="44">
        <f>'B) D RI'!Y243</f>
        <v>39505.5</v>
      </c>
      <c r="D241" s="10">
        <f>'B) D RI'!Z243</f>
        <v>0</v>
      </c>
      <c r="E241" s="10">
        <f t="shared" si="11"/>
        <v>39505.5</v>
      </c>
      <c r="F241" s="10">
        <f>'B) D RI'!U243</f>
        <v>12275.22831168831</v>
      </c>
      <c r="G241" s="295">
        <f t="shared" si="12"/>
        <v>3.2183108123849222</v>
      </c>
      <c r="H241" s="67">
        <f t="shared" si="13"/>
        <v>19752.75</v>
      </c>
    </row>
    <row r="242" spans="1:8" x14ac:dyDescent="0.25">
      <c r="A242" s="53">
        <f>'A) Base RI'!A244</f>
        <v>5788</v>
      </c>
      <c r="B242" s="116" t="str">
        <f>'A) Base RI'!B244</f>
        <v>Essertes</v>
      </c>
      <c r="C242" s="44">
        <f>'B) D RI'!Y244</f>
        <v>27429.300000000003</v>
      </c>
      <c r="D242" s="10">
        <f>'B) D RI'!Z244</f>
        <v>0</v>
      </c>
      <c r="E242" s="10">
        <f t="shared" si="11"/>
        <v>27429.300000000003</v>
      </c>
      <c r="F242" s="10">
        <f>'B) D RI'!U244</f>
        <v>9663.2152777777756</v>
      </c>
      <c r="G242" s="295">
        <f t="shared" si="12"/>
        <v>2.8385272615294408</v>
      </c>
      <c r="H242" s="67">
        <f t="shared" si="13"/>
        <v>13714.650000000001</v>
      </c>
    </row>
    <row r="243" spans="1:8" x14ac:dyDescent="0.25">
      <c r="A243" s="53">
        <f>'A) Base RI'!A245</f>
        <v>5789</v>
      </c>
      <c r="B243" s="116" t="str">
        <f>'A) Base RI'!B245</f>
        <v>Ferlens</v>
      </c>
      <c r="C243" s="44">
        <f>'B) D RI'!Y245</f>
        <v>40502.300000000003</v>
      </c>
      <c r="D243" s="10">
        <f>'B) D RI'!Z245</f>
        <v>0</v>
      </c>
      <c r="E243" s="10">
        <f t="shared" si="11"/>
        <v>40502.300000000003</v>
      </c>
      <c r="F243" s="10">
        <f>'B) D RI'!U245</f>
        <v>9239.8459210526344</v>
      </c>
      <c r="G243" s="295">
        <f t="shared" si="12"/>
        <v>4.3834388956332129</v>
      </c>
      <c r="H243" s="67">
        <f t="shared" si="13"/>
        <v>20251.150000000001</v>
      </c>
    </row>
    <row r="244" spans="1:8" x14ac:dyDescent="0.25">
      <c r="A244" s="53">
        <f>'A) Base RI'!A246</f>
        <v>5790</v>
      </c>
      <c r="B244" s="116" t="str">
        <f>'A) Base RI'!B246</f>
        <v>Maracon</v>
      </c>
      <c r="C244" s="44">
        <f>'B) D RI'!Y246</f>
        <v>60294</v>
      </c>
      <c r="D244" s="10">
        <f>'B) D RI'!Z246</f>
        <v>0</v>
      </c>
      <c r="E244" s="10">
        <f t="shared" si="11"/>
        <v>60294</v>
      </c>
      <c r="F244" s="10">
        <f>'B) D RI'!U246</f>
        <v>12077.747368421051</v>
      </c>
      <c r="G244" s="295">
        <f t="shared" si="12"/>
        <v>4.9921560834801895</v>
      </c>
      <c r="H244" s="67">
        <f t="shared" si="13"/>
        <v>30147</v>
      </c>
    </row>
    <row r="245" spans="1:8" x14ac:dyDescent="0.25">
      <c r="A245" s="53">
        <f>'A) Base RI'!A247</f>
        <v>5791</v>
      </c>
      <c r="B245" s="116" t="str">
        <f>'A) Base RI'!B247</f>
        <v>Mézières</v>
      </c>
      <c r="C245" s="44">
        <f>'B) D RI'!Y247</f>
        <v>248029.55</v>
      </c>
      <c r="D245" s="10">
        <f>'B) D RI'!Z247</f>
        <v>122.8</v>
      </c>
      <c r="E245" s="10">
        <f t="shared" si="11"/>
        <v>248152.34999999998</v>
      </c>
      <c r="F245" s="10">
        <f>'B) D RI'!U247</f>
        <v>47801.173157894729</v>
      </c>
      <c r="G245" s="295">
        <f t="shared" si="12"/>
        <v>5.1913443458869528</v>
      </c>
      <c r="H245" s="67">
        <f t="shared" si="13"/>
        <v>124051.61499999999</v>
      </c>
    </row>
    <row r="246" spans="1:8" x14ac:dyDescent="0.25">
      <c r="A246" s="53">
        <f>'A) Base RI'!A248</f>
        <v>5792</v>
      </c>
      <c r="B246" s="116" t="str">
        <f>'A) Base RI'!B248</f>
        <v>Montpreveyres</v>
      </c>
      <c r="C246" s="44">
        <f>'B) D RI'!Y248</f>
        <v>134633.60000000001</v>
      </c>
      <c r="D246" s="10">
        <f>'B) D RI'!Z248</f>
        <v>244.75</v>
      </c>
      <c r="E246" s="10">
        <f t="shared" si="11"/>
        <v>134878.35</v>
      </c>
      <c r="F246" s="10">
        <f>'B) D RI'!U248</f>
        <v>15670.869999999999</v>
      </c>
      <c r="G246" s="295">
        <f t="shared" si="12"/>
        <v>8.6069471573690564</v>
      </c>
      <c r="H246" s="67">
        <f t="shared" si="13"/>
        <v>67390.225000000006</v>
      </c>
    </row>
    <row r="247" spans="1:8" x14ac:dyDescent="0.25">
      <c r="A247" s="53">
        <f>'A) Base RI'!A249</f>
        <v>5798</v>
      </c>
      <c r="B247" s="116" t="str">
        <f>'A) Base RI'!B249</f>
        <v>Ropraz</v>
      </c>
      <c r="C247" s="44">
        <f>'B) D RI'!Y249</f>
        <v>42240.75</v>
      </c>
      <c r="D247" s="10">
        <f>'B) D RI'!Z249</f>
        <v>0</v>
      </c>
      <c r="E247" s="10">
        <f t="shared" si="11"/>
        <v>42240.75</v>
      </c>
      <c r="F247" s="10">
        <f>'B) D RI'!U249</f>
        <v>10971.989935483871</v>
      </c>
      <c r="G247" s="295">
        <f t="shared" si="12"/>
        <v>3.8498713768768291</v>
      </c>
      <c r="H247" s="67">
        <f t="shared" si="13"/>
        <v>21120.375</v>
      </c>
    </row>
    <row r="248" spans="1:8" x14ac:dyDescent="0.25">
      <c r="A248" s="53">
        <f>'A) Base RI'!A250</f>
        <v>5799</v>
      </c>
      <c r="B248" s="116" t="str">
        <f>'A) Base RI'!B250</f>
        <v>Servion</v>
      </c>
      <c r="C248" s="44">
        <f>'B) D RI'!Y250</f>
        <v>240452.5</v>
      </c>
      <c r="D248" s="10">
        <f>'B) D RI'!Z250</f>
        <v>18179.400000000001</v>
      </c>
      <c r="E248" s="10">
        <f t="shared" si="11"/>
        <v>258631.9</v>
      </c>
      <c r="F248" s="10">
        <f>'B) D RI'!U250</f>
        <v>60598.657971014502</v>
      </c>
      <c r="G248" s="295">
        <f t="shared" si="12"/>
        <v>4.2679476519712463</v>
      </c>
      <c r="H248" s="67">
        <f t="shared" si="13"/>
        <v>125680.07</v>
      </c>
    </row>
    <row r="249" spans="1:8" x14ac:dyDescent="0.25">
      <c r="A249" s="53">
        <f>'A) Base RI'!A251</f>
        <v>5803</v>
      </c>
      <c r="B249" s="116" t="str">
        <f>'A) Base RI'!B251</f>
        <v>Vulliens</v>
      </c>
      <c r="C249" s="44">
        <f>'B) D RI'!Y251</f>
        <v>157386.04999999999</v>
      </c>
      <c r="D249" s="10">
        <f>'B) D RI'!Z251</f>
        <v>0</v>
      </c>
      <c r="E249" s="10">
        <f t="shared" si="11"/>
        <v>157386.04999999999</v>
      </c>
      <c r="F249" s="10">
        <f>'B) D RI'!U251</f>
        <v>14215.08564102564</v>
      </c>
      <c r="G249" s="295">
        <f t="shared" si="12"/>
        <v>11.071762349835856</v>
      </c>
      <c r="H249" s="67">
        <f t="shared" si="13"/>
        <v>78693.024999999994</v>
      </c>
    </row>
    <row r="250" spans="1:8" x14ac:dyDescent="0.25">
      <c r="A250" s="53">
        <f>'A) Base RI'!A252</f>
        <v>5804</v>
      </c>
      <c r="B250" s="116" t="str">
        <f>'A) Base RI'!B252</f>
        <v>Jorat-Menthue</v>
      </c>
      <c r="C250" s="44">
        <f>'B) D RI'!Y252</f>
        <v>126072.65</v>
      </c>
      <c r="D250" s="10">
        <f>'B) D RI'!Z252</f>
        <v>12944.9</v>
      </c>
      <c r="E250" s="10">
        <f t="shared" si="11"/>
        <v>139017.54999999999</v>
      </c>
      <c r="F250" s="10">
        <f>'B) D RI'!U252</f>
        <v>48554.511111111118</v>
      </c>
      <c r="G250" s="295">
        <f>E250/F250</f>
        <v>2.8631232571135392</v>
      </c>
      <c r="H250" s="67">
        <f>(C250*$C$4)+(D250*$D$4)</f>
        <v>66919.794999999998</v>
      </c>
    </row>
    <row r="251" spans="1:8" x14ac:dyDescent="0.25">
      <c r="A251" s="53">
        <f>'A) Base RI'!A253</f>
        <v>5805</v>
      </c>
      <c r="B251" s="116" t="str">
        <f>'A) Base RI'!B253</f>
        <v>Oron</v>
      </c>
      <c r="C251" s="44">
        <f>'B) D RI'!Y253</f>
        <v>798639.35000000009</v>
      </c>
      <c r="D251" s="10">
        <f>'B) D RI'!Z253</f>
        <v>78868.399999999994</v>
      </c>
      <c r="E251" s="10">
        <f t="shared" si="11"/>
        <v>877507.75000000012</v>
      </c>
      <c r="F251" s="10">
        <f>'B) D RI'!U253</f>
        <v>147104.2625559947</v>
      </c>
      <c r="G251" s="295">
        <f>E251/F251</f>
        <v>5.9652095374597316</v>
      </c>
      <c r="H251" s="67">
        <f>(C251*$C$4)+(D251*$D$4)</f>
        <v>422980.19500000007</v>
      </c>
    </row>
    <row r="252" spans="1:8" x14ac:dyDescent="0.25">
      <c r="A252" s="53">
        <f>'A) Base RI'!A254</f>
        <v>5812</v>
      </c>
      <c r="B252" s="116" t="str">
        <f>'A) Base RI'!B254</f>
        <v>Champtauroz</v>
      </c>
      <c r="C252" s="44">
        <f>'B) D RI'!Y254</f>
        <v>19417.2</v>
      </c>
      <c r="D252" s="10">
        <f>'B) D RI'!Z254</f>
        <v>0</v>
      </c>
      <c r="E252" s="10">
        <f t="shared" si="11"/>
        <v>19417.2</v>
      </c>
      <c r="F252" s="10">
        <f>'B) D RI'!U254</f>
        <v>2326.5760389610391</v>
      </c>
      <c r="G252" s="295">
        <f t="shared" si="12"/>
        <v>8.3458265170954782</v>
      </c>
      <c r="H252" s="67">
        <f t="shared" si="13"/>
        <v>9708.6</v>
      </c>
    </row>
    <row r="253" spans="1:8" x14ac:dyDescent="0.25">
      <c r="A253" s="53">
        <f>'A) Base RI'!A255</f>
        <v>5813</v>
      </c>
      <c r="B253" s="116" t="str">
        <f>'A) Base RI'!B255</f>
        <v>Chevroux</v>
      </c>
      <c r="C253" s="44">
        <f>'B) D RI'!Y255</f>
        <v>64489.45</v>
      </c>
      <c r="D253" s="10">
        <f>'B) D RI'!Z255</f>
        <v>0</v>
      </c>
      <c r="E253" s="10">
        <f t="shared" si="11"/>
        <v>64489.45</v>
      </c>
      <c r="F253" s="10">
        <f>'B) D RI'!U255</f>
        <v>11503.329976190478</v>
      </c>
      <c r="G253" s="295">
        <f t="shared" si="12"/>
        <v>5.6061549250069209</v>
      </c>
      <c r="H253" s="67">
        <f t="shared" si="13"/>
        <v>32244.724999999999</v>
      </c>
    </row>
    <row r="254" spans="1:8" x14ac:dyDescent="0.25">
      <c r="A254" s="53">
        <f>'A) Base RI'!A256</f>
        <v>5816</v>
      </c>
      <c r="B254" s="116" t="str">
        <f>'A) Base RI'!B256</f>
        <v>Corcelles-près-Payerne</v>
      </c>
      <c r="C254" s="44">
        <f>'B) D RI'!Y256</f>
        <v>247060.95</v>
      </c>
      <c r="D254" s="10">
        <f>'B) D RI'!Z256</f>
        <v>9123.2000000000007</v>
      </c>
      <c r="E254" s="10">
        <f t="shared" si="11"/>
        <v>256184.15000000002</v>
      </c>
      <c r="F254" s="10">
        <f>'B) D RI'!U256</f>
        <v>56641.066845238092</v>
      </c>
      <c r="G254" s="295">
        <f t="shared" si="12"/>
        <v>4.5229400551366528</v>
      </c>
      <c r="H254" s="67">
        <f t="shared" si="13"/>
        <v>126267.43500000001</v>
      </c>
    </row>
    <row r="255" spans="1:8" x14ac:dyDescent="0.25">
      <c r="A255" s="53">
        <f>'A) Base RI'!A257</f>
        <v>5817</v>
      </c>
      <c r="B255" s="116" t="str">
        <f>'A) Base RI'!B257</f>
        <v>Grandcour</v>
      </c>
      <c r="C255" s="44">
        <f>'B) D RI'!Y257</f>
        <v>76364.2</v>
      </c>
      <c r="D255" s="10">
        <f>'B) D RI'!Z257</f>
        <v>254.85</v>
      </c>
      <c r="E255" s="10">
        <f t="shared" si="11"/>
        <v>76619.05</v>
      </c>
      <c r="F255" s="10">
        <f>'B) D RI'!U257</f>
        <v>20990.550314465407</v>
      </c>
      <c r="G255" s="295">
        <f t="shared" si="12"/>
        <v>3.6501687117368631</v>
      </c>
      <c r="H255" s="67">
        <f t="shared" si="13"/>
        <v>38258.555</v>
      </c>
    </row>
    <row r="256" spans="1:8" x14ac:dyDescent="0.25">
      <c r="A256" s="53">
        <f>'A) Base RI'!A258</f>
        <v>5819</v>
      </c>
      <c r="B256" s="116" t="str">
        <f>'A) Base RI'!B258</f>
        <v>Henniez</v>
      </c>
      <c r="C256" s="44">
        <f>'B) D RI'!Y258</f>
        <v>36840.1</v>
      </c>
      <c r="D256" s="10">
        <f>'B) D RI'!Z258</f>
        <v>18513.650000000001</v>
      </c>
      <c r="E256" s="10">
        <f t="shared" si="11"/>
        <v>55353.75</v>
      </c>
      <c r="F256" s="10">
        <f>'B) D RI'!U258</f>
        <v>14949.743880597016</v>
      </c>
      <c r="G256" s="295">
        <f t="shared" si="12"/>
        <v>3.7026554061466275</v>
      </c>
      <c r="H256" s="67">
        <f t="shared" si="13"/>
        <v>23974.145</v>
      </c>
    </row>
    <row r="257" spans="1:8" x14ac:dyDescent="0.25">
      <c r="A257" s="53">
        <f>'A) Base RI'!A259</f>
        <v>5821</v>
      </c>
      <c r="B257" s="116" t="str">
        <f>'A) Base RI'!B259</f>
        <v>Missy</v>
      </c>
      <c r="C257" s="44">
        <f>'B) D RI'!Y259</f>
        <v>38596.1</v>
      </c>
      <c r="D257" s="10">
        <f>'B) D RI'!Z259</f>
        <v>0</v>
      </c>
      <c r="E257" s="10">
        <f t="shared" si="11"/>
        <v>38596.1</v>
      </c>
      <c r="F257" s="10">
        <f>'B) D RI'!U259</f>
        <v>7776.2584722222218</v>
      </c>
      <c r="G257" s="295">
        <f t="shared" si="12"/>
        <v>4.9633252466941711</v>
      </c>
      <c r="H257" s="67">
        <f t="shared" si="13"/>
        <v>19298.05</v>
      </c>
    </row>
    <row r="258" spans="1:8" x14ac:dyDescent="0.25">
      <c r="A258" s="53">
        <f>'A) Base RI'!A260</f>
        <v>5822</v>
      </c>
      <c r="B258" s="116" t="str">
        <f>'A) Base RI'!B260</f>
        <v>Payerne</v>
      </c>
      <c r="C258" s="44">
        <f>'B) D RI'!Y260</f>
        <v>2452377</v>
      </c>
      <c r="D258" s="10">
        <f>'B) D RI'!Z260</f>
        <v>64714.25</v>
      </c>
      <c r="E258" s="10">
        <f t="shared" si="11"/>
        <v>2517091.25</v>
      </c>
      <c r="F258" s="10">
        <f>'B) D RI'!U260</f>
        <v>231493.6713333333</v>
      </c>
      <c r="G258" s="295">
        <f t="shared" si="12"/>
        <v>10.873261612303775</v>
      </c>
      <c r="H258" s="67">
        <f t="shared" si="13"/>
        <v>1245602.7749999999</v>
      </c>
    </row>
    <row r="259" spans="1:8" x14ac:dyDescent="0.25">
      <c r="A259" s="53">
        <f>'A) Base RI'!A261</f>
        <v>5827</v>
      </c>
      <c r="B259" s="116" t="str">
        <f>'A) Base RI'!B261</f>
        <v>Trey</v>
      </c>
      <c r="C259" s="44">
        <f>'B) D RI'!Y261</f>
        <v>58656.3</v>
      </c>
      <c r="D259" s="10">
        <f>'B) D RI'!Z261</f>
        <v>24264.25</v>
      </c>
      <c r="E259" s="10">
        <f t="shared" si="11"/>
        <v>82920.55</v>
      </c>
      <c r="F259" s="10">
        <f>'B) D RI'!U261</f>
        <v>6204.9173749999991</v>
      </c>
      <c r="G259" s="295">
        <f t="shared" si="12"/>
        <v>13.363683186836958</v>
      </c>
      <c r="H259" s="67">
        <f t="shared" si="13"/>
        <v>36607.425000000003</v>
      </c>
    </row>
    <row r="260" spans="1:8" x14ac:dyDescent="0.25">
      <c r="A260" s="53">
        <f>'A) Base RI'!A262</f>
        <v>5828</v>
      </c>
      <c r="B260" s="116" t="str">
        <f>'A) Base RI'!B262</f>
        <v>Treytorrens (Payerne)</v>
      </c>
      <c r="C260" s="44">
        <f>'B) D RI'!Y262</f>
        <v>10299.6</v>
      </c>
      <c r="D260" s="10">
        <f>'B) D RI'!Z262</f>
        <v>0</v>
      </c>
      <c r="E260" s="10">
        <f t="shared" si="11"/>
        <v>10299.6</v>
      </c>
      <c r="F260" s="10">
        <f>'B) D RI'!U262</f>
        <v>2352.5354761904764</v>
      </c>
      <c r="G260" s="295">
        <f t="shared" si="12"/>
        <v>4.3780848808615707</v>
      </c>
      <c r="H260" s="67">
        <f t="shared" si="13"/>
        <v>5149.8</v>
      </c>
    </row>
    <row r="261" spans="1:8" x14ac:dyDescent="0.25">
      <c r="A261" s="53">
        <f>'A) Base RI'!A263</f>
        <v>5830</v>
      </c>
      <c r="B261" s="116" t="str">
        <f>'A) Base RI'!B263</f>
        <v>Villarzel</v>
      </c>
      <c r="C261" s="44">
        <f>'B) D RI'!Y263</f>
        <v>57214.55</v>
      </c>
      <c r="D261" s="10">
        <f>'B) D RI'!Z263</f>
        <v>0</v>
      </c>
      <c r="E261" s="10">
        <f t="shared" ref="E261:E322" si="14">C261+D261</f>
        <v>57214.55</v>
      </c>
      <c r="F261" s="10">
        <f>'B) D RI'!U263</f>
        <v>9737.3892405063307</v>
      </c>
      <c r="G261" s="295">
        <f t="shared" si="12"/>
        <v>5.875758746707441</v>
      </c>
      <c r="H261" s="67">
        <f t="shared" si="13"/>
        <v>28607.275000000001</v>
      </c>
    </row>
    <row r="262" spans="1:8" x14ac:dyDescent="0.25">
      <c r="A262" s="53">
        <f>'A) Base RI'!A264</f>
        <v>5831</v>
      </c>
      <c r="B262" s="116" t="str">
        <f>'A) Base RI'!B264</f>
        <v>Valbroye</v>
      </c>
      <c r="C262" s="44">
        <f>'B) D RI'!Y264</f>
        <v>321827</v>
      </c>
      <c r="D262" s="10">
        <f>'B) D RI'!Z264</f>
        <v>31674.95</v>
      </c>
      <c r="E262" s="10">
        <f t="shared" si="14"/>
        <v>353501.95</v>
      </c>
      <c r="F262" s="10">
        <f>'B) D RI'!U264</f>
        <v>75142.69210045661</v>
      </c>
      <c r="G262" s="295">
        <f>E262/F262</f>
        <v>4.7044089068223833</v>
      </c>
      <c r="H262" s="67">
        <f>(C262*$C$4)+(D262*$D$4)</f>
        <v>170415.98499999999</v>
      </c>
    </row>
    <row r="263" spans="1:8" x14ac:dyDescent="0.25">
      <c r="A263" s="53">
        <f>'A) Base RI'!A265</f>
        <v>5841</v>
      </c>
      <c r="B263" s="116" t="str">
        <f>'A) Base RI'!B265</f>
        <v>Château-d'Oex</v>
      </c>
      <c r="C263" s="44">
        <f>'B) D RI'!Y265</f>
        <v>1167813.2999999998</v>
      </c>
      <c r="D263" s="10">
        <f>'B) D RI'!Z265</f>
        <v>0</v>
      </c>
      <c r="E263" s="10">
        <f t="shared" si="14"/>
        <v>1167813.2999999998</v>
      </c>
      <c r="F263" s="10">
        <f>'B) D RI'!U265</f>
        <v>106457.35927710844</v>
      </c>
      <c r="G263" s="295">
        <f>E263/F263</f>
        <v>10.969775203235903</v>
      </c>
      <c r="H263" s="67">
        <f>(C263*$C$4)+(D263*$D$4)</f>
        <v>583906.64999999991</v>
      </c>
    </row>
    <row r="264" spans="1:8" x14ac:dyDescent="0.25">
      <c r="A264" s="53">
        <f>'A) Base RI'!A266</f>
        <v>5842</v>
      </c>
      <c r="B264" s="116" t="str">
        <f>'A) Base RI'!B266</f>
        <v>Rossinière</v>
      </c>
      <c r="C264" s="44">
        <f>'B) D RI'!Y266</f>
        <v>212850.75000000003</v>
      </c>
      <c r="D264" s="10">
        <f>'B) D RI'!Z266</f>
        <v>0</v>
      </c>
      <c r="E264" s="10">
        <f t="shared" si="14"/>
        <v>212850.75000000003</v>
      </c>
      <c r="F264" s="10">
        <f>'B) D RI'!U266</f>
        <v>13519.399629629628</v>
      </c>
      <c r="G264" s="295">
        <f t="shared" si="12"/>
        <v>15.744097802502136</v>
      </c>
      <c r="H264" s="67">
        <f t="shared" si="13"/>
        <v>106425.37500000001</v>
      </c>
    </row>
    <row r="265" spans="1:8" x14ac:dyDescent="0.25">
      <c r="A265" s="53">
        <f>'A) Base RI'!A267</f>
        <v>5843</v>
      </c>
      <c r="B265" s="116" t="str">
        <f>'A) Base RI'!B267</f>
        <v>Rougemont</v>
      </c>
      <c r="C265" s="44">
        <f>'B) D RI'!Y267</f>
        <v>1680694.35</v>
      </c>
      <c r="D265" s="10">
        <f>'B) D RI'!Z267</f>
        <v>0</v>
      </c>
      <c r="E265" s="10">
        <f t="shared" si="14"/>
        <v>1680694.35</v>
      </c>
      <c r="F265" s="10">
        <f>'B) D RI'!U267</f>
        <v>88213.430628019312</v>
      </c>
      <c r="G265" s="295">
        <f t="shared" si="12"/>
        <v>19.052590269243645</v>
      </c>
      <c r="H265" s="67">
        <f t="shared" si="13"/>
        <v>840347.17500000005</v>
      </c>
    </row>
    <row r="266" spans="1:8" x14ac:dyDescent="0.25">
      <c r="A266" s="53">
        <f>'A) Base RI'!A268</f>
        <v>5851</v>
      </c>
      <c r="B266" s="116" t="str">
        <f>'A) Base RI'!B268</f>
        <v>Allaman</v>
      </c>
      <c r="C266" s="44">
        <f>'B) D RI'!Y268</f>
        <v>876378.54999999993</v>
      </c>
      <c r="D266" s="10">
        <f>'B) D RI'!Z268</f>
        <v>34609.599999999999</v>
      </c>
      <c r="E266" s="10">
        <f t="shared" si="14"/>
        <v>910988.14999999991</v>
      </c>
      <c r="F266" s="10">
        <f>'B) D RI'!U268</f>
        <v>26900.629237536661</v>
      </c>
      <c r="G266" s="295">
        <f t="shared" si="12"/>
        <v>33.864938323778063</v>
      </c>
      <c r="H266" s="67">
        <f t="shared" si="13"/>
        <v>448572.15499999997</v>
      </c>
    </row>
    <row r="267" spans="1:8" x14ac:dyDescent="0.25">
      <c r="A267" s="53">
        <f>'A) Base RI'!A269</f>
        <v>5852</v>
      </c>
      <c r="B267" s="116" t="str">
        <f>'A) Base RI'!B269</f>
        <v>Bursinel</v>
      </c>
      <c r="C267" s="44">
        <f>'B) D RI'!Y269</f>
        <v>27341.7</v>
      </c>
      <c r="D267" s="10">
        <f>'B) D RI'!Z269</f>
        <v>8097.2</v>
      </c>
      <c r="E267" s="10">
        <f t="shared" si="14"/>
        <v>35438.9</v>
      </c>
      <c r="F267" s="10">
        <f>'B) D RI'!U269</f>
        <v>29922.291297709922</v>
      </c>
      <c r="G267" s="295">
        <f t="shared" si="12"/>
        <v>1.1843645143148609</v>
      </c>
      <c r="H267" s="67">
        <f t="shared" si="13"/>
        <v>16100.01</v>
      </c>
    </row>
    <row r="268" spans="1:8" x14ac:dyDescent="0.25">
      <c r="A268" s="53">
        <f>'A) Base RI'!A270</f>
        <v>5853</v>
      </c>
      <c r="B268" s="116" t="str">
        <f>'A) Base RI'!B270</f>
        <v>Bursins</v>
      </c>
      <c r="C268" s="44">
        <f>'B) D RI'!Y270</f>
        <v>347191.55</v>
      </c>
      <c r="D268" s="10">
        <f>'B) D RI'!Z270</f>
        <v>56250.6</v>
      </c>
      <c r="E268" s="10">
        <f t="shared" si="14"/>
        <v>403442.14999999997</v>
      </c>
      <c r="F268" s="10">
        <f>'B) D RI'!U270</f>
        <v>40543.223380281692</v>
      </c>
      <c r="G268" s="295">
        <f t="shared" si="12"/>
        <v>9.9509145145132969</v>
      </c>
      <c r="H268" s="67">
        <f t="shared" si="13"/>
        <v>190470.95499999999</v>
      </c>
    </row>
    <row r="269" spans="1:8" x14ac:dyDescent="0.25">
      <c r="A269" s="53">
        <f>'A) Base RI'!A271</f>
        <v>5854</v>
      </c>
      <c r="B269" s="116" t="str">
        <f>'A) Base RI'!B271</f>
        <v>Burtigny</v>
      </c>
      <c r="C269" s="44">
        <f>'B) D RI'!Y271</f>
        <v>41311.149999999994</v>
      </c>
      <c r="D269" s="10">
        <f>'B) D RI'!Z271</f>
        <v>21571.65</v>
      </c>
      <c r="E269" s="10">
        <f t="shared" si="14"/>
        <v>62882.799999999996</v>
      </c>
      <c r="F269" s="10">
        <f>'B) D RI'!U271</f>
        <v>10577.787833333332</v>
      </c>
      <c r="G269" s="295">
        <f t="shared" si="12"/>
        <v>5.9447968697046569</v>
      </c>
      <c r="H269" s="67">
        <f t="shared" si="13"/>
        <v>27127.069999999996</v>
      </c>
    </row>
    <row r="270" spans="1:8" x14ac:dyDescent="0.25">
      <c r="A270" s="53">
        <f>'A) Base RI'!A272</f>
        <v>5855</v>
      </c>
      <c r="B270" s="116" t="str">
        <f>'A) Base RI'!B272</f>
        <v>Dully</v>
      </c>
      <c r="C270" s="44">
        <f>'B) D RI'!Y272</f>
        <v>919782.3</v>
      </c>
      <c r="D270" s="10">
        <f>'B) D RI'!Z272</f>
        <v>1937.3</v>
      </c>
      <c r="E270" s="10">
        <f t="shared" si="14"/>
        <v>921719.60000000009</v>
      </c>
      <c r="F270" s="10">
        <f>'B) D RI'!U272</f>
        <v>79387.772653061227</v>
      </c>
      <c r="G270" s="295">
        <f t="shared" si="12"/>
        <v>11.610347150411684</v>
      </c>
      <c r="H270" s="67">
        <f t="shared" si="13"/>
        <v>460472.34</v>
      </c>
    </row>
    <row r="271" spans="1:8" x14ac:dyDescent="0.25">
      <c r="A271" s="53">
        <f>'A) Base RI'!A273</f>
        <v>5856</v>
      </c>
      <c r="B271" s="116" t="str">
        <f>'A) Base RI'!B273</f>
        <v>Essertines-sur-Rolle</v>
      </c>
      <c r="C271" s="44">
        <f>'B) D RI'!Y273</f>
        <v>102809.35</v>
      </c>
      <c r="D271" s="10">
        <f>'B) D RI'!Z273</f>
        <v>20042.849999999999</v>
      </c>
      <c r="E271" s="10">
        <f t="shared" si="14"/>
        <v>122852.20000000001</v>
      </c>
      <c r="F271" s="10">
        <f>'B) D RI'!U273</f>
        <v>31862.802285067875</v>
      </c>
      <c r="G271" s="295">
        <f t="shared" si="12"/>
        <v>3.85566212603884</v>
      </c>
      <c r="H271" s="67">
        <f t="shared" si="13"/>
        <v>57417.53</v>
      </c>
    </row>
    <row r="272" spans="1:8" x14ac:dyDescent="0.25">
      <c r="A272" s="53">
        <f>'A) Base RI'!A274</f>
        <v>5857</v>
      </c>
      <c r="B272" s="116" t="str">
        <f>'A) Base RI'!B274</f>
        <v>Gilly</v>
      </c>
      <c r="C272" s="44">
        <f>'B) D RI'!Y274</f>
        <v>977787.25</v>
      </c>
      <c r="D272" s="10">
        <f>'B) D RI'!Z274</f>
        <v>85888.1</v>
      </c>
      <c r="E272" s="10">
        <f t="shared" si="14"/>
        <v>1063675.3500000001</v>
      </c>
      <c r="F272" s="10">
        <f>'B) D RI'!U274</f>
        <v>62540.44560606061</v>
      </c>
      <c r="G272" s="295">
        <f t="shared" si="12"/>
        <v>17.007799347961832</v>
      </c>
      <c r="H272" s="67">
        <f t="shared" si="13"/>
        <v>514660.05499999999</v>
      </c>
    </row>
    <row r="273" spans="1:8" x14ac:dyDescent="0.25">
      <c r="A273" s="53">
        <f>'A) Base RI'!A275</f>
        <v>5858</v>
      </c>
      <c r="B273" s="116" t="str">
        <f>'A) Base RI'!B275</f>
        <v>Luins</v>
      </c>
      <c r="C273" s="44">
        <f>'B) D RI'!Y275</f>
        <v>-6365.35</v>
      </c>
      <c r="D273" s="10">
        <f>'B) D RI'!Z275</f>
        <v>13569.15</v>
      </c>
      <c r="E273" s="10">
        <f t="shared" si="14"/>
        <v>7203.7999999999993</v>
      </c>
      <c r="F273" s="10">
        <f>'B) D RI'!U275</f>
        <v>35045.301944444444</v>
      </c>
      <c r="G273" s="295">
        <f t="shared" ref="G273:G323" si="15">E273/F273</f>
        <v>0.20555679649785361</v>
      </c>
      <c r="H273" s="67">
        <f t="shared" si="13"/>
        <v>888.06999999999971</v>
      </c>
    </row>
    <row r="274" spans="1:8" x14ac:dyDescent="0.25">
      <c r="A274" s="53">
        <f>'A) Base RI'!A276</f>
        <v>5859</v>
      </c>
      <c r="B274" s="116" t="str">
        <f>'A) Base RI'!B276</f>
        <v>Mont-sur-Rolle</v>
      </c>
      <c r="C274" s="44">
        <f>'B) D RI'!Y276</f>
        <v>659418.1</v>
      </c>
      <c r="D274" s="10">
        <f>'B) D RI'!Z276</f>
        <v>70477.75</v>
      </c>
      <c r="E274" s="10">
        <f t="shared" si="14"/>
        <v>729895.85</v>
      </c>
      <c r="F274" s="10">
        <f>'B) D RI'!U276</f>
        <v>130430.38093750003</v>
      </c>
      <c r="G274" s="295">
        <f t="shared" si="15"/>
        <v>5.5960570286899136</v>
      </c>
      <c r="H274" s="67">
        <f t="shared" ref="H274:H322" si="16">(C274*$C$4)+(D274*$D$4)</f>
        <v>350852.375</v>
      </c>
    </row>
    <row r="275" spans="1:8" x14ac:dyDescent="0.25">
      <c r="A275" s="53">
        <f>'A) Base RI'!A277</f>
        <v>5860</v>
      </c>
      <c r="B275" s="116" t="str">
        <f>'A) Base RI'!B277</f>
        <v>Perroy</v>
      </c>
      <c r="C275" s="44">
        <f>'B) D RI'!Y277</f>
        <v>489861</v>
      </c>
      <c r="D275" s="10">
        <f>'B) D RI'!Z277</f>
        <v>16298.85</v>
      </c>
      <c r="E275" s="10">
        <f t="shared" si="14"/>
        <v>506159.85</v>
      </c>
      <c r="F275" s="10">
        <f>'B) D RI'!U277</f>
        <v>92749.778038461533</v>
      </c>
      <c r="G275" s="295">
        <f t="shared" si="15"/>
        <v>5.4572621164667945</v>
      </c>
      <c r="H275" s="67">
        <f t="shared" si="16"/>
        <v>249820.155</v>
      </c>
    </row>
    <row r="276" spans="1:8" x14ac:dyDescent="0.25">
      <c r="A276" s="53">
        <f>'A) Base RI'!A278</f>
        <v>5861</v>
      </c>
      <c r="B276" s="116" t="str">
        <f>'A) Base RI'!B278</f>
        <v>Rolle</v>
      </c>
      <c r="C276" s="44">
        <f>'B) D RI'!Y278</f>
        <v>1541628.5</v>
      </c>
      <c r="D276" s="10">
        <f>'B) D RI'!Z278</f>
        <v>709686.45</v>
      </c>
      <c r="E276" s="10">
        <f t="shared" si="14"/>
        <v>2251314.9500000002</v>
      </c>
      <c r="F276" s="10">
        <f>'B) D RI'!U278</f>
        <v>834788.40991596645</v>
      </c>
      <c r="G276" s="295">
        <f t="shared" si="15"/>
        <v>2.6968689589576691</v>
      </c>
      <c r="H276" s="67">
        <f t="shared" si="16"/>
        <v>983720.18499999994</v>
      </c>
    </row>
    <row r="277" spans="1:8" x14ac:dyDescent="0.25">
      <c r="A277" s="53">
        <f>'A) Base RI'!A279</f>
        <v>5862</v>
      </c>
      <c r="B277" s="116" t="str">
        <f>'A) Base RI'!B279</f>
        <v>Tartegnin</v>
      </c>
      <c r="C277" s="44">
        <f>'B) D RI'!Y279</f>
        <v>50087.600000000006</v>
      </c>
      <c r="D277" s="10">
        <f>'B) D RI'!Z279</f>
        <v>8135.4</v>
      </c>
      <c r="E277" s="10">
        <f t="shared" si="14"/>
        <v>58223.000000000007</v>
      </c>
      <c r="F277" s="10">
        <f>'B) D RI'!U279</f>
        <v>8301.4215873015874</v>
      </c>
      <c r="G277" s="295">
        <f t="shared" si="15"/>
        <v>7.0136180156253989</v>
      </c>
      <c r="H277" s="67">
        <f t="shared" si="16"/>
        <v>27484.420000000002</v>
      </c>
    </row>
    <row r="278" spans="1:8" x14ac:dyDescent="0.25">
      <c r="A278" s="53">
        <f>'A) Base RI'!A280</f>
        <v>5863</v>
      </c>
      <c r="B278" s="116" t="str">
        <f>'A) Base RI'!B280</f>
        <v>Vinzel</v>
      </c>
      <c r="C278" s="44">
        <f>'B) D RI'!Y280</f>
        <v>17588.150000000001</v>
      </c>
      <c r="D278" s="10">
        <f>'B) D RI'!Z280</f>
        <v>15799.95</v>
      </c>
      <c r="E278" s="10">
        <f t="shared" si="14"/>
        <v>33388.100000000006</v>
      </c>
      <c r="F278" s="10">
        <f>'B) D RI'!U280</f>
        <v>24528.370999999999</v>
      </c>
      <c r="G278" s="295">
        <f t="shared" si="15"/>
        <v>1.3612033183940346</v>
      </c>
      <c r="H278" s="67">
        <f t="shared" si="16"/>
        <v>13534.060000000001</v>
      </c>
    </row>
    <row r="279" spans="1:8" x14ac:dyDescent="0.25">
      <c r="A279" s="53">
        <f>'A) Base RI'!A281</f>
        <v>5871</v>
      </c>
      <c r="B279" s="116" t="str">
        <f>'A) Base RI'!B281</f>
        <v>L'Abbaye</v>
      </c>
      <c r="C279" s="44">
        <f>'B) D RI'!Y281</f>
        <v>204554.55</v>
      </c>
      <c r="D279" s="10">
        <f>'B) D RI'!Z281</f>
        <v>637314</v>
      </c>
      <c r="E279" s="10">
        <f t="shared" si="14"/>
        <v>841868.55</v>
      </c>
      <c r="F279" s="10">
        <f>'B) D RI'!U281</f>
        <v>41169.431926700228</v>
      </c>
      <c r="G279" s="295">
        <f t="shared" si="15"/>
        <v>20.448874580025731</v>
      </c>
      <c r="H279" s="67">
        <f t="shared" si="16"/>
        <v>293471.47499999998</v>
      </c>
    </row>
    <row r="280" spans="1:8" x14ac:dyDescent="0.25">
      <c r="A280" s="53">
        <f>'A) Base RI'!A282</f>
        <v>5872</v>
      </c>
      <c r="B280" s="116" t="str">
        <f>'A) Base RI'!B282</f>
        <v>Le Chenit</v>
      </c>
      <c r="C280" s="44">
        <f>'B) D RI'!Y282</f>
        <v>410085</v>
      </c>
      <c r="D280" s="10">
        <f>'B) D RI'!Z282</f>
        <v>5100792.1500000004</v>
      </c>
      <c r="E280" s="10">
        <f t="shared" si="14"/>
        <v>5510877.1500000004</v>
      </c>
      <c r="F280" s="10">
        <f>'B) D RI'!U282</f>
        <v>315523.99059233442</v>
      </c>
      <c r="G280" s="295">
        <f t="shared" si="15"/>
        <v>17.46579440648684</v>
      </c>
      <c r="H280" s="67">
        <f t="shared" si="16"/>
        <v>1735280.145</v>
      </c>
    </row>
    <row r="281" spans="1:8" x14ac:dyDescent="0.25">
      <c r="A281" s="53">
        <f>'A) Base RI'!A283</f>
        <v>5873</v>
      </c>
      <c r="B281" s="116" t="str">
        <f>'A) Base RI'!B283</f>
        <v>Le Lieu</v>
      </c>
      <c r="C281" s="44">
        <f>'B) D RI'!Y283</f>
        <v>116813.95</v>
      </c>
      <c r="D281" s="10">
        <f>'B) D RI'!Z283</f>
        <v>806704.85</v>
      </c>
      <c r="E281" s="10">
        <f t="shared" si="14"/>
        <v>923518.79999999993</v>
      </c>
      <c r="F281" s="10">
        <f>'B) D RI'!U283</f>
        <v>30587.067025641027</v>
      </c>
      <c r="G281" s="295">
        <f t="shared" si="15"/>
        <v>30.193113946682679</v>
      </c>
      <c r="H281" s="67">
        <f t="shared" si="16"/>
        <v>300418.43</v>
      </c>
    </row>
    <row r="282" spans="1:8" x14ac:dyDescent="0.25">
      <c r="A282" s="53">
        <f>'A) Base RI'!A284</f>
        <v>5881</v>
      </c>
      <c r="B282" s="116" t="str">
        <f>'A) Base RI'!B284</f>
        <v>Blonay</v>
      </c>
      <c r="C282" s="44">
        <f>'B) D RI'!Y284</f>
        <v>2803078.9</v>
      </c>
      <c r="D282" s="10">
        <f>'B) D RI'!Z284</f>
        <v>78289.55</v>
      </c>
      <c r="E282" s="10">
        <f t="shared" si="14"/>
        <v>2881368.4499999997</v>
      </c>
      <c r="F282" s="10">
        <f>'B) D RI'!U284</f>
        <v>332407.86157142854</v>
      </c>
      <c r="G282" s="295">
        <f t="shared" si="15"/>
        <v>8.6681717946699184</v>
      </c>
      <c r="H282" s="67">
        <f t="shared" si="16"/>
        <v>1425026.3149999999</v>
      </c>
    </row>
    <row r="283" spans="1:8" x14ac:dyDescent="0.25">
      <c r="A283" s="53">
        <f>'A) Base RI'!A285</f>
        <v>5882</v>
      </c>
      <c r="B283" s="116" t="str">
        <f>'A) Base RI'!B285</f>
        <v>Chardonne</v>
      </c>
      <c r="C283" s="44">
        <f>'B) D RI'!Y285</f>
        <v>1199353.8</v>
      </c>
      <c r="D283" s="10">
        <f>'B) D RI'!Z285</f>
        <v>10525.4</v>
      </c>
      <c r="E283" s="10">
        <f t="shared" si="14"/>
        <v>1209879.2</v>
      </c>
      <c r="F283" s="10">
        <f>'B) D RI'!U285</f>
        <v>151089.46617647054</v>
      </c>
      <c r="G283" s="295">
        <f t="shared" si="15"/>
        <v>8.0077005407304611</v>
      </c>
      <c r="H283" s="67">
        <f t="shared" si="16"/>
        <v>602834.52</v>
      </c>
    </row>
    <row r="284" spans="1:8" x14ac:dyDescent="0.25">
      <c r="A284" s="53">
        <f>'A) Base RI'!A286</f>
        <v>5883</v>
      </c>
      <c r="B284" s="116" t="str">
        <f>'A) Base RI'!B286</f>
        <v>Corseaux</v>
      </c>
      <c r="C284" s="44">
        <f>'B) D RI'!Y286</f>
        <v>946092.10000000009</v>
      </c>
      <c r="D284" s="10">
        <f>'B) D RI'!Z286</f>
        <v>3263.25</v>
      </c>
      <c r="E284" s="10">
        <f t="shared" si="14"/>
        <v>949355.35000000009</v>
      </c>
      <c r="F284" s="10">
        <f>'B) D RI'!U286</f>
        <v>151117.63015625</v>
      </c>
      <c r="G284" s="295">
        <f t="shared" si="15"/>
        <v>6.2822276197582108</v>
      </c>
      <c r="H284" s="67">
        <f t="shared" si="16"/>
        <v>474025.02500000002</v>
      </c>
    </row>
    <row r="285" spans="1:8" x14ac:dyDescent="0.25">
      <c r="A285" s="53">
        <f>'A) Base RI'!A287</f>
        <v>5884</v>
      </c>
      <c r="B285" s="116" t="str">
        <f>'A) Base RI'!B287</f>
        <v>Corsier-sur-Vevey</v>
      </c>
      <c r="C285" s="44">
        <f>'B) D RI'!Y287</f>
        <v>457533.4</v>
      </c>
      <c r="D285" s="10">
        <f>'B) D RI'!Z287</f>
        <v>361450.95</v>
      </c>
      <c r="E285" s="10">
        <f t="shared" si="14"/>
        <v>818984.35000000009</v>
      </c>
      <c r="F285" s="10">
        <f>'B) D RI'!U287</f>
        <v>116440.6211111111</v>
      </c>
      <c r="G285" s="295">
        <f t="shared" si="15"/>
        <v>7.0334934852202551</v>
      </c>
      <c r="H285" s="67">
        <f t="shared" si="16"/>
        <v>337201.98499999999</v>
      </c>
    </row>
    <row r="286" spans="1:8" x14ac:dyDescent="0.25">
      <c r="A286" s="53">
        <f>'A) Base RI'!A288</f>
        <v>5885</v>
      </c>
      <c r="B286" s="116" t="str">
        <f>'A) Base RI'!B288</f>
        <v>Jongny</v>
      </c>
      <c r="C286" s="44">
        <f>'B) D RI'!Y288</f>
        <v>432601.9</v>
      </c>
      <c r="D286" s="10">
        <f>'B) D RI'!Z288</f>
        <v>0</v>
      </c>
      <c r="E286" s="10">
        <f t="shared" si="14"/>
        <v>432601.9</v>
      </c>
      <c r="F286" s="10">
        <f>'B) D RI'!U288</f>
        <v>81843.123028169022</v>
      </c>
      <c r="G286" s="295">
        <f t="shared" si="15"/>
        <v>5.2857452647683756</v>
      </c>
      <c r="H286" s="67">
        <f t="shared" si="16"/>
        <v>216300.95</v>
      </c>
    </row>
    <row r="287" spans="1:8" x14ac:dyDescent="0.25">
      <c r="A287" s="53">
        <f>'A) Base RI'!A289</f>
        <v>5886</v>
      </c>
      <c r="B287" s="116" t="str">
        <f>'A) Base RI'!B289</f>
        <v>Montreux</v>
      </c>
      <c r="C287" s="44">
        <f>'B) D RI'!Y289</f>
        <v>13684372.050000001</v>
      </c>
      <c r="D287" s="10">
        <f>'B) D RI'!Z289</f>
        <v>798361.7</v>
      </c>
      <c r="E287" s="10">
        <f t="shared" si="14"/>
        <v>14482733.75</v>
      </c>
      <c r="F287" s="10">
        <f>'B) D RI'!U289</f>
        <v>1175239.0178974359</v>
      </c>
      <c r="G287" s="295">
        <f t="shared" si="15"/>
        <v>12.323224067143693</v>
      </c>
      <c r="H287" s="67">
        <f t="shared" si="16"/>
        <v>7081694.5350000001</v>
      </c>
    </row>
    <row r="288" spans="1:8" x14ac:dyDescent="0.25">
      <c r="A288" s="53">
        <f>'A) Base RI'!A290</f>
        <v>5888</v>
      </c>
      <c r="B288" s="116" t="str">
        <f>'A) Base RI'!B290</f>
        <v>Saint-Légier-La Chiésaz</v>
      </c>
      <c r="C288" s="44">
        <f>'B) D RI'!Y290</f>
        <v>1353870.2</v>
      </c>
      <c r="D288" s="10">
        <f>'B) D RI'!Z290</f>
        <v>160090.6</v>
      </c>
      <c r="E288" s="10">
        <f t="shared" si="14"/>
        <v>1513960.8</v>
      </c>
      <c r="F288" s="10">
        <f>'B) D RI'!U290</f>
        <v>307135.62007462693</v>
      </c>
      <c r="G288" s="295">
        <f t="shared" si="15"/>
        <v>4.9292908443251946</v>
      </c>
      <c r="H288" s="67">
        <f t="shared" si="16"/>
        <v>724962.28</v>
      </c>
    </row>
    <row r="289" spans="1:8" x14ac:dyDescent="0.25">
      <c r="A289" s="53">
        <f>'A) Base RI'!A291</f>
        <v>5889</v>
      </c>
      <c r="B289" s="116" t="str">
        <f>'A) Base RI'!B291</f>
        <v>La Tour-de-Peilz</v>
      </c>
      <c r="C289" s="44">
        <f>'B) D RI'!Y291</f>
        <v>4270196.8</v>
      </c>
      <c r="D289" s="10">
        <f>'B) D RI'!Z291</f>
        <v>87843.5</v>
      </c>
      <c r="E289" s="10">
        <f t="shared" si="14"/>
        <v>4358040.3</v>
      </c>
      <c r="F289" s="10">
        <f>'B) D RI'!U291</f>
        <v>618611.02559895837</v>
      </c>
      <c r="G289" s="295">
        <f t="shared" si="15"/>
        <v>7.0448797704185928</v>
      </c>
      <c r="H289" s="67">
        <f t="shared" si="16"/>
        <v>2161451.4499999997</v>
      </c>
    </row>
    <row r="290" spans="1:8" x14ac:dyDescent="0.25">
      <c r="A290" s="53">
        <f>'A) Base RI'!A292</f>
        <v>5890</v>
      </c>
      <c r="B290" s="116" t="str">
        <f>'A) Base RI'!B292</f>
        <v>Vevey</v>
      </c>
      <c r="C290" s="44">
        <f>'B) D RI'!Y292</f>
        <v>4053478.75</v>
      </c>
      <c r="D290" s="10">
        <f>'B) D RI'!Z292</f>
        <v>1024428.9</v>
      </c>
      <c r="E290" s="10">
        <f t="shared" si="14"/>
        <v>5077907.6500000004</v>
      </c>
      <c r="F290" s="10">
        <f>'B) D RI'!U292</f>
        <v>909212.90865296812</v>
      </c>
      <c r="G290" s="295">
        <f t="shared" si="15"/>
        <v>5.5849489175457316</v>
      </c>
      <c r="H290" s="67">
        <f t="shared" si="16"/>
        <v>2334068.0449999999</v>
      </c>
    </row>
    <row r="291" spans="1:8" x14ac:dyDescent="0.25">
      <c r="A291" s="53">
        <f>'A) Base RI'!A293</f>
        <v>5891</v>
      </c>
      <c r="B291" s="116" t="str">
        <f>'A) Base RI'!B293</f>
        <v>Veytaux</v>
      </c>
      <c r="C291" s="44">
        <f>'B) D RI'!Y293</f>
        <v>321961.59999999998</v>
      </c>
      <c r="D291" s="10">
        <f>'B) D RI'!Z293</f>
        <v>0</v>
      </c>
      <c r="E291" s="10">
        <f t="shared" si="14"/>
        <v>321961.59999999998</v>
      </c>
      <c r="F291" s="10">
        <f>'B) D RI'!U293</f>
        <v>39510.481835748789</v>
      </c>
      <c r="G291" s="295">
        <f t="shared" si="15"/>
        <v>8.1487642023310265</v>
      </c>
      <c r="H291" s="67">
        <f t="shared" si="16"/>
        <v>160980.79999999999</v>
      </c>
    </row>
    <row r="292" spans="1:8" x14ac:dyDescent="0.25">
      <c r="A292" s="53">
        <f>'A) Base RI'!A294</f>
        <v>5902</v>
      </c>
      <c r="B292" s="116" t="str">
        <f>'A) Base RI'!B294</f>
        <v>Belmont-sur-Yverdon</v>
      </c>
      <c r="C292" s="44">
        <f>'B) D RI'!Y294</f>
        <v>16454.599999999999</v>
      </c>
      <c r="D292" s="10">
        <f>'B) D RI'!Z294</f>
        <v>0</v>
      </c>
      <c r="E292" s="10">
        <f t="shared" si="14"/>
        <v>16454.599999999999</v>
      </c>
      <c r="F292" s="10">
        <f>'B) D RI'!U294</f>
        <v>9227.1448684210518</v>
      </c>
      <c r="G292" s="295">
        <f t="shared" si="15"/>
        <v>1.7832818531238372</v>
      </c>
      <c r="H292" s="67">
        <f t="shared" si="16"/>
        <v>8227.2999999999993</v>
      </c>
    </row>
    <row r="293" spans="1:8" x14ac:dyDescent="0.25">
      <c r="A293" s="53">
        <f>'A) Base RI'!A295</f>
        <v>5903</v>
      </c>
      <c r="B293" s="116" t="str">
        <f>'A) Base RI'!B295</f>
        <v>Bioley-Magnoux</v>
      </c>
      <c r="C293" s="44">
        <f>'B) D RI'!Y295</f>
        <v>11970.7</v>
      </c>
      <c r="D293" s="10">
        <f>'B) D RI'!Z295</f>
        <v>23214.2</v>
      </c>
      <c r="E293" s="10">
        <f t="shared" si="14"/>
        <v>35184.9</v>
      </c>
      <c r="F293" s="10">
        <f>'B) D RI'!U295</f>
        <v>5953.911158301159</v>
      </c>
      <c r="G293" s="295">
        <f t="shared" si="15"/>
        <v>5.9095440063703233</v>
      </c>
      <c r="H293" s="67">
        <f t="shared" si="16"/>
        <v>12949.61</v>
      </c>
    </row>
    <row r="294" spans="1:8" x14ac:dyDescent="0.25">
      <c r="A294" s="53">
        <f>'A) Base RI'!A296</f>
        <v>5904</v>
      </c>
      <c r="B294" s="116" t="str">
        <f>'A) Base RI'!B296</f>
        <v>Chamblon</v>
      </c>
      <c r="C294" s="44">
        <f>'B) D RI'!Y296</f>
        <v>48407.600000000006</v>
      </c>
      <c r="D294" s="10">
        <f>'B) D RI'!Z296</f>
        <v>32253.4</v>
      </c>
      <c r="E294" s="10">
        <f t="shared" si="14"/>
        <v>80661</v>
      </c>
      <c r="F294" s="10">
        <f>'B) D RI'!U296</f>
        <v>22914.009848484849</v>
      </c>
      <c r="G294" s="295">
        <f t="shared" si="15"/>
        <v>3.5201608331914711</v>
      </c>
      <c r="H294" s="67">
        <f t="shared" si="16"/>
        <v>33879.820000000007</v>
      </c>
    </row>
    <row r="295" spans="1:8" x14ac:dyDescent="0.25">
      <c r="A295" s="53">
        <f>'A) Base RI'!A297</f>
        <v>5905</v>
      </c>
      <c r="B295" s="116" t="str">
        <f>'A) Base RI'!B297</f>
        <v>Champvent</v>
      </c>
      <c r="C295" s="44">
        <f>'B) D RI'!Y297</f>
        <v>196030.55000000002</v>
      </c>
      <c r="D295" s="10">
        <f>'B) D RI'!Z297</f>
        <v>116404.5</v>
      </c>
      <c r="E295" s="10">
        <f t="shared" si="14"/>
        <v>312435.05000000005</v>
      </c>
      <c r="F295" s="10">
        <f>'B) D RI'!U297</f>
        <v>21038.740140845071</v>
      </c>
      <c r="G295" s="295">
        <f t="shared" si="15"/>
        <v>14.850463854222516</v>
      </c>
      <c r="H295" s="67">
        <f t="shared" si="16"/>
        <v>132936.625</v>
      </c>
    </row>
    <row r="296" spans="1:8" x14ac:dyDescent="0.25">
      <c r="A296" s="53">
        <f>'A) Base RI'!A298</f>
        <v>5907</v>
      </c>
      <c r="B296" s="116" t="str">
        <f>'A) Base RI'!B298</f>
        <v>Chavannes-le-Chêne</v>
      </c>
      <c r="C296" s="44">
        <f>'B) D RI'!Y298</f>
        <v>50042</v>
      </c>
      <c r="D296" s="10">
        <f>'B) D RI'!Z298</f>
        <v>7359.95</v>
      </c>
      <c r="E296" s="10">
        <f t="shared" si="14"/>
        <v>57401.95</v>
      </c>
      <c r="F296" s="10">
        <f>'B) D RI'!U298</f>
        <v>8819.3566666666684</v>
      </c>
      <c r="G296" s="295">
        <f t="shared" si="15"/>
        <v>6.5086323378840545</v>
      </c>
      <c r="H296" s="67">
        <f t="shared" si="16"/>
        <v>27228.985000000001</v>
      </c>
    </row>
    <row r="297" spans="1:8" x14ac:dyDescent="0.25">
      <c r="A297" s="53">
        <f>'A) Base RI'!A299</f>
        <v>5908</v>
      </c>
      <c r="B297" s="116" t="str">
        <f>'A) Base RI'!B299</f>
        <v>Chêne-Pâquier</v>
      </c>
      <c r="C297" s="44">
        <f>'B) D RI'!Y299</f>
        <v>11966</v>
      </c>
      <c r="D297" s="10">
        <f>'B) D RI'!Z299</f>
        <v>0</v>
      </c>
      <c r="E297" s="10">
        <f t="shared" si="14"/>
        <v>11966</v>
      </c>
      <c r="F297" s="10">
        <f>'B) D RI'!U299</f>
        <v>2915.1287341772154</v>
      </c>
      <c r="G297" s="295">
        <f t="shared" si="15"/>
        <v>4.1047929924018813</v>
      </c>
      <c r="H297" s="67">
        <f t="shared" si="16"/>
        <v>5983</v>
      </c>
    </row>
    <row r="298" spans="1:8" x14ac:dyDescent="0.25">
      <c r="A298" s="53">
        <f>'A) Base RI'!A300</f>
        <v>5909</v>
      </c>
      <c r="B298" s="116" t="str">
        <f>'A) Base RI'!B300</f>
        <v>Cheseaux-Noréaz</v>
      </c>
      <c r="C298" s="44">
        <f>'B) D RI'!Y300</f>
        <v>96876.150000000009</v>
      </c>
      <c r="D298" s="10">
        <f>'B) D RI'!Z300</f>
        <v>10706.85</v>
      </c>
      <c r="E298" s="10">
        <f t="shared" si="14"/>
        <v>107583.00000000001</v>
      </c>
      <c r="F298" s="10">
        <f>'B) D RI'!U300</f>
        <v>24771.110857142852</v>
      </c>
      <c r="G298" s="295">
        <f t="shared" si="15"/>
        <v>4.3430833853370778</v>
      </c>
      <c r="H298" s="67">
        <f t="shared" si="16"/>
        <v>51650.130000000005</v>
      </c>
    </row>
    <row r="299" spans="1:8" x14ac:dyDescent="0.25">
      <c r="A299" s="53">
        <f>'A) Base RI'!A301</f>
        <v>5910</v>
      </c>
      <c r="B299" s="116" t="str">
        <f>'A) Base RI'!B301</f>
        <v>Cronay</v>
      </c>
      <c r="C299" s="44">
        <f>'B) D RI'!Y301</f>
        <v>37555.4</v>
      </c>
      <c r="D299" s="10">
        <f>'B) D RI'!Z301</f>
        <v>0</v>
      </c>
      <c r="E299" s="10">
        <f t="shared" si="14"/>
        <v>37555.4</v>
      </c>
      <c r="F299" s="10">
        <f>'B) D RI'!U301</f>
        <v>10097.267848101266</v>
      </c>
      <c r="G299" s="295">
        <f t="shared" si="15"/>
        <v>3.7193625607408327</v>
      </c>
      <c r="H299" s="67">
        <f t="shared" si="16"/>
        <v>18777.7</v>
      </c>
    </row>
    <row r="300" spans="1:8" x14ac:dyDescent="0.25">
      <c r="A300" s="53">
        <f>'A) Base RI'!A302</f>
        <v>5911</v>
      </c>
      <c r="B300" s="116" t="str">
        <f>'A) Base RI'!B302</f>
        <v>Cuarny</v>
      </c>
      <c r="C300" s="44">
        <f>'B) D RI'!Y302</f>
        <v>2081.75</v>
      </c>
      <c r="D300" s="10">
        <f>'B) D RI'!Z302</f>
        <v>0</v>
      </c>
      <c r="E300" s="10">
        <f t="shared" si="14"/>
        <v>2081.75</v>
      </c>
      <c r="F300" s="10">
        <f>'B) D RI'!U302</f>
        <v>7741.5774683544305</v>
      </c>
      <c r="G300" s="295">
        <f t="shared" si="15"/>
        <v>0.26890514349428868</v>
      </c>
      <c r="H300" s="67">
        <f t="shared" si="16"/>
        <v>1040.875</v>
      </c>
    </row>
    <row r="301" spans="1:8" x14ac:dyDescent="0.25">
      <c r="A301" s="53">
        <f>'A) Base RI'!A303</f>
        <v>5912</v>
      </c>
      <c r="B301" s="116" t="str">
        <f>'A) Base RI'!B303</f>
        <v>Démoret</v>
      </c>
      <c r="C301" s="44">
        <f>'B) D RI'!Y303</f>
        <v>10019.700000000001</v>
      </c>
      <c r="D301" s="10">
        <f>'B) D RI'!Z303</f>
        <v>0</v>
      </c>
      <c r="E301" s="10">
        <f t="shared" si="14"/>
        <v>10019.700000000001</v>
      </c>
      <c r="F301" s="10">
        <f>'B) D RI'!U303</f>
        <v>2761.8208641975311</v>
      </c>
      <c r="G301" s="295">
        <f t="shared" si="15"/>
        <v>3.6279326186172844</v>
      </c>
      <c r="H301" s="67">
        <f t="shared" si="16"/>
        <v>5009.8500000000004</v>
      </c>
    </row>
    <row r="302" spans="1:8" x14ac:dyDescent="0.25">
      <c r="A302" s="53">
        <f>'A) Base RI'!A304</f>
        <v>5913</v>
      </c>
      <c r="B302" s="116" t="str">
        <f>'A) Base RI'!B304</f>
        <v>Donneloye</v>
      </c>
      <c r="C302" s="44">
        <f>'B) D RI'!Y304</f>
        <v>120552.25</v>
      </c>
      <c r="D302" s="10">
        <f>'B) D RI'!Z304</f>
        <v>18696.400000000001</v>
      </c>
      <c r="E302" s="10">
        <f t="shared" si="14"/>
        <v>139248.65</v>
      </c>
      <c r="F302" s="10">
        <f>'B) D RI'!U304</f>
        <v>21023.999589041094</v>
      </c>
      <c r="G302" s="295">
        <f t="shared" si="15"/>
        <v>6.6233187177469466</v>
      </c>
      <c r="H302" s="67">
        <f t="shared" si="16"/>
        <v>65885.044999999998</v>
      </c>
    </row>
    <row r="303" spans="1:8" x14ac:dyDescent="0.25">
      <c r="A303" s="53">
        <f>'A) Base RI'!A305</f>
        <v>5914</v>
      </c>
      <c r="B303" s="116" t="str">
        <f>'A) Base RI'!B305</f>
        <v>Ependes</v>
      </c>
      <c r="C303" s="44">
        <f>'B) D RI'!Y305</f>
        <v>14147.75</v>
      </c>
      <c r="D303" s="10">
        <f>'B) D RI'!Z305</f>
        <v>0</v>
      </c>
      <c r="E303" s="10">
        <f t="shared" si="14"/>
        <v>14147.75</v>
      </c>
      <c r="F303" s="10">
        <f>'B) D RI'!U305</f>
        <v>8838.0616000000009</v>
      </c>
      <c r="G303" s="295">
        <f t="shared" si="15"/>
        <v>1.6007752197608578</v>
      </c>
      <c r="H303" s="67">
        <f t="shared" si="16"/>
        <v>7073.875</v>
      </c>
    </row>
    <row r="304" spans="1:8" x14ac:dyDescent="0.25">
      <c r="A304" s="53">
        <f>'A) Base RI'!A306</f>
        <v>5915</v>
      </c>
      <c r="B304" s="116" t="str">
        <f>'A) Base RI'!B306</f>
        <v>Essert-Pittet</v>
      </c>
      <c r="C304" s="44">
        <f>'B) D RI'!Y306</f>
        <v>126.3</v>
      </c>
      <c r="D304" s="10">
        <f>'B) D RI'!Z306</f>
        <v>0</v>
      </c>
      <c r="E304" s="10">
        <f t="shared" si="14"/>
        <v>126.3</v>
      </c>
      <c r="F304" s="10">
        <f>'B) D RI'!U306</f>
        <v>3860.3839529411766</v>
      </c>
      <c r="G304" s="295">
        <f t="shared" si="15"/>
        <v>3.271695290924978E-2</v>
      </c>
      <c r="H304" s="67">
        <f t="shared" si="16"/>
        <v>63.15</v>
      </c>
    </row>
    <row r="305" spans="1:8" x14ac:dyDescent="0.25">
      <c r="A305" s="53">
        <f>'A) Base RI'!A307</f>
        <v>5919</v>
      </c>
      <c r="B305" s="116" t="str">
        <f>'A) Base RI'!B307</f>
        <v>Mathod</v>
      </c>
      <c r="C305" s="44">
        <f>'B) D RI'!Y307</f>
        <v>166427.05000000002</v>
      </c>
      <c r="D305" s="10">
        <f>'B) D RI'!Z307</f>
        <v>8035.8</v>
      </c>
      <c r="E305" s="10">
        <f t="shared" si="14"/>
        <v>174462.85</v>
      </c>
      <c r="F305" s="10">
        <f>'B) D RI'!U307</f>
        <v>16883.878828828827</v>
      </c>
      <c r="G305" s="295">
        <f t="shared" si="15"/>
        <v>10.333102468261545</v>
      </c>
      <c r="H305" s="67">
        <f t="shared" si="16"/>
        <v>85624.265000000014</v>
      </c>
    </row>
    <row r="306" spans="1:8" x14ac:dyDescent="0.25">
      <c r="A306" s="53">
        <f>'A) Base RI'!A308</f>
        <v>5921</v>
      </c>
      <c r="B306" s="116" t="str">
        <f>'A) Base RI'!B308</f>
        <v>Molondin</v>
      </c>
      <c r="C306" s="44">
        <f>'B) D RI'!Y308</f>
        <v>32909.35</v>
      </c>
      <c r="D306" s="10">
        <f>'B) D RI'!Z308</f>
        <v>3758.5</v>
      </c>
      <c r="E306" s="10">
        <f t="shared" si="14"/>
        <v>36667.85</v>
      </c>
      <c r="F306" s="10">
        <f>'B) D RI'!U308</f>
        <v>5518.0840740740732</v>
      </c>
      <c r="G306" s="295">
        <f t="shared" si="15"/>
        <v>6.6450328606406401</v>
      </c>
      <c r="H306" s="67">
        <f t="shared" si="16"/>
        <v>17582.224999999999</v>
      </c>
    </row>
    <row r="307" spans="1:8" x14ac:dyDescent="0.25">
      <c r="A307" s="53">
        <f>'A) Base RI'!A309</f>
        <v>5922</v>
      </c>
      <c r="B307" s="116" t="str">
        <f>'A) Base RI'!B309</f>
        <v>Montagny-près-Yverdon</v>
      </c>
      <c r="C307" s="44">
        <f>'B) D RI'!Y309</f>
        <v>55490.400000000001</v>
      </c>
      <c r="D307" s="10">
        <f>'B) D RI'!Z309</f>
        <v>123327.5</v>
      </c>
      <c r="E307" s="10">
        <f t="shared" si="14"/>
        <v>178817.9</v>
      </c>
      <c r="F307" s="10">
        <f>'B) D RI'!U309</f>
        <v>45028.443278688515</v>
      </c>
      <c r="G307" s="295">
        <f t="shared" si="15"/>
        <v>3.9712210100905843</v>
      </c>
      <c r="H307" s="67">
        <f t="shared" si="16"/>
        <v>64743.45</v>
      </c>
    </row>
    <row r="308" spans="1:8" x14ac:dyDescent="0.25">
      <c r="A308" s="53">
        <f>'A) Base RI'!A310</f>
        <v>5923</v>
      </c>
      <c r="B308" s="116" t="str">
        <f>'A) Base RI'!B310</f>
        <v>Oppens</v>
      </c>
      <c r="C308" s="44">
        <f>'B) D RI'!Y310</f>
        <v>52678.6</v>
      </c>
      <c r="D308" s="10">
        <f>'B) D RI'!Z310</f>
        <v>15625.95</v>
      </c>
      <c r="E308" s="10">
        <f t="shared" si="14"/>
        <v>68304.55</v>
      </c>
      <c r="F308" s="10">
        <f>'B) D RI'!U310</f>
        <v>4881.0219753086412</v>
      </c>
      <c r="G308" s="295">
        <f t="shared" si="15"/>
        <v>13.993903396773973</v>
      </c>
      <c r="H308" s="67">
        <f t="shared" si="16"/>
        <v>31027.084999999999</v>
      </c>
    </row>
    <row r="309" spans="1:8" x14ac:dyDescent="0.25">
      <c r="A309" s="53">
        <f>'A) Base RI'!A311</f>
        <v>5924</v>
      </c>
      <c r="B309" s="116" t="str">
        <f>'A) Base RI'!B311</f>
        <v>Orges</v>
      </c>
      <c r="C309" s="44">
        <f>'B) D RI'!Y311</f>
        <v>28480.1</v>
      </c>
      <c r="D309" s="10">
        <f>'B) D RI'!Z311</f>
        <v>16170.65</v>
      </c>
      <c r="E309" s="10">
        <f t="shared" si="14"/>
        <v>44650.75</v>
      </c>
      <c r="F309" s="10">
        <f>'B) D RI'!U311</f>
        <v>9476.448378378378</v>
      </c>
      <c r="G309" s="295">
        <f t="shared" si="15"/>
        <v>4.7117599565968078</v>
      </c>
      <c r="H309" s="67">
        <f t="shared" si="16"/>
        <v>19091.244999999999</v>
      </c>
    </row>
    <row r="310" spans="1:8" x14ac:dyDescent="0.25">
      <c r="A310" s="53">
        <f>'A) Base RI'!A312</f>
        <v>5925</v>
      </c>
      <c r="B310" s="116" t="str">
        <f>'A) Base RI'!B312</f>
        <v>Orzens</v>
      </c>
      <c r="C310" s="44">
        <f>'B) D RI'!Y312</f>
        <v>15741</v>
      </c>
      <c r="D310" s="10">
        <f>'B) D RI'!Z312</f>
        <v>13995.35</v>
      </c>
      <c r="E310" s="10">
        <f t="shared" si="14"/>
        <v>29736.35</v>
      </c>
      <c r="F310" s="10">
        <f>'B) D RI'!U312</f>
        <v>4875.4426582278484</v>
      </c>
      <c r="G310" s="295">
        <f t="shared" si="15"/>
        <v>6.0992102839762907</v>
      </c>
      <c r="H310" s="67">
        <f t="shared" si="16"/>
        <v>12069.105</v>
      </c>
    </row>
    <row r="311" spans="1:8" x14ac:dyDescent="0.25">
      <c r="A311" s="53">
        <f>'A) Base RI'!A313</f>
        <v>5926</v>
      </c>
      <c r="B311" s="116" t="str">
        <f>'A) Base RI'!B313</f>
        <v>Pomy</v>
      </c>
      <c r="C311" s="44">
        <f>'B) D RI'!Y313</f>
        <v>140919.20000000001</v>
      </c>
      <c r="D311" s="10">
        <f>'B) D RI'!Z313</f>
        <v>4602.2</v>
      </c>
      <c r="E311" s="10">
        <f t="shared" si="14"/>
        <v>145521.40000000002</v>
      </c>
      <c r="F311" s="10">
        <f>'B) D RI'!U313</f>
        <v>22774.42661971831</v>
      </c>
      <c r="G311" s="295">
        <f t="shared" si="15"/>
        <v>6.3896844662603378</v>
      </c>
      <c r="H311" s="67">
        <f t="shared" si="16"/>
        <v>71840.260000000009</v>
      </c>
    </row>
    <row r="312" spans="1:8" x14ac:dyDescent="0.25">
      <c r="A312" s="53">
        <f>'A) Base RI'!A314</f>
        <v>5928</v>
      </c>
      <c r="B312" s="116" t="str">
        <f>'A) Base RI'!B314</f>
        <v>Rovray</v>
      </c>
      <c r="C312" s="44">
        <f>'B) D RI'!Y314</f>
        <v>18179.5</v>
      </c>
      <c r="D312" s="10">
        <f>'B) D RI'!Z314</f>
        <v>874</v>
      </c>
      <c r="E312" s="10">
        <f t="shared" si="14"/>
        <v>19053.5</v>
      </c>
      <c r="F312" s="10">
        <f>'B) D RI'!U314</f>
        <v>4451.7282191780823</v>
      </c>
      <c r="G312" s="295">
        <f t="shared" si="15"/>
        <v>4.2800231869316194</v>
      </c>
      <c r="H312" s="67">
        <f t="shared" si="16"/>
        <v>9351.9500000000007</v>
      </c>
    </row>
    <row r="313" spans="1:8" x14ac:dyDescent="0.25">
      <c r="A313" s="53">
        <f>'A) Base RI'!A315</f>
        <v>5929</v>
      </c>
      <c r="B313" s="116" t="str">
        <f>'A) Base RI'!B315</f>
        <v>Suchy</v>
      </c>
      <c r="C313" s="44">
        <f>'B) D RI'!Y315</f>
        <v>52627.700000000004</v>
      </c>
      <c r="D313" s="10">
        <f>'B) D RI'!Z315</f>
        <v>6677.95</v>
      </c>
      <c r="E313" s="10">
        <f t="shared" si="14"/>
        <v>59305.65</v>
      </c>
      <c r="F313" s="10">
        <f>'B) D RI'!U315</f>
        <v>16583.788428571432</v>
      </c>
      <c r="G313" s="295">
        <f t="shared" si="15"/>
        <v>3.5761219612416832</v>
      </c>
      <c r="H313" s="67">
        <f t="shared" si="16"/>
        <v>28317.235000000001</v>
      </c>
    </row>
    <row r="314" spans="1:8" x14ac:dyDescent="0.25">
      <c r="A314" s="53">
        <f>'A) Base RI'!A316</f>
        <v>5930</v>
      </c>
      <c r="B314" s="116" t="str">
        <f>'A) Base RI'!B316</f>
        <v>Suscévaz</v>
      </c>
      <c r="C314" s="44">
        <f>'B) D RI'!Y316</f>
        <v>23284.5</v>
      </c>
      <c r="D314" s="10">
        <f>'B) D RI'!Z316</f>
        <v>4424.6000000000004</v>
      </c>
      <c r="E314" s="10">
        <f t="shared" si="14"/>
        <v>27709.1</v>
      </c>
      <c r="F314" s="10">
        <f>'B) D RI'!U316</f>
        <v>4886.5228787878787</v>
      </c>
      <c r="G314" s="295">
        <f t="shared" si="15"/>
        <v>5.6705147376437433</v>
      </c>
      <c r="H314" s="67">
        <f t="shared" si="16"/>
        <v>12969.630000000001</v>
      </c>
    </row>
    <row r="315" spans="1:8" x14ac:dyDescent="0.25">
      <c r="A315" s="53">
        <f>'A) Base RI'!A317</f>
        <v>5931</v>
      </c>
      <c r="B315" s="116" t="str">
        <f>'A) Base RI'!B317</f>
        <v>Treycovagnes</v>
      </c>
      <c r="C315" s="44">
        <f>'B) D RI'!Y317</f>
        <v>24078.55</v>
      </c>
      <c r="D315" s="10">
        <f>'B) D RI'!Z317</f>
        <v>6410.6</v>
      </c>
      <c r="E315" s="10">
        <f t="shared" si="14"/>
        <v>30489.15</v>
      </c>
      <c r="F315" s="10">
        <f>'B) D RI'!U317</f>
        <v>16368.774155844154</v>
      </c>
      <c r="G315" s="295">
        <f t="shared" si="15"/>
        <v>1.8626410084052898</v>
      </c>
      <c r="H315" s="67">
        <f t="shared" si="16"/>
        <v>13962.455</v>
      </c>
    </row>
    <row r="316" spans="1:8" x14ac:dyDescent="0.25">
      <c r="A316" s="53">
        <f>'A) Base RI'!A318</f>
        <v>5932</v>
      </c>
      <c r="B316" s="116" t="str">
        <f>'A) Base RI'!B318</f>
        <v>Ursins</v>
      </c>
      <c r="C316" s="44">
        <f>'B) D RI'!Y318</f>
        <v>17285.400000000001</v>
      </c>
      <c r="D316" s="10">
        <f>'B) D RI'!Z318</f>
        <v>0</v>
      </c>
      <c r="E316" s="10">
        <f t="shared" si="14"/>
        <v>17285.400000000001</v>
      </c>
      <c r="F316" s="10">
        <f>'B) D RI'!U318</f>
        <v>6366.2738461538456</v>
      </c>
      <c r="G316" s="295">
        <f t="shared" si="15"/>
        <v>2.7151518168579716</v>
      </c>
      <c r="H316" s="67">
        <f t="shared" si="16"/>
        <v>8642.7000000000007</v>
      </c>
    </row>
    <row r="317" spans="1:8" x14ac:dyDescent="0.25">
      <c r="A317" s="53">
        <f>'A) Base RI'!A319</f>
        <v>5933</v>
      </c>
      <c r="B317" s="116" t="str">
        <f>'A) Base RI'!B319</f>
        <v>Valeyres-sous-Montagny</v>
      </c>
      <c r="C317" s="44">
        <f>'B) D RI'!Y319</f>
        <v>88461.299999999988</v>
      </c>
      <c r="D317" s="10">
        <f>'B) D RI'!Z319</f>
        <v>9172.25</v>
      </c>
      <c r="E317" s="10">
        <f t="shared" si="14"/>
        <v>97633.549999999988</v>
      </c>
      <c r="F317" s="10">
        <f>'B) D RI'!U319</f>
        <v>19578.46263888889</v>
      </c>
      <c r="G317" s="295">
        <f t="shared" si="15"/>
        <v>4.9867832730681068</v>
      </c>
      <c r="H317" s="67">
        <f t="shared" si="16"/>
        <v>46982.324999999997</v>
      </c>
    </row>
    <row r="318" spans="1:8" x14ac:dyDescent="0.25">
      <c r="A318" s="53">
        <f>'A) Base RI'!A320</f>
        <v>5934</v>
      </c>
      <c r="B318" s="116" t="str">
        <f>'A) Base RI'!B320</f>
        <v>Valeyres-sous-Ursins</v>
      </c>
      <c r="C318" s="44">
        <f>'B) D RI'!Y320</f>
        <v>30196.7</v>
      </c>
      <c r="D318" s="10">
        <f>'B) D RI'!Z320</f>
        <v>9880.4</v>
      </c>
      <c r="E318" s="10">
        <f t="shared" si="14"/>
        <v>40077.1</v>
      </c>
      <c r="F318" s="10">
        <f>'B) D RI'!U320</f>
        <v>6856.0722784810141</v>
      </c>
      <c r="G318" s="295">
        <f t="shared" si="15"/>
        <v>5.8454897165814614</v>
      </c>
      <c r="H318" s="67">
        <f t="shared" si="16"/>
        <v>18062.47</v>
      </c>
    </row>
    <row r="319" spans="1:8" x14ac:dyDescent="0.25">
      <c r="A319" s="53">
        <f>'A) Base RI'!A321</f>
        <v>5935</v>
      </c>
      <c r="B319" s="116" t="str">
        <f>'A) Base RI'!B321</f>
        <v>Villars-Epeney</v>
      </c>
      <c r="C319" s="44">
        <f>'B) D RI'!Y321</f>
        <v>20124.05</v>
      </c>
      <c r="D319" s="10">
        <f>'B) D RI'!Z321</f>
        <v>0</v>
      </c>
      <c r="E319" s="10">
        <f t="shared" si="14"/>
        <v>20124.05</v>
      </c>
      <c r="F319" s="10">
        <f>'B) D RI'!U321</f>
        <v>4252.6353333333336</v>
      </c>
      <c r="G319" s="295">
        <f t="shared" si="15"/>
        <v>4.7321362925859463</v>
      </c>
      <c r="H319" s="67">
        <f t="shared" si="16"/>
        <v>10062.025</v>
      </c>
    </row>
    <row r="320" spans="1:8" x14ac:dyDescent="0.25">
      <c r="A320" s="53">
        <f>'A) Base RI'!A322</f>
        <v>5937</v>
      </c>
      <c r="B320" s="116" t="str">
        <f>'A) Base RI'!B322</f>
        <v>Vugelles-La Mothe</v>
      </c>
      <c r="C320" s="44">
        <f>'B) D RI'!Y322</f>
        <v>14656.35</v>
      </c>
      <c r="D320" s="10">
        <f>'B) D RI'!Z322</f>
        <v>0</v>
      </c>
      <c r="E320" s="10">
        <f t="shared" si="14"/>
        <v>14656.35</v>
      </c>
      <c r="F320" s="10">
        <f>'B) D RI'!U322</f>
        <v>2272.9823469387752</v>
      </c>
      <c r="G320" s="295">
        <f t="shared" si="15"/>
        <v>6.4480703159613153</v>
      </c>
      <c r="H320" s="67">
        <f t="shared" si="16"/>
        <v>7328.1750000000002</v>
      </c>
    </row>
    <row r="321" spans="1:8" x14ac:dyDescent="0.25">
      <c r="A321" s="53">
        <f>'A) Base RI'!A323</f>
        <v>5938</v>
      </c>
      <c r="B321" s="116" t="str">
        <f>'A) Base RI'!B323</f>
        <v>Yverdon-les-Bains</v>
      </c>
      <c r="C321" s="44">
        <f>'B) D RI'!Y323</f>
        <v>3908804.0999999996</v>
      </c>
      <c r="D321" s="10">
        <f>'B) D RI'!Z323</f>
        <v>3598534.3</v>
      </c>
      <c r="E321" s="10">
        <f t="shared" si="14"/>
        <v>7507338.3999999994</v>
      </c>
      <c r="F321" s="10">
        <f>'B) D RI'!U323</f>
        <v>809245.0162091502</v>
      </c>
      <c r="G321" s="295">
        <f t="shared" si="15"/>
        <v>9.2769658751407373</v>
      </c>
      <c r="H321" s="67">
        <f t="shared" si="16"/>
        <v>3033962.34</v>
      </c>
    </row>
    <row r="322" spans="1:8" x14ac:dyDescent="0.25">
      <c r="A322" s="55">
        <f>'A) Base RI'!A324</f>
        <v>5939</v>
      </c>
      <c r="B322" s="117" t="str">
        <f>'A) Base RI'!B324</f>
        <v>Yvonand</v>
      </c>
      <c r="C322" s="95">
        <f>'B) D RI'!Y324</f>
        <v>821841.64999999991</v>
      </c>
      <c r="D322" s="20">
        <f>'B) D RI'!Z324</f>
        <v>119969.7</v>
      </c>
      <c r="E322" s="20">
        <f t="shared" si="14"/>
        <v>941811.34999999986</v>
      </c>
      <c r="F322" s="20">
        <f>'B) D RI'!U324</f>
        <v>88261.067808219188</v>
      </c>
      <c r="G322" s="296">
        <f t="shared" si="15"/>
        <v>10.67074502255563</v>
      </c>
      <c r="H322" s="67">
        <f t="shared" si="16"/>
        <v>446911.73499999993</v>
      </c>
    </row>
    <row r="323" spans="1:8" x14ac:dyDescent="0.25">
      <c r="A323" s="33"/>
      <c r="B323" s="27">
        <f>COUNTA(B5:B322)</f>
        <v>318</v>
      </c>
      <c r="C323" s="20">
        <f>SUM(C5:C322)</f>
        <v>206894278.00000006</v>
      </c>
      <c r="D323" s="20">
        <f>SUM(D5:D322)</f>
        <v>66918953.550000027</v>
      </c>
      <c r="E323" s="11">
        <f>SUM(E5:E322)</f>
        <v>273813231.55000001</v>
      </c>
      <c r="F323" s="20">
        <f>SUM(F5:F322)</f>
        <v>36375763.361832626</v>
      </c>
      <c r="G323" s="62">
        <f t="shared" si="15"/>
        <v>7.5273535520439232</v>
      </c>
      <c r="H323" s="423">
        <f>(C323*$C$4)+(D323*$D$4)</f>
        <v>123522825.06500004</v>
      </c>
    </row>
    <row r="325" spans="1:8" x14ac:dyDescent="0.25">
      <c r="G325" s="14"/>
    </row>
    <row r="326" spans="1:8" x14ac:dyDescent="0.25">
      <c r="G326" s="14"/>
    </row>
    <row r="327" spans="1:8" x14ac:dyDescent="0.25">
      <c r="G327" s="14"/>
    </row>
    <row r="328" spans="1:8" x14ac:dyDescent="0.25">
      <c r="G328" s="14"/>
    </row>
    <row r="329" spans="1:8" x14ac:dyDescent="0.25">
      <c r="G329" s="14"/>
    </row>
    <row r="330" spans="1:8" x14ac:dyDescent="0.25">
      <c r="G330" s="14"/>
    </row>
    <row r="331" spans="1:8" x14ac:dyDescent="0.25">
      <c r="G331" s="14"/>
    </row>
    <row r="332" spans="1:8" x14ac:dyDescent="0.25">
      <c r="G332" s="14"/>
    </row>
    <row r="333" spans="1:8" x14ac:dyDescent="0.25">
      <c r="G333" s="14"/>
    </row>
    <row r="334" spans="1:8" x14ac:dyDescent="0.25">
      <c r="G334" s="14"/>
    </row>
    <row r="335" spans="1:8" x14ac:dyDescent="0.25">
      <c r="G335" s="14"/>
    </row>
    <row r="336" spans="1:8" x14ac:dyDescent="0.25">
      <c r="G336" s="14"/>
    </row>
    <row r="337" spans="7:7" x14ac:dyDescent="0.25">
      <c r="G337" s="14"/>
    </row>
    <row r="338" spans="7:7" x14ac:dyDescent="0.25">
      <c r="G338" s="14"/>
    </row>
    <row r="339" spans="7:7" x14ac:dyDescent="0.25">
      <c r="G339" s="14"/>
    </row>
    <row r="340" spans="7:7" x14ac:dyDescent="0.25">
      <c r="G340" s="14"/>
    </row>
    <row r="341" spans="7:7" x14ac:dyDescent="0.25">
      <c r="G341" s="14"/>
    </row>
  </sheetData>
  <sheetProtection sheet="1" objects="1" scenarios="1"/>
  <mergeCells count="6">
    <mergeCell ref="H3:H4"/>
    <mergeCell ref="G3:G4"/>
    <mergeCell ref="F3:F4"/>
    <mergeCell ref="E3:E4"/>
    <mergeCell ref="A3:A4"/>
    <mergeCell ref="B3:B4"/>
  </mergeCells>
  <phoneticPr fontId="9"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29"/>
  <sheetViews>
    <sheetView workbookViewId="0"/>
  </sheetViews>
  <sheetFormatPr baseColWidth="10" defaultColWidth="11" defaultRowHeight="15" x14ac:dyDescent="0.25"/>
  <cols>
    <col min="1" max="1" width="7.25" style="14" customWidth="1"/>
    <col min="2" max="2" width="18" style="14" customWidth="1"/>
    <col min="3" max="3" width="8.625" style="14" bestFit="1" customWidth="1"/>
    <col min="4" max="4" width="8.375" style="14" customWidth="1"/>
    <col min="5" max="5" width="7.625" style="14" bestFit="1" customWidth="1"/>
    <col min="6" max="6" width="9.5" style="72" customWidth="1"/>
    <col min="7" max="9" width="5.375" style="14" hidden="1" customWidth="1"/>
    <col min="10" max="10" width="6.125" style="14" hidden="1" customWidth="1"/>
    <col min="11" max="11" width="8.875" style="14" customWidth="1"/>
    <col min="12" max="12" width="10.75" style="13" bestFit="1" customWidth="1"/>
    <col min="13" max="13" width="10.875" style="13" bestFit="1" customWidth="1"/>
    <col min="14" max="14" width="12.25" style="14" customWidth="1"/>
    <col min="15" max="15" width="11" style="14"/>
    <col min="16" max="16" width="12.125" style="14" bestFit="1" customWidth="1"/>
    <col min="17" max="16384" width="11" style="14"/>
  </cols>
  <sheetData>
    <row r="1" spans="1:15" ht="21" x14ac:dyDescent="0.25">
      <c r="A1" s="57" t="s">
        <v>255</v>
      </c>
      <c r="B1" s="45"/>
      <c r="C1" s="70"/>
      <c r="D1" s="46"/>
      <c r="E1" s="46"/>
      <c r="F1" s="71"/>
    </row>
    <row r="2" spans="1:15" x14ac:dyDescent="0.25">
      <c r="G2" s="90">
        <f>$E$323*G4</f>
        <v>56.088480495623067</v>
      </c>
      <c r="H2" s="90">
        <f>$E$323*H4</f>
        <v>70.110600619528839</v>
      </c>
      <c r="I2" s="90">
        <f>$E$323*I4</f>
        <v>93.480800826038447</v>
      </c>
      <c r="J2" s="90">
        <f>$E$323*J4</f>
        <v>140.22120123905768</v>
      </c>
    </row>
    <row r="3" spans="1:15" ht="60" customHeight="1" x14ac:dyDescent="0.25">
      <c r="A3" s="551" t="s">
        <v>50</v>
      </c>
      <c r="B3" s="551" t="s">
        <v>120</v>
      </c>
      <c r="C3" s="572" t="s">
        <v>348</v>
      </c>
      <c r="D3" s="573"/>
      <c r="E3" s="574"/>
      <c r="F3" s="570" t="s">
        <v>333</v>
      </c>
      <c r="G3" s="87">
        <f>Paramètres!B16</f>
        <v>0.36</v>
      </c>
      <c r="H3" s="87">
        <f>Paramètres!C16</f>
        <v>0.46</v>
      </c>
      <c r="I3" s="87">
        <f>Paramètres!D16</f>
        <v>0.56000000000000005</v>
      </c>
      <c r="J3" s="87">
        <f>Paramètres!E16</f>
        <v>0.66</v>
      </c>
      <c r="K3" s="570" t="s">
        <v>336</v>
      </c>
      <c r="L3" s="570" t="s">
        <v>349</v>
      </c>
      <c r="M3" s="570" t="s">
        <v>74</v>
      </c>
      <c r="N3" s="570" t="s">
        <v>651</v>
      </c>
      <c r="O3" s="570" t="s">
        <v>0</v>
      </c>
    </row>
    <row r="4" spans="1:15" ht="45" x14ac:dyDescent="0.25">
      <c r="A4" s="552"/>
      <c r="B4" s="552"/>
      <c r="C4" s="291" t="s">
        <v>415</v>
      </c>
      <c r="D4" s="291" t="s">
        <v>72</v>
      </c>
      <c r="E4" s="88" t="s">
        <v>73</v>
      </c>
      <c r="F4" s="571"/>
      <c r="G4" s="89">
        <f>Paramètres!B17</f>
        <v>1.2</v>
      </c>
      <c r="H4" s="89">
        <f>Paramètres!C17</f>
        <v>1.5</v>
      </c>
      <c r="I4" s="89">
        <f>Paramètres!D17</f>
        <v>2</v>
      </c>
      <c r="J4" s="89">
        <f>Paramètres!E17</f>
        <v>3</v>
      </c>
      <c r="K4" s="575"/>
      <c r="L4" s="571"/>
      <c r="M4" s="571"/>
      <c r="N4" s="575"/>
      <c r="O4" s="575"/>
    </row>
    <row r="5" spans="1:15" x14ac:dyDescent="0.25">
      <c r="A5" s="49">
        <f>'A) Base RI'!A7</f>
        <v>5401</v>
      </c>
      <c r="B5" s="297" t="str">
        <f>'A) Base RI'!B7</f>
        <v>Aigle</v>
      </c>
      <c r="C5" s="121">
        <f>'B) D RI'!U7</f>
        <v>274204.16723456793</v>
      </c>
      <c r="D5" s="50">
        <f>'B) D RI'!AR7</f>
        <v>9740</v>
      </c>
      <c r="E5" s="294">
        <f>C5/D5</f>
        <v>28.152378566177404</v>
      </c>
      <c r="F5" s="80">
        <f>E5/$E$323</f>
        <v>0.60231359417998798</v>
      </c>
      <c r="G5" s="85">
        <f>IF(E5-$G$2&lt;0,0,E5-$G$2)</f>
        <v>0</v>
      </c>
      <c r="H5" s="85">
        <f>IF(E5-$H$2&lt;0,0,E5-$H$2)</f>
        <v>0</v>
      </c>
      <c r="I5" s="85">
        <f>IF(E5-$I$2&lt;0,0,E5-$I$2)</f>
        <v>0</v>
      </c>
      <c r="J5" s="85">
        <f>IF(E5-$J$2&lt;0,0,E5-$J$2)</f>
        <v>0</v>
      </c>
      <c r="K5" s="298">
        <f t="shared" ref="K5:K68" si="0">(G5-H5)*$G$3+(H5-I5)*$H$3+(I5-J5)*$I$3+(J5*$J$3)</f>
        <v>0</v>
      </c>
      <c r="L5" s="132">
        <f>K5*D5*'B) D RI'!S7</f>
        <v>0</v>
      </c>
      <c r="M5" s="61">
        <f>(('B) D RI'!S7*C5)-L5)/'B) D RI'!S7</f>
        <v>274204.16723456793</v>
      </c>
      <c r="N5" s="135">
        <f t="shared" ref="N5:N68" si="1">M5/D5</f>
        <v>28.152378566177404</v>
      </c>
      <c r="O5" s="74">
        <f>N5/N$323</f>
        <v>0.63844742592917048</v>
      </c>
    </row>
    <row r="6" spans="1:15" x14ac:dyDescent="0.25">
      <c r="A6" s="53">
        <f>'A) Base RI'!A8</f>
        <v>5402</v>
      </c>
      <c r="B6" s="54" t="str">
        <f>'A) Base RI'!B8</f>
        <v>Bex</v>
      </c>
      <c r="C6" s="9">
        <f>'B) D RI'!U8</f>
        <v>168618.65154929578</v>
      </c>
      <c r="D6" s="35">
        <f>'B) D RI'!AR8</f>
        <v>7424</v>
      </c>
      <c r="E6" s="295">
        <f t="shared" ref="E6:E60" si="2">C6/D6</f>
        <v>22.712641641877127</v>
      </c>
      <c r="F6" s="81">
        <f t="shared" ref="F6:F69" si="3">E6/$E$323</f>
        <v>0.48593168738774162</v>
      </c>
      <c r="G6" s="85">
        <f t="shared" ref="G6:G69" si="4">IF(E6-$G$2&lt;0,0,E6-$G$2)</f>
        <v>0</v>
      </c>
      <c r="H6" s="85">
        <f t="shared" ref="H6:H69" si="5">IF(E6-$H$2&lt;0,0,E6-$H$2)</f>
        <v>0</v>
      </c>
      <c r="I6" s="85">
        <f t="shared" ref="I6:I69" si="6">IF(E6-$I$2&lt;0,0,E6-$I$2)</f>
        <v>0</v>
      </c>
      <c r="J6" s="85">
        <f t="shared" ref="J6:J69" si="7">IF(E6-$J$2&lt;0,0,E6-$J$2)</f>
        <v>0</v>
      </c>
      <c r="K6" s="298">
        <f t="shared" si="0"/>
        <v>0</v>
      </c>
      <c r="L6" s="133">
        <f>K6*D6*'B) D RI'!S8</f>
        <v>0</v>
      </c>
      <c r="M6" s="10">
        <f>(('B) D RI'!S8*C6)-L6)/'B) D RI'!S8</f>
        <v>168618.65154929578</v>
      </c>
      <c r="N6" s="136">
        <f t="shared" si="1"/>
        <v>22.712641641877127</v>
      </c>
      <c r="O6" s="75">
        <f t="shared" ref="O6:O68" si="8">N6/N$323</f>
        <v>0.51508356774264197</v>
      </c>
    </row>
    <row r="7" spans="1:15" x14ac:dyDescent="0.25">
      <c r="A7" s="53">
        <f>'A) Base RI'!A9</f>
        <v>5403</v>
      </c>
      <c r="B7" s="54" t="str">
        <f>'A) Base RI'!B9</f>
        <v>Chessel</v>
      </c>
      <c r="C7" s="9">
        <f>'B) D RI'!U9</f>
        <v>8336.8572368421064</v>
      </c>
      <c r="D7" s="35">
        <f>'B) D RI'!AR9</f>
        <v>395</v>
      </c>
      <c r="E7" s="295">
        <f t="shared" si="2"/>
        <v>21.105967688207866</v>
      </c>
      <c r="F7" s="81">
        <f t="shared" si="3"/>
        <v>0.45155727169014453</v>
      </c>
      <c r="G7" s="85">
        <f t="shared" si="4"/>
        <v>0</v>
      </c>
      <c r="H7" s="85">
        <f t="shared" si="5"/>
        <v>0</v>
      </c>
      <c r="I7" s="85">
        <f t="shared" si="6"/>
        <v>0</v>
      </c>
      <c r="J7" s="85">
        <f t="shared" si="7"/>
        <v>0</v>
      </c>
      <c r="K7" s="298">
        <f t="shared" si="0"/>
        <v>0</v>
      </c>
      <c r="L7" s="133">
        <f>K7*D7*'B) D RI'!S9</f>
        <v>0</v>
      </c>
      <c r="M7" s="10">
        <f>(('B) D RI'!S9*C7)-L7)/'B) D RI'!S9</f>
        <v>8336.8572368421064</v>
      </c>
      <c r="N7" s="136">
        <f t="shared" si="1"/>
        <v>21.105967688207866</v>
      </c>
      <c r="O7" s="75">
        <f t="shared" si="8"/>
        <v>0.47864697153758934</v>
      </c>
    </row>
    <row r="8" spans="1:15" x14ac:dyDescent="0.25">
      <c r="A8" s="53">
        <f>'A) Base RI'!A10</f>
        <v>5404</v>
      </c>
      <c r="B8" s="54" t="str">
        <f>'A) Base RI'!B10</f>
        <v>Corbeyrier</v>
      </c>
      <c r="C8" s="9">
        <f>'B) D RI'!U10</f>
        <v>39921.252857142863</v>
      </c>
      <c r="D8" s="35">
        <f>'B) D RI'!AR10</f>
        <v>440</v>
      </c>
      <c r="E8" s="295">
        <f t="shared" si="2"/>
        <v>90.730120129870144</v>
      </c>
      <c r="F8" s="81">
        <f t="shared" si="3"/>
        <v>1.9411498260207005</v>
      </c>
      <c r="G8" s="85">
        <f t="shared" si="4"/>
        <v>34.641639634247078</v>
      </c>
      <c r="H8" s="85">
        <f t="shared" si="5"/>
        <v>20.619519510341306</v>
      </c>
      <c r="I8" s="85">
        <f t="shared" si="6"/>
        <v>0</v>
      </c>
      <c r="J8" s="85">
        <f t="shared" si="7"/>
        <v>0</v>
      </c>
      <c r="K8" s="298">
        <f t="shared" si="0"/>
        <v>14.532942219363079</v>
      </c>
      <c r="L8" s="133">
        <f>K8*D8*'B) D RI'!S10</f>
        <v>447614.6203563828</v>
      </c>
      <c r="M8" s="10">
        <f>(('B) D RI'!S10*C8)-L8)/'B) D RI'!S10</f>
        <v>33526.758280623108</v>
      </c>
      <c r="N8" s="136">
        <f t="shared" si="1"/>
        <v>76.197177910507065</v>
      </c>
      <c r="O8" s="75">
        <f t="shared" si="8"/>
        <v>1.7280206709949699</v>
      </c>
    </row>
    <row r="9" spans="1:15" x14ac:dyDescent="0.25">
      <c r="A9" s="53">
        <f>'A) Base RI'!A11</f>
        <v>5405</v>
      </c>
      <c r="B9" s="54" t="str">
        <f>'A) Base RI'!B11</f>
        <v>Gryon</v>
      </c>
      <c r="C9" s="9">
        <f>'B) D RI'!U11</f>
        <v>64864.951911111115</v>
      </c>
      <c r="D9" s="35">
        <f>'B) D RI'!AR11</f>
        <v>1342</v>
      </c>
      <c r="E9" s="295">
        <f t="shared" si="2"/>
        <v>48.334539427057464</v>
      </c>
      <c r="F9" s="81">
        <f t="shared" si="3"/>
        <v>1.0341062335784827</v>
      </c>
      <c r="G9" s="85">
        <f t="shared" si="4"/>
        <v>0</v>
      </c>
      <c r="H9" s="85">
        <f t="shared" si="5"/>
        <v>0</v>
      </c>
      <c r="I9" s="85">
        <f t="shared" si="6"/>
        <v>0</v>
      </c>
      <c r="J9" s="85">
        <f t="shared" si="7"/>
        <v>0</v>
      </c>
      <c r="K9" s="298">
        <f t="shared" si="0"/>
        <v>0</v>
      </c>
      <c r="L9" s="133">
        <f>K9*D9*'B) D RI'!S11</f>
        <v>0</v>
      </c>
      <c r="M9" s="10">
        <f>(('B) D RI'!S11*C9)-L9)/'B) D RI'!S11</f>
        <v>64864.951911111115</v>
      </c>
      <c r="N9" s="136">
        <f t="shared" si="1"/>
        <v>48.334539427057464</v>
      </c>
      <c r="O9" s="75">
        <f t="shared" si="8"/>
        <v>1.0961440507819569</v>
      </c>
    </row>
    <row r="10" spans="1:15" x14ac:dyDescent="0.25">
      <c r="A10" s="53">
        <f>'A) Base RI'!A12</f>
        <v>5406</v>
      </c>
      <c r="B10" s="54" t="str">
        <f>'A) Base RI'!B12</f>
        <v>Lavey-Morcles</v>
      </c>
      <c r="C10" s="9">
        <f>'B) D RI'!U12</f>
        <v>20248.886901408452</v>
      </c>
      <c r="D10" s="35">
        <f>'B) D RI'!AR12</f>
        <v>922</v>
      </c>
      <c r="E10" s="295">
        <f t="shared" si="2"/>
        <v>21.961916378967953</v>
      </c>
      <c r="F10" s="81">
        <f t="shared" si="3"/>
        <v>0.46987009492649978</v>
      </c>
      <c r="G10" s="85">
        <f t="shared" si="4"/>
        <v>0</v>
      </c>
      <c r="H10" s="85">
        <f t="shared" si="5"/>
        <v>0</v>
      </c>
      <c r="I10" s="85">
        <f t="shared" si="6"/>
        <v>0</v>
      </c>
      <c r="J10" s="85">
        <f t="shared" si="7"/>
        <v>0</v>
      </c>
      <c r="K10" s="298">
        <f t="shared" si="0"/>
        <v>0</v>
      </c>
      <c r="L10" s="133">
        <f>K10*D10*'B) D RI'!S12</f>
        <v>0</v>
      </c>
      <c r="M10" s="10">
        <f>(('B) D RI'!S12*C10)-L10)/'B) D RI'!S12</f>
        <v>20248.886901408452</v>
      </c>
      <c r="N10" s="136">
        <f t="shared" si="1"/>
        <v>21.961916378967953</v>
      </c>
      <c r="O10" s="75">
        <f t="shared" si="8"/>
        <v>0.49805841263691325</v>
      </c>
    </row>
    <row r="11" spans="1:15" x14ac:dyDescent="0.25">
      <c r="A11" s="53">
        <f>'A) Base RI'!A13</f>
        <v>5407</v>
      </c>
      <c r="B11" s="54" t="str">
        <f>'A) Base RI'!B13</f>
        <v>Leysin</v>
      </c>
      <c r="C11" s="9">
        <f>'B) D RI'!U13</f>
        <v>82610.97474358973</v>
      </c>
      <c r="D11" s="35">
        <f>'B) D RI'!AR13</f>
        <v>4088</v>
      </c>
      <c r="E11" s="295">
        <f t="shared" si="2"/>
        <v>20.20816407622058</v>
      </c>
      <c r="F11" s="81">
        <f t="shared" si="3"/>
        <v>0.43234897214512807</v>
      </c>
      <c r="G11" s="85">
        <f t="shared" si="4"/>
        <v>0</v>
      </c>
      <c r="H11" s="85">
        <f t="shared" si="5"/>
        <v>0</v>
      </c>
      <c r="I11" s="85">
        <f t="shared" si="6"/>
        <v>0</v>
      </c>
      <c r="J11" s="85">
        <f t="shared" si="7"/>
        <v>0</v>
      </c>
      <c r="K11" s="298">
        <f t="shared" si="0"/>
        <v>0</v>
      </c>
      <c r="L11" s="133">
        <f>K11*D11*'B) D RI'!S13</f>
        <v>0</v>
      </c>
      <c r="M11" s="10">
        <f>(('B) D RI'!S13*C11)-L11)/'B) D RI'!S13</f>
        <v>82610.97474358973</v>
      </c>
      <c r="N11" s="136">
        <f t="shared" si="1"/>
        <v>20.20816407622058</v>
      </c>
      <c r="O11" s="75">
        <f t="shared" si="8"/>
        <v>0.45828633296078919</v>
      </c>
    </row>
    <row r="12" spans="1:15" x14ac:dyDescent="0.25">
      <c r="A12" s="53">
        <f>'A) Base RI'!A14</f>
        <v>5408</v>
      </c>
      <c r="B12" s="54" t="str">
        <f>'A) Base RI'!B14</f>
        <v>Noville</v>
      </c>
      <c r="C12" s="9">
        <f>'B) D RI'!U14</f>
        <v>33419.560339702759</v>
      </c>
      <c r="D12" s="35">
        <f>'B) D RI'!AR14</f>
        <v>1056</v>
      </c>
      <c r="E12" s="295">
        <f t="shared" si="2"/>
        <v>31.647310927748826</v>
      </c>
      <c r="F12" s="81">
        <f t="shared" si="3"/>
        <v>0.67708685950695624</v>
      </c>
      <c r="G12" s="85">
        <f t="shared" si="4"/>
        <v>0</v>
      </c>
      <c r="H12" s="85">
        <f t="shared" si="5"/>
        <v>0</v>
      </c>
      <c r="I12" s="85">
        <f t="shared" si="6"/>
        <v>0</v>
      </c>
      <c r="J12" s="85">
        <f t="shared" si="7"/>
        <v>0</v>
      </c>
      <c r="K12" s="298">
        <f t="shared" si="0"/>
        <v>0</v>
      </c>
      <c r="L12" s="133">
        <f>K12*D12*'B) D RI'!S14</f>
        <v>0</v>
      </c>
      <c r="M12" s="10">
        <f>(('B) D RI'!S14*C12)-L12)/'B) D RI'!S14</f>
        <v>33419.560339702759</v>
      </c>
      <c r="N12" s="136">
        <f t="shared" si="1"/>
        <v>31.647310927748826</v>
      </c>
      <c r="O12" s="75">
        <f t="shared" si="8"/>
        <v>0.71770646845719965</v>
      </c>
    </row>
    <row r="13" spans="1:15" x14ac:dyDescent="0.25">
      <c r="A13" s="53">
        <f>'A) Base RI'!A15</f>
        <v>5409</v>
      </c>
      <c r="B13" s="54" t="str">
        <f>'A) Base RI'!B15</f>
        <v>Ollon</v>
      </c>
      <c r="C13" s="9">
        <f>'B) D RI'!U15</f>
        <v>366034.73937782802</v>
      </c>
      <c r="D13" s="35">
        <f>'B) D RI'!AR15</f>
        <v>7473</v>
      </c>
      <c r="E13" s="295">
        <f t="shared" si="2"/>
        <v>48.980963385230567</v>
      </c>
      <c r="F13" s="81">
        <f t="shared" si="3"/>
        <v>1.0479363238742656</v>
      </c>
      <c r="G13" s="85">
        <f t="shared" si="4"/>
        <v>0</v>
      </c>
      <c r="H13" s="85">
        <f t="shared" si="5"/>
        <v>0</v>
      </c>
      <c r="I13" s="85">
        <f t="shared" si="6"/>
        <v>0</v>
      </c>
      <c r="J13" s="85">
        <f t="shared" si="7"/>
        <v>0</v>
      </c>
      <c r="K13" s="298">
        <f t="shared" si="0"/>
        <v>0</v>
      </c>
      <c r="L13" s="133">
        <f>K13*D13*'B) D RI'!S15</f>
        <v>0</v>
      </c>
      <c r="M13" s="10">
        <f>(('B) D RI'!S15*C13)-L13)/'B) D RI'!S15</f>
        <v>366034.73937782802</v>
      </c>
      <c r="N13" s="136">
        <f t="shared" si="1"/>
        <v>48.980963385230567</v>
      </c>
      <c r="O13" s="75">
        <f t="shared" si="8"/>
        <v>1.1108038320570779</v>
      </c>
    </row>
    <row r="14" spans="1:15" x14ac:dyDescent="0.25">
      <c r="A14" s="53">
        <f>'A) Base RI'!A16</f>
        <v>5410</v>
      </c>
      <c r="B14" s="54" t="str">
        <f>'A) Base RI'!B16</f>
        <v>Ormont-Dessous</v>
      </c>
      <c r="C14" s="9">
        <f>'B) D RI'!U16</f>
        <v>36452.210276008496</v>
      </c>
      <c r="D14" s="35">
        <f>'B) D RI'!AR16</f>
        <v>1105</v>
      </c>
      <c r="E14" s="295">
        <f t="shared" si="2"/>
        <v>32.988425589147958</v>
      </c>
      <c r="F14" s="81">
        <f t="shared" si="3"/>
        <v>0.70577969588722766</v>
      </c>
      <c r="G14" s="85">
        <f t="shared" si="4"/>
        <v>0</v>
      </c>
      <c r="H14" s="85">
        <f t="shared" si="5"/>
        <v>0</v>
      </c>
      <c r="I14" s="85">
        <f t="shared" si="6"/>
        <v>0</v>
      </c>
      <c r="J14" s="85">
        <f t="shared" si="7"/>
        <v>0</v>
      </c>
      <c r="K14" s="298">
        <f t="shared" si="0"/>
        <v>0</v>
      </c>
      <c r="L14" s="133">
        <f>K14*D14*'B) D RI'!S16</f>
        <v>0</v>
      </c>
      <c r="M14" s="10">
        <f>(('B) D RI'!S16*C14)-L14)/'B) D RI'!S16</f>
        <v>36452.210276008496</v>
      </c>
      <c r="N14" s="136">
        <f t="shared" si="1"/>
        <v>32.988425589147958</v>
      </c>
      <c r="O14" s="75">
        <f t="shared" si="8"/>
        <v>0.7481206375986601</v>
      </c>
    </row>
    <row r="15" spans="1:15" x14ac:dyDescent="0.25">
      <c r="A15" s="53">
        <f>'A) Base RI'!A17</f>
        <v>5411</v>
      </c>
      <c r="B15" s="54" t="str">
        <f>'A) Base RI'!B17</f>
        <v>Ormont-Dessus</v>
      </c>
      <c r="C15" s="9">
        <f>'B) D RI'!U17</f>
        <v>74047.924868421047</v>
      </c>
      <c r="D15" s="35">
        <f>'B) D RI'!AR17</f>
        <v>1479</v>
      </c>
      <c r="E15" s="295">
        <f t="shared" si="2"/>
        <v>50.066210188249528</v>
      </c>
      <c r="F15" s="81">
        <f t="shared" si="3"/>
        <v>1.0711549269120921</v>
      </c>
      <c r="G15" s="85">
        <f t="shared" si="4"/>
        <v>0</v>
      </c>
      <c r="H15" s="85">
        <f t="shared" si="5"/>
        <v>0</v>
      </c>
      <c r="I15" s="85">
        <f t="shared" si="6"/>
        <v>0</v>
      </c>
      <c r="J15" s="85">
        <f t="shared" si="7"/>
        <v>0</v>
      </c>
      <c r="K15" s="298">
        <f t="shared" si="0"/>
        <v>0</v>
      </c>
      <c r="L15" s="133">
        <f>K15*D15*'B) D RI'!S17</f>
        <v>0</v>
      </c>
      <c r="M15" s="10">
        <f>(('B) D RI'!S17*C15)-L15)/'B) D RI'!S17</f>
        <v>74047.924868421047</v>
      </c>
      <c r="N15" s="136">
        <f t="shared" si="1"/>
        <v>50.066210188249528</v>
      </c>
      <c r="O15" s="75">
        <f t="shared" si="8"/>
        <v>1.1354153591526157</v>
      </c>
    </row>
    <row r="16" spans="1:15" x14ac:dyDescent="0.25">
      <c r="A16" s="53">
        <f>'A) Base RI'!A18</f>
        <v>5412</v>
      </c>
      <c r="B16" s="54" t="str">
        <f>'A) Base RI'!B18</f>
        <v>Rennaz</v>
      </c>
      <c r="C16" s="9">
        <f>'B) D RI'!U18</f>
        <v>26224.228148148151</v>
      </c>
      <c r="D16" s="35">
        <f>'B) D RI'!AR18</f>
        <v>843</v>
      </c>
      <c r="E16" s="295">
        <f t="shared" si="2"/>
        <v>31.108218443829362</v>
      </c>
      <c r="F16" s="81">
        <f t="shared" si="3"/>
        <v>0.66555310114896615</v>
      </c>
      <c r="G16" s="85">
        <f t="shared" si="4"/>
        <v>0</v>
      </c>
      <c r="H16" s="85">
        <f t="shared" si="5"/>
        <v>0</v>
      </c>
      <c r="I16" s="85">
        <f t="shared" si="6"/>
        <v>0</v>
      </c>
      <c r="J16" s="85">
        <f t="shared" si="7"/>
        <v>0</v>
      </c>
      <c r="K16" s="298">
        <f t="shared" si="0"/>
        <v>0</v>
      </c>
      <c r="L16" s="133">
        <f>K16*D16*'B) D RI'!S18</f>
        <v>0</v>
      </c>
      <c r="M16" s="10">
        <f>(('B) D RI'!S18*C16)-L16)/'B) D RI'!S18</f>
        <v>26224.228148148151</v>
      </c>
      <c r="N16" s="136">
        <f t="shared" si="1"/>
        <v>31.108218443829362</v>
      </c>
      <c r="O16" s="75">
        <f t="shared" si="8"/>
        <v>0.7054807800349201</v>
      </c>
    </row>
    <row r="17" spans="1:15" x14ac:dyDescent="0.25">
      <c r="A17" s="53">
        <f>'A) Base RI'!A19</f>
        <v>5413</v>
      </c>
      <c r="B17" s="54" t="str">
        <f>'A) Base RI'!B19</f>
        <v>Roche</v>
      </c>
      <c r="C17" s="9">
        <f>'B) D RI'!U19</f>
        <v>38924.228382352943</v>
      </c>
      <c r="D17" s="35">
        <f>'B) D RI'!AR19</f>
        <v>1597</v>
      </c>
      <c r="E17" s="295">
        <f t="shared" si="2"/>
        <v>24.373342756639289</v>
      </c>
      <c r="F17" s="81">
        <f t="shared" si="3"/>
        <v>0.52146200163596068</v>
      </c>
      <c r="G17" s="85">
        <f t="shared" si="4"/>
        <v>0</v>
      </c>
      <c r="H17" s="85">
        <f t="shared" si="5"/>
        <v>0</v>
      </c>
      <c r="I17" s="85">
        <f t="shared" si="6"/>
        <v>0</v>
      </c>
      <c r="J17" s="85">
        <f t="shared" si="7"/>
        <v>0</v>
      </c>
      <c r="K17" s="298">
        <f t="shared" si="0"/>
        <v>0</v>
      </c>
      <c r="L17" s="133">
        <f>K17*D17*'B) D RI'!S19</f>
        <v>0</v>
      </c>
      <c r="M17" s="10">
        <f>(('B) D RI'!S19*C17)-L17)/'B) D RI'!S19</f>
        <v>38924.228382352943</v>
      </c>
      <c r="N17" s="136">
        <f t="shared" si="1"/>
        <v>24.373342756639289</v>
      </c>
      <c r="O17" s="75">
        <f t="shared" si="8"/>
        <v>0.55274540684676043</v>
      </c>
    </row>
    <row r="18" spans="1:15" x14ac:dyDescent="0.25">
      <c r="A18" s="53">
        <f>'A) Base RI'!A20</f>
        <v>5414</v>
      </c>
      <c r="B18" s="54" t="str">
        <f>'A) Base RI'!B20</f>
        <v>Villeneuve</v>
      </c>
      <c r="C18" s="9">
        <f>'B) D RI'!U20</f>
        <v>159863.47130434786</v>
      </c>
      <c r="D18" s="35">
        <f>'B) D RI'!AR20</f>
        <v>5457</v>
      </c>
      <c r="E18" s="295">
        <f t="shared" si="2"/>
        <v>29.29512026834302</v>
      </c>
      <c r="F18" s="81">
        <f t="shared" si="3"/>
        <v>0.62676228721787031</v>
      </c>
      <c r="G18" s="85">
        <f t="shared" si="4"/>
        <v>0</v>
      </c>
      <c r="H18" s="85">
        <f t="shared" si="5"/>
        <v>0</v>
      </c>
      <c r="I18" s="85">
        <f t="shared" si="6"/>
        <v>0</v>
      </c>
      <c r="J18" s="85">
        <f t="shared" si="7"/>
        <v>0</v>
      </c>
      <c r="K18" s="298">
        <f t="shared" si="0"/>
        <v>0</v>
      </c>
      <c r="L18" s="133">
        <f>K18*D18*'B) D RI'!S20</f>
        <v>0</v>
      </c>
      <c r="M18" s="10">
        <f>(('B) D RI'!S20*C18)-L18)/'B) D RI'!S20</f>
        <v>159863.47130434786</v>
      </c>
      <c r="N18" s="136">
        <f t="shared" si="1"/>
        <v>29.29512026834302</v>
      </c>
      <c r="O18" s="75">
        <f t="shared" si="8"/>
        <v>0.66436283824626974</v>
      </c>
    </row>
    <row r="19" spans="1:15" x14ac:dyDescent="0.25">
      <c r="A19" s="53">
        <f>'A) Base RI'!A21</f>
        <v>5415</v>
      </c>
      <c r="B19" s="54" t="str">
        <f>'A) Base RI'!B21</f>
        <v>Yvorne</v>
      </c>
      <c r="C19" s="9">
        <f>'B) D RI'!U21</f>
        <v>35726.744476885644</v>
      </c>
      <c r="D19" s="35">
        <f>'B) D RI'!AR21</f>
        <v>1061</v>
      </c>
      <c r="E19" s="295">
        <f t="shared" si="2"/>
        <v>33.672709214783829</v>
      </c>
      <c r="F19" s="81">
        <f t="shared" si="3"/>
        <v>0.72041978496625214</v>
      </c>
      <c r="G19" s="85">
        <f t="shared" si="4"/>
        <v>0</v>
      </c>
      <c r="H19" s="85">
        <f t="shared" si="5"/>
        <v>0</v>
      </c>
      <c r="I19" s="85">
        <f t="shared" si="6"/>
        <v>0</v>
      </c>
      <c r="J19" s="85">
        <f t="shared" si="7"/>
        <v>0</v>
      </c>
      <c r="K19" s="298">
        <f t="shared" si="0"/>
        <v>0</v>
      </c>
      <c r="L19" s="133">
        <f>K19*D19*'B) D RI'!S21</f>
        <v>0</v>
      </c>
      <c r="M19" s="10">
        <f>(('B) D RI'!S21*C19)-L19)/'B) D RI'!S21</f>
        <v>35726.744476885644</v>
      </c>
      <c r="N19" s="136">
        <f t="shared" si="1"/>
        <v>33.672709214783829</v>
      </c>
      <c r="O19" s="75">
        <f t="shared" si="8"/>
        <v>0.76363901088160446</v>
      </c>
    </row>
    <row r="20" spans="1:15" x14ac:dyDescent="0.25">
      <c r="A20" s="53">
        <f>'A) Base RI'!A22</f>
        <v>5421</v>
      </c>
      <c r="B20" s="54" t="str">
        <f>'A) Base RI'!B22</f>
        <v>Apples</v>
      </c>
      <c r="C20" s="9">
        <f>'B) D RI'!U22</f>
        <v>59005.563421052633</v>
      </c>
      <c r="D20" s="35">
        <f>'B) D RI'!AR22</f>
        <v>1412</v>
      </c>
      <c r="E20" s="295">
        <f t="shared" si="2"/>
        <v>41.788642649470702</v>
      </c>
      <c r="F20" s="81">
        <f t="shared" si="3"/>
        <v>0.89405829390008307</v>
      </c>
      <c r="G20" s="85">
        <f t="shared" si="4"/>
        <v>0</v>
      </c>
      <c r="H20" s="85">
        <f t="shared" si="5"/>
        <v>0</v>
      </c>
      <c r="I20" s="85">
        <f t="shared" si="6"/>
        <v>0</v>
      </c>
      <c r="J20" s="85">
        <f t="shared" si="7"/>
        <v>0</v>
      </c>
      <c r="K20" s="298">
        <f t="shared" si="0"/>
        <v>0</v>
      </c>
      <c r="L20" s="133">
        <f>K20*D20*'B) D RI'!S22</f>
        <v>0</v>
      </c>
      <c r="M20" s="10">
        <f>(('B) D RI'!S22*C20)-L20)/'B) D RI'!S22</f>
        <v>59005.563421052633</v>
      </c>
      <c r="N20" s="136">
        <f t="shared" si="1"/>
        <v>41.788642649470702</v>
      </c>
      <c r="O20" s="75">
        <f t="shared" si="8"/>
        <v>0.94769439356296536</v>
      </c>
    </row>
    <row r="21" spans="1:15" x14ac:dyDescent="0.25">
      <c r="A21" s="53">
        <f>'A) Base RI'!A23</f>
        <v>5422</v>
      </c>
      <c r="B21" s="54" t="str">
        <f>'A) Base RI'!B23</f>
        <v>Aubonne</v>
      </c>
      <c r="C21" s="9">
        <f>'B) D RI'!U23</f>
        <v>218988.17661764708</v>
      </c>
      <c r="D21" s="35">
        <f>'B) D RI'!AR23</f>
        <v>3272</v>
      </c>
      <c r="E21" s="295">
        <f t="shared" si="2"/>
        <v>66.927926839134201</v>
      </c>
      <c r="F21" s="81">
        <f t="shared" si="3"/>
        <v>1.4319074344192371</v>
      </c>
      <c r="G21" s="85">
        <f t="shared" si="4"/>
        <v>10.839446343511135</v>
      </c>
      <c r="H21" s="85">
        <f t="shared" si="5"/>
        <v>0</v>
      </c>
      <c r="I21" s="85">
        <f t="shared" si="6"/>
        <v>0</v>
      </c>
      <c r="J21" s="85">
        <f t="shared" si="7"/>
        <v>0</v>
      </c>
      <c r="K21" s="298">
        <f t="shared" si="0"/>
        <v>3.9022006836640082</v>
      </c>
      <c r="L21" s="133">
        <f>K21*D21*'B) D RI'!S23</f>
        <v>868224.0433125071</v>
      </c>
      <c r="M21" s="10">
        <f>(('B) D RI'!S23*C21)-L21)/'B) D RI'!S23</f>
        <v>206220.17598069846</v>
      </c>
      <c r="N21" s="136">
        <f t="shared" si="1"/>
        <v>63.025726155470188</v>
      </c>
      <c r="O21" s="75">
        <f t="shared" si="8"/>
        <v>1.42931484587309</v>
      </c>
    </row>
    <row r="22" spans="1:15" x14ac:dyDescent="0.25">
      <c r="A22" s="53">
        <f>'A) Base RI'!A24</f>
        <v>5423</v>
      </c>
      <c r="B22" s="54" t="str">
        <f>'A) Base RI'!B24</f>
        <v>Ballens</v>
      </c>
      <c r="C22" s="9">
        <f>'B) D RI'!U24</f>
        <v>15358.055362318841</v>
      </c>
      <c r="D22" s="35">
        <f>'B) D RI'!AR24</f>
        <v>508</v>
      </c>
      <c r="E22" s="295">
        <f t="shared" si="2"/>
        <v>30.232392445509529</v>
      </c>
      <c r="F22" s="81">
        <f t="shared" si="3"/>
        <v>0.64681500753871379</v>
      </c>
      <c r="G22" s="85">
        <f t="shared" si="4"/>
        <v>0</v>
      </c>
      <c r="H22" s="85">
        <f t="shared" si="5"/>
        <v>0</v>
      </c>
      <c r="I22" s="85">
        <f t="shared" si="6"/>
        <v>0</v>
      </c>
      <c r="J22" s="85">
        <f t="shared" si="7"/>
        <v>0</v>
      </c>
      <c r="K22" s="298">
        <f t="shared" si="0"/>
        <v>0</v>
      </c>
      <c r="L22" s="133">
        <f>K22*D22*'B) D RI'!S24</f>
        <v>0</v>
      </c>
      <c r="M22" s="10">
        <f>(('B) D RI'!S24*C22)-L22)/'B) D RI'!S24</f>
        <v>15358.055362318841</v>
      </c>
      <c r="N22" s="136">
        <f t="shared" si="1"/>
        <v>30.232392445509529</v>
      </c>
      <c r="O22" s="75">
        <f t="shared" si="8"/>
        <v>0.68561855585820575</v>
      </c>
    </row>
    <row r="23" spans="1:15" x14ac:dyDescent="0.25">
      <c r="A23" s="53">
        <f>'A) Base RI'!A25</f>
        <v>5424</v>
      </c>
      <c r="B23" s="54" t="str">
        <f>'A) Base RI'!B25</f>
        <v>Berolle</v>
      </c>
      <c r="C23" s="9">
        <f>'B) D RI'!U25</f>
        <v>9058.2428571428572</v>
      </c>
      <c r="D23" s="35">
        <f>'B) D RI'!AR25</f>
        <v>301</v>
      </c>
      <c r="E23" s="295">
        <f t="shared" si="2"/>
        <v>30.093830090175604</v>
      </c>
      <c r="F23" s="81">
        <f t="shared" si="3"/>
        <v>0.64385049816118334</v>
      </c>
      <c r="G23" s="85">
        <f t="shared" si="4"/>
        <v>0</v>
      </c>
      <c r="H23" s="85">
        <f t="shared" si="5"/>
        <v>0</v>
      </c>
      <c r="I23" s="85">
        <f t="shared" si="6"/>
        <v>0</v>
      </c>
      <c r="J23" s="85">
        <f t="shared" si="7"/>
        <v>0</v>
      </c>
      <c r="K23" s="298">
        <f t="shared" si="0"/>
        <v>0</v>
      </c>
      <c r="L23" s="133">
        <f>K23*D23*'B) D RI'!S25</f>
        <v>0</v>
      </c>
      <c r="M23" s="10">
        <f>(('B) D RI'!S25*C23)-L23)/'B) D RI'!S25</f>
        <v>9058.2428571428572</v>
      </c>
      <c r="N23" s="136">
        <f t="shared" si="1"/>
        <v>30.093830090175604</v>
      </c>
      <c r="O23" s="75">
        <f t="shared" si="8"/>
        <v>0.68247620044814072</v>
      </c>
    </row>
    <row r="24" spans="1:15" x14ac:dyDescent="0.25">
      <c r="A24" s="53">
        <f>'A) Base RI'!A26</f>
        <v>5425</v>
      </c>
      <c r="B24" s="54" t="str">
        <f>'A) Base RI'!B26</f>
        <v>Bière</v>
      </c>
      <c r="C24" s="9">
        <f>'B) D RI'!U26</f>
        <v>39413.041470588236</v>
      </c>
      <c r="D24" s="35">
        <f>'B) D RI'!AR26</f>
        <v>1546</v>
      </c>
      <c r="E24" s="295">
        <f t="shared" si="2"/>
        <v>25.493558519138574</v>
      </c>
      <c r="F24" s="81">
        <f t="shared" si="3"/>
        <v>0.54542875743181518</v>
      </c>
      <c r="G24" s="85">
        <f t="shared" si="4"/>
        <v>0</v>
      </c>
      <c r="H24" s="85">
        <f t="shared" si="5"/>
        <v>0</v>
      </c>
      <c r="I24" s="85">
        <f t="shared" si="6"/>
        <v>0</v>
      </c>
      <c r="J24" s="85">
        <f t="shared" si="7"/>
        <v>0</v>
      </c>
      <c r="K24" s="298">
        <f t="shared" si="0"/>
        <v>0</v>
      </c>
      <c r="L24" s="133">
        <f>K24*D24*'B) D RI'!S26</f>
        <v>0</v>
      </c>
      <c r="M24" s="10">
        <f>(('B) D RI'!S26*C24)-L24)/'B) D RI'!S26</f>
        <v>39413.041470588236</v>
      </c>
      <c r="N24" s="136">
        <f t="shared" si="1"/>
        <v>25.493558519138574</v>
      </c>
      <c r="O24" s="75">
        <f t="shared" si="8"/>
        <v>0.57814996967514609</v>
      </c>
    </row>
    <row r="25" spans="1:15" x14ac:dyDescent="0.25">
      <c r="A25" s="53">
        <f>'A) Base RI'!A27</f>
        <v>5426</v>
      </c>
      <c r="B25" s="54" t="str">
        <f>'A) Base RI'!B27</f>
        <v>Bougy-Villars</v>
      </c>
      <c r="C25" s="9">
        <f>'B) D RI'!U27</f>
        <v>42567.7185483871</v>
      </c>
      <c r="D25" s="35">
        <f>'B) D RI'!AR27</f>
        <v>467</v>
      </c>
      <c r="E25" s="295">
        <f t="shared" si="2"/>
        <v>91.151431581128691</v>
      </c>
      <c r="F25" s="81">
        <f t="shared" si="3"/>
        <v>1.9501636865682279</v>
      </c>
      <c r="G25" s="85">
        <f t="shared" si="4"/>
        <v>35.062951085505624</v>
      </c>
      <c r="H25" s="85">
        <f t="shared" si="5"/>
        <v>21.040830961599852</v>
      </c>
      <c r="I25" s="85">
        <f t="shared" si="6"/>
        <v>0</v>
      </c>
      <c r="J25" s="85">
        <f t="shared" si="7"/>
        <v>0</v>
      </c>
      <c r="K25" s="298">
        <f t="shared" si="0"/>
        <v>14.726745486942011</v>
      </c>
      <c r="L25" s="133">
        <f>K25*D25*'B) D RI'!S27</f>
        <v>426398.18882891902</v>
      </c>
      <c r="M25" s="10">
        <f>(('B) D RI'!S27*C25)-L25)/'B) D RI'!S27</f>
        <v>35690.328405985179</v>
      </c>
      <c r="N25" s="136">
        <f t="shared" si="1"/>
        <v>76.424686094186683</v>
      </c>
      <c r="O25" s="75">
        <f t="shared" si="8"/>
        <v>1.7331801644959055</v>
      </c>
    </row>
    <row r="26" spans="1:15" x14ac:dyDescent="0.25">
      <c r="A26" s="53">
        <f>'A) Base RI'!A28</f>
        <v>5427</v>
      </c>
      <c r="B26" s="54" t="str">
        <f>'A) Base RI'!B28</f>
        <v>Féchy</v>
      </c>
      <c r="C26" s="9">
        <f>'B) D RI'!U28</f>
        <v>68786.678798076915</v>
      </c>
      <c r="D26" s="35">
        <f>'B) D RI'!AR28</f>
        <v>887</v>
      </c>
      <c r="E26" s="295">
        <f t="shared" si="2"/>
        <v>77.549806987685358</v>
      </c>
      <c r="F26" s="81">
        <f t="shared" si="3"/>
        <v>1.6591600906800188</v>
      </c>
      <c r="G26" s="85">
        <f t="shared" si="4"/>
        <v>21.461326492062291</v>
      </c>
      <c r="H26" s="85">
        <f t="shared" si="5"/>
        <v>7.439206368156519</v>
      </c>
      <c r="I26" s="85">
        <f t="shared" si="6"/>
        <v>0</v>
      </c>
      <c r="J26" s="85">
        <f t="shared" si="7"/>
        <v>0</v>
      </c>
      <c r="K26" s="298">
        <f t="shared" si="0"/>
        <v>8.4699981739580767</v>
      </c>
      <c r="L26" s="133">
        <f>K26*D26*'B) D RI'!S28</f>
        <v>480824.85633925209</v>
      </c>
      <c r="M26" s="10">
        <f>(('B) D RI'!S28*C26)-L26)/'B) D RI'!S28</f>
        <v>61273.790417776101</v>
      </c>
      <c r="N26" s="136">
        <f t="shared" si="1"/>
        <v>69.079808813727283</v>
      </c>
      <c r="O26" s="75">
        <f t="shared" si="8"/>
        <v>1.5666110064955669</v>
      </c>
    </row>
    <row r="27" spans="1:15" x14ac:dyDescent="0.25">
      <c r="A27" s="53">
        <f>'A) Base RI'!A29</f>
        <v>5428</v>
      </c>
      <c r="B27" s="54" t="str">
        <f>'A) Base RI'!B29</f>
        <v>Gimel</v>
      </c>
      <c r="C27" s="9">
        <f>'B) D RI'!U29</f>
        <v>58004.622727272719</v>
      </c>
      <c r="D27" s="35">
        <f>'B) D RI'!AR29</f>
        <v>1948</v>
      </c>
      <c r="E27" s="295">
        <f t="shared" si="2"/>
        <v>29.776500373343286</v>
      </c>
      <c r="F27" s="81">
        <f t="shared" si="3"/>
        <v>0.63706130264663374</v>
      </c>
      <c r="G27" s="85">
        <f t="shared" si="4"/>
        <v>0</v>
      </c>
      <c r="H27" s="85">
        <f t="shared" si="5"/>
        <v>0</v>
      </c>
      <c r="I27" s="85">
        <f t="shared" si="6"/>
        <v>0</v>
      </c>
      <c r="J27" s="85">
        <f t="shared" si="7"/>
        <v>0</v>
      </c>
      <c r="K27" s="298">
        <f t="shared" si="0"/>
        <v>0</v>
      </c>
      <c r="L27" s="133">
        <f>K27*D27*'B) D RI'!S29</f>
        <v>0</v>
      </c>
      <c r="M27" s="10">
        <f>(('B) D RI'!S29*C27)-L27)/'B) D RI'!S29</f>
        <v>58004.622727272719</v>
      </c>
      <c r="N27" s="136">
        <f t="shared" si="1"/>
        <v>29.776500373343286</v>
      </c>
      <c r="O27" s="75">
        <f t="shared" si="8"/>
        <v>0.67527970938056781</v>
      </c>
    </row>
    <row r="28" spans="1:15" x14ac:dyDescent="0.25">
      <c r="A28" s="53">
        <f>'A) Base RI'!A30</f>
        <v>5429</v>
      </c>
      <c r="B28" s="54" t="str">
        <f>'A) Base RI'!B30</f>
        <v>Longirod</v>
      </c>
      <c r="C28" s="9">
        <f>'B) D RI'!U30</f>
        <v>12171.349506172839</v>
      </c>
      <c r="D28" s="35">
        <f>'B) D RI'!AR30</f>
        <v>460</v>
      </c>
      <c r="E28" s="295">
        <f t="shared" si="2"/>
        <v>26.459455448201822</v>
      </c>
      <c r="F28" s="81">
        <f t="shared" si="3"/>
        <v>0.5660938976644222</v>
      </c>
      <c r="G28" s="85">
        <f t="shared" si="4"/>
        <v>0</v>
      </c>
      <c r="H28" s="85">
        <f t="shared" si="5"/>
        <v>0</v>
      </c>
      <c r="I28" s="85">
        <f t="shared" si="6"/>
        <v>0</v>
      </c>
      <c r="J28" s="85">
        <f t="shared" si="7"/>
        <v>0</v>
      </c>
      <c r="K28" s="298">
        <f t="shared" si="0"/>
        <v>0</v>
      </c>
      <c r="L28" s="133">
        <f>K28*D28*'B) D RI'!S30</f>
        <v>0</v>
      </c>
      <c r="M28" s="10">
        <f>(('B) D RI'!S30*C28)-L28)/'B) D RI'!S30</f>
        <v>12171.349506172839</v>
      </c>
      <c r="N28" s="136">
        <f t="shared" si="1"/>
        <v>26.459455448201822</v>
      </c>
      <c r="O28" s="75">
        <f t="shared" si="8"/>
        <v>0.60005484732602421</v>
      </c>
    </row>
    <row r="29" spans="1:15" x14ac:dyDescent="0.25">
      <c r="A29" s="53">
        <f>'A) Base RI'!A31</f>
        <v>5430</v>
      </c>
      <c r="B29" s="54" t="str">
        <f>'A) Base RI'!B31</f>
        <v>Marchissy</v>
      </c>
      <c r="C29" s="9">
        <f>'B) D RI'!U31</f>
        <v>10573.165189873416</v>
      </c>
      <c r="D29" s="35">
        <f>'B) D RI'!AR31</f>
        <v>430</v>
      </c>
      <c r="E29" s="295">
        <f t="shared" si="2"/>
        <v>24.588756255519574</v>
      </c>
      <c r="F29" s="81">
        <f t="shared" si="3"/>
        <v>0.52607072336227867</v>
      </c>
      <c r="G29" s="85">
        <f t="shared" si="4"/>
        <v>0</v>
      </c>
      <c r="H29" s="85">
        <f t="shared" si="5"/>
        <v>0</v>
      </c>
      <c r="I29" s="85">
        <f t="shared" si="6"/>
        <v>0</v>
      </c>
      <c r="J29" s="85">
        <f t="shared" si="7"/>
        <v>0</v>
      </c>
      <c r="K29" s="298">
        <f t="shared" si="0"/>
        <v>0</v>
      </c>
      <c r="L29" s="133">
        <f>K29*D29*'B) D RI'!S31</f>
        <v>0</v>
      </c>
      <c r="M29" s="10">
        <f>(('B) D RI'!S31*C29)-L29)/'B) D RI'!S31</f>
        <v>10573.165189873416</v>
      </c>
      <c r="N29" s="136">
        <f t="shared" si="1"/>
        <v>24.588756255519574</v>
      </c>
      <c r="O29" s="75">
        <f t="shared" si="8"/>
        <v>0.55763061374134737</v>
      </c>
    </row>
    <row r="30" spans="1:15" x14ac:dyDescent="0.25">
      <c r="A30" s="53">
        <f>'A) Base RI'!A32</f>
        <v>5431</v>
      </c>
      <c r="B30" s="54" t="str">
        <f>'A) Base RI'!B32</f>
        <v>Mollens</v>
      </c>
      <c r="C30" s="9">
        <f>'B) D RI'!U32</f>
        <v>11206.031081081082</v>
      </c>
      <c r="D30" s="35">
        <f>'B) D RI'!AR32</f>
        <v>295</v>
      </c>
      <c r="E30" s="295">
        <f t="shared" si="2"/>
        <v>37.986546037562988</v>
      </c>
      <c r="F30" s="81">
        <f t="shared" si="3"/>
        <v>0.81271332085084347</v>
      </c>
      <c r="G30" s="85">
        <f t="shared" si="4"/>
        <v>0</v>
      </c>
      <c r="H30" s="85">
        <f t="shared" si="5"/>
        <v>0</v>
      </c>
      <c r="I30" s="85">
        <f t="shared" si="6"/>
        <v>0</v>
      </c>
      <c r="J30" s="85">
        <f t="shared" si="7"/>
        <v>0</v>
      </c>
      <c r="K30" s="298">
        <f t="shared" si="0"/>
        <v>0</v>
      </c>
      <c r="L30" s="133">
        <f>K30*D30*'B) D RI'!S32</f>
        <v>0</v>
      </c>
      <c r="M30" s="10">
        <f>(('B) D RI'!S32*C30)-L30)/'B) D RI'!S32</f>
        <v>11206.031081081082</v>
      </c>
      <c r="N30" s="136">
        <f t="shared" si="1"/>
        <v>37.986546037562988</v>
      </c>
      <c r="O30" s="75">
        <f t="shared" si="8"/>
        <v>0.86146939522755461</v>
      </c>
    </row>
    <row r="31" spans="1:15" x14ac:dyDescent="0.25">
      <c r="A31" s="53">
        <f>'A) Base RI'!A33</f>
        <v>5432</v>
      </c>
      <c r="B31" s="54" t="str">
        <f>'A) Base RI'!B33</f>
        <v>Montherod</v>
      </c>
      <c r="C31" s="9">
        <f>'B) D RI'!U33</f>
        <v>17725.419230769232</v>
      </c>
      <c r="D31" s="35">
        <f>'B) D RI'!AR33</f>
        <v>522</v>
      </c>
      <c r="E31" s="295">
        <f t="shared" si="2"/>
        <v>33.956741821396996</v>
      </c>
      <c r="F31" s="81">
        <f t="shared" si="3"/>
        <v>0.72649659654902254</v>
      </c>
      <c r="G31" s="85">
        <f t="shared" si="4"/>
        <v>0</v>
      </c>
      <c r="H31" s="85">
        <f t="shared" si="5"/>
        <v>0</v>
      </c>
      <c r="I31" s="85">
        <f t="shared" si="6"/>
        <v>0</v>
      </c>
      <c r="J31" s="85">
        <f t="shared" si="7"/>
        <v>0</v>
      </c>
      <c r="K31" s="298">
        <f t="shared" si="0"/>
        <v>0</v>
      </c>
      <c r="L31" s="133">
        <f>K31*D31*'B) D RI'!S33</f>
        <v>0</v>
      </c>
      <c r="M31" s="10">
        <f>(('B) D RI'!S33*C31)-L31)/'B) D RI'!S33</f>
        <v>17725.419230769232</v>
      </c>
      <c r="N31" s="136">
        <f t="shared" si="1"/>
        <v>33.956741821396996</v>
      </c>
      <c r="O31" s="75">
        <f t="shared" si="8"/>
        <v>0.7700803808761808</v>
      </c>
    </row>
    <row r="32" spans="1:15" x14ac:dyDescent="0.25">
      <c r="A32" s="53">
        <f>'A) Base RI'!A34</f>
        <v>5434</v>
      </c>
      <c r="B32" s="54" t="str">
        <f>'A) Base RI'!B34</f>
        <v>Saint-George</v>
      </c>
      <c r="C32" s="9">
        <f>'B) D RI'!U34</f>
        <v>35895.731094890507</v>
      </c>
      <c r="D32" s="35">
        <f>'B) D RI'!AR34</f>
        <v>991</v>
      </c>
      <c r="E32" s="295">
        <f t="shared" si="2"/>
        <v>36.221726634601922</v>
      </c>
      <c r="F32" s="81">
        <f t="shared" si="3"/>
        <v>0.77495542003342799</v>
      </c>
      <c r="G32" s="85">
        <f t="shared" si="4"/>
        <v>0</v>
      </c>
      <c r="H32" s="85">
        <f t="shared" si="5"/>
        <v>0</v>
      </c>
      <c r="I32" s="85">
        <f t="shared" si="6"/>
        <v>0</v>
      </c>
      <c r="J32" s="85">
        <f t="shared" si="7"/>
        <v>0</v>
      </c>
      <c r="K32" s="298">
        <f t="shared" si="0"/>
        <v>0</v>
      </c>
      <c r="L32" s="133">
        <f>K32*D32*'B) D RI'!S34</f>
        <v>0</v>
      </c>
      <c r="M32" s="10">
        <f>(('B) D RI'!S34*C32)-L32)/'B) D RI'!S34</f>
        <v>35895.731094890507</v>
      </c>
      <c r="N32" s="136">
        <f t="shared" si="1"/>
        <v>36.221726634601922</v>
      </c>
      <c r="O32" s="75">
        <f t="shared" si="8"/>
        <v>0.8214463327924667</v>
      </c>
    </row>
    <row r="33" spans="1:15" x14ac:dyDescent="0.25">
      <c r="A33" s="53">
        <f>'A) Base RI'!A35</f>
        <v>5435</v>
      </c>
      <c r="B33" s="54" t="str">
        <f>'A) Base RI'!B35</f>
        <v>Saint-Livres</v>
      </c>
      <c r="C33" s="9">
        <f>'B) D RI'!U35</f>
        <v>22398.12956521739</v>
      </c>
      <c r="D33" s="35">
        <f>'B) D RI'!AR35</f>
        <v>689</v>
      </c>
      <c r="E33" s="295">
        <f t="shared" si="2"/>
        <v>32.508170631665301</v>
      </c>
      <c r="F33" s="81">
        <f t="shared" si="3"/>
        <v>0.69550475272801404</v>
      </c>
      <c r="G33" s="85">
        <f t="shared" si="4"/>
        <v>0</v>
      </c>
      <c r="H33" s="85">
        <f t="shared" si="5"/>
        <v>0</v>
      </c>
      <c r="I33" s="85">
        <f t="shared" si="6"/>
        <v>0</v>
      </c>
      <c r="J33" s="85">
        <f t="shared" si="7"/>
        <v>0</v>
      </c>
      <c r="K33" s="298">
        <f t="shared" si="0"/>
        <v>0</v>
      </c>
      <c r="L33" s="133">
        <f>K33*D33*'B) D RI'!S35</f>
        <v>0</v>
      </c>
      <c r="M33" s="10">
        <f>(('B) D RI'!S35*C33)-L33)/'B) D RI'!S35</f>
        <v>22398.12956521739</v>
      </c>
      <c r="N33" s="136">
        <f t="shared" si="1"/>
        <v>32.508170631665301</v>
      </c>
      <c r="O33" s="75">
        <f t="shared" si="8"/>
        <v>0.73722928287089662</v>
      </c>
    </row>
    <row r="34" spans="1:15" x14ac:dyDescent="0.25">
      <c r="A34" s="53">
        <f>'A) Base RI'!A36</f>
        <v>5436</v>
      </c>
      <c r="B34" s="54" t="str">
        <f>'A) Base RI'!B36</f>
        <v>Saint-Oyens</v>
      </c>
      <c r="C34" s="9">
        <f>'B) D RI'!U36</f>
        <v>10474.604814814815</v>
      </c>
      <c r="D34" s="35">
        <f>'B) D RI'!AR36</f>
        <v>350</v>
      </c>
      <c r="E34" s="295">
        <f t="shared" si="2"/>
        <v>29.927442328042329</v>
      </c>
      <c r="F34" s="81">
        <f t="shared" si="3"/>
        <v>0.64029067067440526</v>
      </c>
      <c r="G34" s="85">
        <f t="shared" si="4"/>
        <v>0</v>
      </c>
      <c r="H34" s="85">
        <f t="shared" si="5"/>
        <v>0</v>
      </c>
      <c r="I34" s="85">
        <f t="shared" si="6"/>
        <v>0</v>
      </c>
      <c r="J34" s="85">
        <f t="shared" si="7"/>
        <v>0</v>
      </c>
      <c r="K34" s="298">
        <f t="shared" si="0"/>
        <v>0</v>
      </c>
      <c r="L34" s="133">
        <f>K34*D34*'B) D RI'!S36</f>
        <v>0</v>
      </c>
      <c r="M34" s="10">
        <f>(('B) D RI'!S36*C34)-L34)/'B) D RI'!S36</f>
        <v>10474.604814814815</v>
      </c>
      <c r="N34" s="136">
        <f t="shared" si="1"/>
        <v>29.927442328042329</v>
      </c>
      <c r="O34" s="75">
        <f t="shared" si="8"/>
        <v>0.67870281276829014</v>
      </c>
    </row>
    <row r="35" spans="1:15" x14ac:dyDescent="0.25">
      <c r="A35" s="53">
        <f>'A) Base RI'!A37</f>
        <v>5437</v>
      </c>
      <c r="B35" s="54" t="str">
        <f>'A) Base RI'!B37</f>
        <v>Saubraz</v>
      </c>
      <c r="C35" s="9">
        <f>'B) D RI'!U37</f>
        <v>10138.793125</v>
      </c>
      <c r="D35" s="35">
        <f>'B) D RI'!AR37</f>
        <v>420</v>
      </c>
      <c r="E35" s="295">
        <f t="shared" si="2"/>
        <v>24.139983630952383</v>
      </c>
      <c r="F35" s="81">
        <f t="shared" si="3"/>
        <v>0.51646933739635559</v>
      </c>
      <c r="G35" s="85">
        <f t="shared" si="4"/>
        <v>0</v>
      </c>
      <c r="H35" s="85">
        <f t="shared" si="5"/>
        <v>0</v>
      </c>
      <c r="I35" s="85">
        <f t="shared" si="6"/>
        <v>0</v>
      </c>
      <c r="J35" s="85">
        <f t="shared" si="7"/>
        <v>0</v>
      </c>
      <c r="K35" s="298">
        <f t="shared" si="0"/>
        <v>0</v>
      </c>
      <c r="L35" s="133">
        <f>K35*D35*'B) D RI'!S37</f>
        <v>0</v>
      </c>
      <c r="M35" s="10">
        <f>(('B) D RI'!S37*C35)-L35)/'B) D RI'!S37</f>
        <v>10138.793125</v>
      </c>
      <c r="N35" s="136">
        <f t="shared" si="1"/>
        <v>24.139983630952383</v>
      </c>
      <c r="O35" s="75">
        <f t="shared" si="8"/>
        <v>0.54745322406505814</v>
      </c>
    </row>
    <row r="36" spans="1:15" x14ac:dyDescent="0.25">
      <c r="A36" s="53">
        <f>'A) Base RI'!A38</f>
        <v>5451</v>
      </c>
      <c r="B36" s="54" t="str">
        <f>'A) Base RI'!B38</f>
        <v>Avenches</v>
      </c>
      <c r="C36" s="9">
        <f>'B) D RI'!U38</f>
        <v>109207.82382352941</v>
      </c>
      <c r="D36" s="35">
        <f>'B) D RI'!AR38</f>
        <v>4129</v>
      </c>
      <c r="E36" s="295">
        <f t="shared" si="2"/>
        <v>26.448976464889661</v>
      </c>
      <c r="F36" s="81">
        <f t="shared" si="3"/>
        <v>0.56586970225275346</v>
      </c>
      <c r="G36" s="85">
        <f t="shared" si="4"/>
        <v>0</v>
      </c>
      <c r="H36" s="85">
        <f t="shared" si="5"/>
        <v>0</v>
      </c>
      <c r="I36" s="85">
        <f t="shared" si="6"/>
        <v>0</v>
      </c>
      <c r="J36" s="85">
        <f t="shared" si="7"/>
        <v>0</v>
      </c>
      <c r="K36" s="298">
        <f t="shared" si="0"/>
        <v>0</v>
      </c>
      <c r="L36" s="133">
        <f>K36*D36*'B) D RI'!S38</f>
        <v>0</v>
      </c>
      <c r="M36" s="10">
        <f>(('B) D RI'!S38*C36)-L36)/'B) D RI'!S38</f>
        <v>109207.82382352941</v>
      </c>
      <c r="N36" s="136">
        <f t="shared" si="1"/>
        <v>26.448976464889661</v>
      </c>
      <c r="O36" s="75">
        <f t="shared" si="8"/>
        <v>0.59981720204478173</v>
      </c>
    </row>
    <row r="37" spans="1:15" x14ac:dyDescent="0.25">
      <c r="A37" s="53">
        <f>'A) Base RI'!A39</f>
        <v>5456</v>
      </c>
      <c r="B37" s="54" t="str">
        <f>'A) Base RI'!B39</f>
        <v>Cudrefin</v>
      </c>
      <c r="C37" s="9">
        <f>'B) D RI'!U39</f>
        <v>51373.818644067804</v>
      </c>
      <c r="D37" s="35">
        <f>'B) D RI'!AR39</f>
        <v>1555</v>
      </c>
      <c r="E37" s="295">
        <f t="shared" si="2"/>
        <v>33.037825494577369</v>
      </c>
      <c r="F37" s="81">
        <f t="shared" si="3"/>
        <v>0.70683659537873589</v>
      </c>
      <c r="G37" s="85">
        <f t="shared" si="4"/>
        <v>0</v>
      </c>
      <c r="H37" s="85">
        <f t="shared" si="5"/>
        <v>0</v>
      </c>
      <c r="I37" s="85">
        <f t="shared" si="6"/>
        <v>0</v>
      </c>
      <c r="J37" s="85">
        <f t="shared" si="7"/>
        <v>0</v>
      </c>
      <c r="K37" s="298">
        <f t="shared" si="0"/>
        <v>0</v>
      </c>
      <c r="L37" s="133">
        <f>K37*D37*'B) D RI'!S39</f>
        <v>0</v>
      </c>
      <c r="M37" s="10">
        <f>(('B) D RI'!S39*C37)-L37)/'B) D RI'!S39</f>
        <v>51373.818644067804</v>
      </c>
      <c r="N37" s="136">
        <f t="shared" si="1"/>
        <v>33.037825494577369</v>
      </c>
      <c r="O37" s="75">
        <f t="shared" si="8"/>
        <v>0.74924094231424265</v>
      </c>
    </row>
    <row r="38" spans="1:15" x14ac:dyDescent="0.25">
      <c r="A38" s="53">
        <f>'A) Base RI'!A40</f>
        <v>5458</v>
      </c>
      <c r="B38" s="54" t="str">
        <f>'A) Base RI'!B40</f>
        <v>Faoug</v>
      </c>
      <c r="C38" s="9">
        <f>'B) D RI'!U40</f>
        <v>31692.092968750003</v>
      </c>
      <c r="D38" s="35">
        <f>'B) D RI'!AR40</f>
        <v>870</v>
      </c>
      <c r="E38" s="295">
        <f t="shared" si="2"/>
        <v>36.427693067528736</v>
      </c>
      <c r="F38" s="81">
        <f t="shared" si="3"/>
        <v>0.77936202398005239</v>
      </c>
      <c r="G38" s="85">
        <f t="shared" si="4"/>
        <v>0</v>
      </c>
      <c r="H38" s="85">
        <f t="shared" si="5"/>
        <v>0</v>
      </c>
      <c r="I38" s="85">
        <f t="shared" si="6"/>
        <v>0</v>
      </c>
      <c r="J38" s="85">
        <f t="shared" si="7"/>
        <v>0</v>
      </c>
      <c r="K38" s="298">
        <f t="shared" si="0"/>
        <v>0</v>
      </c>
      <c r="L38" s="133">
        <f>K38*D38*'B) D RI'!S40</f>
        <v>0</v>
      </c>
      <c r="M38" s="10">
        <f>(('B) D RI'!S40*C38)-L38)/'B) D RI'!S40</f>
        <v>31692.092968750003</v>
      </c>
      <c r="N38" s="136">
        <f t="shared" si="1"/>
        <v>36.427693067528736</v>
      </c>
      <c r="O38" s="75">
        <f t="shared" si="8"/>
        <v>0.82611729651302146</v>
      </c>
    </row>
    <row r="39" spans="1:15" x14ac:dyDescent="0.25">
      <c r="A39" s="53">
        <f>'A) Base RI'!A41</f>
        <v>5464</v>
      </c>
      <c r="B39" s="54" t="str">
        <f>'A) Base RI'!B41</f>
        <v>Vully-les-Lacs</v>
      </c>
      <c r="C39" s="9">
        <f>'B) D RI'!U41</f>
        <v>96310.385124378095</v>
      </c>
      <c r="D39" s="35">
        <f>'B) D RI'!AR41</f>
        <v>2935</v>
      </c>
      <c r="E39" s="295">
        <f t="shared" si="2"/>
        <v>32.814441268953352</v>
      </c>
      <c r="F39" s="81">
        <f t="shared" si="3"/>
        <v>0.7020573418068774</v>
      </c>
      <c r="G39" s="85">
        <f t="shared" si="4"/>
        <v>0</v>
      </c>
      <c r="H39" s="85">
        <f t="shared" si="5"/>
        <v>0</v>
      </c>
      <c r="I39" s="85">
        <f t="shared" si="6"/>
        <v>0</v>
      </c>
      <c r="J39" s="85">
        <f t="shared" si="7"/>
        <v>0</v>
      </c>
      <c r="K39" s="298">
        <f t="shared" si="0"/>
        <v>0</v>
      </c>
      <c r="L39" s="133">
        <f>K39*D39*'B) D RI'!S41</f>
        <v>0</v>
      </c>
      <c r="M39" s="10">
        <f>(('B) D RI'!S41*C39)-L39)/'B) D RI'!S41</f>
        <v>96310.385124378095</v>
      </c>
      <c r="N39" s="136">
        <f t="shared" si="1"/>
        <v>32.814441268953352</v>
      </c>
      <c r="O39" s="75">
        <f t="shared" si="8"/>
        <v>0.74417497307446479</v>
      </c>
    </row>
    <row r="40" spans="1:15" x14ac:dyDescent="0.25">
      <c r="A40" s="53">
        <f>'A) Base RI'!A42</f>
        <v>5471</v>
      </c>
      <c r="B40" s="54" t="str">
        <f>'A) Base RI'!B42</f>
        <v>Bettens</v>
      </c>
      <c r="C40" s="9">
        <f>'B) D RI'!U42</f>
        <v>16449.086587301586</v>
      </c>
      <c r="D40" s="35">
        <f>'B) D RI'!AR42</f>
        <v>584</v>
      </c>
      <c r="E40" s="295">
        <f t="shared" si="2"/>
        <v>28.166244156338333</v>
      </c>
      <c r="F40" s="81">
        <f t="shared" si="3"/>
        <v>0.60261024525782225</v>
      </c>
      <c r="G40" s="85">
        <f t="shared" si="4"/>
        <v>0</v>
      </c>
      <c r="H40" s="85">
        <f t="shared" si="5"/>
        <v>0</v>
      </c>
      <c r="I40" s="85">
        <f t="shared" si="6"/>
        <v>0</v>
      </c>
      <c r="J40" s="85">
        <f t="shared" si="7"/>
        <v>0</v>
      </c>
      <c r="K40" s="298">
        <f t="shared" si="0"/>
        <v>0</v>
      </c>
      <c r="L40" s="133">
        <f>K40*D40*'B) D RI'!S42</f>
        <v>0</v>
      </c>
      <c r="M40" s="10">
        <f>(('B) D RI'!S42*C40)-L40)/'B) D RI'!S42</f>
        <v>16449.086587301586</v>
      </c>
      <c r="N40" s="136">
        <f t="shared" si="1"/>
        <v>28.166244156338333</v>
      </c>
      <c r="O40" s="75">
        <f t="shared" si="8"/>
        <v>0.63876187361700709</v>
      </c>
    </row>
    <row r="41" spans="1:15" x14ac:dyDescent="0.25">
      <c r="A41" s="53">
        <f>'A) Base RI'!A43</f>
        <v>5472</v>
      </c>
      <c r="B41" s="54" t="str">
        <f>'A) Base RI'!B43</f>
        <v>Bournens</v>
      </c>
      <c r="C41" s="9">
        <f>'B) D RI'!U43</f>
        <v>14191.801124999998</v>
      </c>
      <c r="D41" s="35">
        <f>'B) D RI'!AR43</f>
        <v>370</v>
      </c>
      <c r="E41" s="295">
        <f t="shared" si="2"/>
        <v>38.356219256756752</v>
      </c>
      <c r="F41" s="81">
        <f t="shared" si="3"/>
        <v>0.82062239342889509</v>
      </c>
      <c r="G41" s="85">
        <f t="shared" si="4"/>
        <v>0</v>
      </c>
      <c r="H41" s="85">
        <f t="shared" si="5"/>
        <v>0</v>
      </c>
      <c r="I41" s="85">
        <f t="shared" si="6"/>
        <v>0</v>
      </c>
      <c r="J41" s="85">
        <f t="shared" si="7"/>
        <v>0</v>
      </c>
      <c r="K41" s="298">
        <f t="shared" si="0"/>
        <v>0</v>
      </c>
      <c r="L41" s="133">
        <f>K41*D41*'B) D RI'!S43</f>
        <v>0</v>
      </c>
      <c r="M41" s="10">
        <f>(('B) D RI'!S43*C41)-L41)/'B) D RI'!S43</f>
        <v>14191.801124999998</v>
      </c>
      <c r="N41" s="136">
        <f t="shared" si="1"/>
        <v>38.356219256756752</v>
      </c>
      <c r="O41" s="75">
        <f t="shared" si="8"/>
        <v>0.86985294671590963</v>
      </c>
    </row>
    <row r="42" spans="1:15" x14ac:dyDescent="0.25">
      <c r="A42" s="53">
        <f>'A) Base RI'!A44</f>
        <v>5473</v>
      </c>
      <c r="B42" s="54" t="str">
        <f>'A) Base RI'!B44</f>
        <v>Boussens</v>
      </c>
      <c r="C42" s="9">
        <f>'B) D RI'!U44</f>
        <v>32757.052898550723</v>
      </c>
      <c r="D42" s="35">
        <f>'B) D RI'!AR44</f>
        <v>980</v>
      </c>
      <c r="E42" s="295">
        <f t="shared" si="2"/>
        <v>33.425564182194613</v>
      </c>
      <c r="F42" s="81">
        <f t="shared" si="3"/>
        <v>0.715132174453605</v>
      </c>
      <c r="G42" s="85">
        <f t="shared" si="4"/>
        <v>0</v>
      </c>
      <c r="H42" s="85">
        <f t="shared" si="5"/>
        <v>0</v>
      </c>
      <c r="I42" s="85">
        <f t="shared" si="6"/>
        <v>0</v>
      </c>
      <c r="J42" s="85">
        <f t="shared" si="7"/>
        <v>0</v>
      </c>
      <c r="K42" s="298">
        <f t="shared" si="0"/>
        <v>0</v>
      </c>
      <c r="L42" s="133">
        <f>K42*D42*'B) D RI'!S44</f>
        <v>0</v>
      </c>
      <c r="M42" s="10">
        <f>(('B) D RI'!S44*C42)-L42)/'B) D RI'!S44</f>
        <v>32757.052898550723</v>
      </c>
      <c r="N42" s="136">
        <f t="shared" si="1"/>
        <v>33.425564182194613</v>
      </c>
      <c r="O42" s="75">
        <f t="shared" si="8"/>
        <v>0.7580341874910389</v>
      </c>
    </row>
    <row r="43" spans="1:15" x14ac:dyDescent="0.25">
      <c r="A43" s="53">
        <f>'A) Base RI'!A45</f>
        <v>5474</v>
      </c>
      <c r="B43" s="54" t="str">
        <f>'A) Base RI'!B45</f>
        <v>La Chaux (Cossonay)</v>
      </c>
      <c r="C43" s="9">
        <f>'B) D RI'!U45</f>
        <v>12924.858852813852</v>
      </c>
      <c r="D43" s="35">
        <f>'B) D RI'!AR45</f>
        <v>421</v>
      </c>
      <c r="E43" s="295">
        <f t="shared" si="2"/>
        <v>30.700377322598221</v>
      </c>
      <c r="F43" s="81">
        <f t="shared" si="3"/>
        <v>0.65682743518061171</v>
      </c>
      <c r="G43" s="85">
        <f t="shared" si="4"/>
        <v>0</v>
      </c>
      <c r="H43" s="85">
        <f t="shared" si="5"/>
        <v>0</v>
      </c>
      <c r="I43" s="85">
        <f t="shared" si="6"/>
        <v>0</v>
      </c>
      <c r="J43" s="85">
        <f t="shared" si="7"/>
        <v>0</v>
      </c>
      <c r="K43" s="298">
        <f t="shared" si="0"/>
        <v>0</v>
      </c>
      <c r="L43" s="133">
        <f>K43*D43*'B) D RI'!S45</f>
        <v>0</v>
      </c>
      <c r="M43" s="10">
        <f>(('B) D RI'!S45*C43)-L43)/'B) D RI'!S45</f>
        <v>12924.858852813852</v>
      </c>
      <c r="N43" s="136">
        <f t="shared" si="1"/>
        <v>30.700377322598221</v>
      </c>
      <c r="O43" s="75">
        <f t="shared" si="8"/>
        <v>0.69623164630982459</v>
      </c>
    </row>
    <row r="44" spans="1:15" x14ac:dyDescent="0.25">
      <c r="A44" s="53">
        <f>'A) Base RI'!A46</f>
        <v>5475</v>
      </c>
      <c r="B44" s="54" t="str">
        <f>'A) Base RI'!B46</f>
        <v>Chavannes-le-Veyron</v>
      </c>
      <c r="C44" s="9">
        <f>'B) D RI'!U46</f>
        <v>2672.7945454545452</v>
      </c>
      <c r="D44" s="35">
        <f>'B) D RI'!AR46</f>
        <v>143</v>
      </c>
      <c r="E44" s="295">
        <f t="shared" si="2"/>
        <v>18.690870947234583</v>
      </c>
      <c r="F44" s="81">
        <f t="shared" si="3"/>
        <v>0.39988683841117389</v>
      </c>
      <c r="G44" s="85">
        <f t="shared" si="4"/>
        <v>0</v>
      </c>
      <c r="H44" s="85">
        <f t="shared" si="5"/>
        <v>0</v>
      </c>
      <c r="I44" s="85">
        <f t="shared" si="6"/>
        <v>0</v>
      </c>
      <c r="J44" s="85">
        <f t="shared" si="7"/>
        <v>0</v>
      </c>
      <c r="K44" s="298">
        <f t="shared" si="0"/>
        <v>0</v>
      </c>
      <c r="L44" s="133">
        <f>K44*D44*'B) D RI'!S46</f>
        <v>0</v>
      </c>
      <c r="M44" s="10">
        <f>(('B) D RI'!S46*C44)-L44)/'B) D RI'!S46</f>
        <v>2672.7945454545452</v>
      </c>
      <c r="N44" s="136">
        <f t="shared" si="1"/>
        <v>18.690870947234583</v>
      </c>
      <c r="O44" s="75">
        <f t="shared" si="8"/>
        <v>0.4238767398138375</v>
      </c>
    </row>
    <row r="45" spans="1:15" x14ac:dyDescent="0.25">
      <c r="A45" s="53">
        <f>'A) Base RI'!A47</f>
        <v>5476</v>
      </c>
      <c r="B45" s="54" t="str">
        <f>'A) Base RI'!B47</f>
        <v>Chevilly</v>
      </c>
      <c r="C45" s="9">
        <f>'B) D RI'!U47</f>
        <v>10247.952162162162</v>
      </c>
      <c r="D45" s="35">
        <f>'B) D RI'!AR47</f>
        <v>299</v>
      </c>
      <c r="E45" s="295">
        <f t="shared" si="2"/>
        <v>34.274087498870109</v>
      </c>
      <c r="F45" s="81">
        <f t="shared" si="3"/>
        <v>0.73328613353777117</v>
      </c>
      <c r="G45" s="85">
        <f t="shared" si="4"/>
        <v>0</v>
      </c>
      <c r="H45" s="85">
        <f t="shared" si="5"/>
        <v>0</v>
      </c>
      <c r="I45" s="85">
        <f t="shared" si="6"/>
        <v>0</v>
      </c>
      <c r="J45" s="85">
        <f t="shared" si="7"/>
        <v>0</v>
      </c>
      <c r="K45" s="298">
        <f t="shared" si="0"/>
        <v>0</v>
      </c>
      <c r="L45" s="133">
        <f>K45*D45*'B) D RI'!S47</f>
        <v>0</v>
      </c>
      <c r="M45" s="10">
        <f>(('B) D RI'!S47*C45)-L45)/'B) D RI'!S47</f>
        <v>10247.952162162162</v>
      </c>
      <c r="N45" s="136">
        <f t="shared" si="1"/>
        <v>34.274087498870109</v>
      </c>
      <c r="O45" s="75">
        <f t="shared" si="8"/>
        <v>0.77727723390357917</v>
      </c>
    </row>
    <row r="46" spans="1:15" x14ac:dyDescent="0.25">
      <c r="A46" s="53">
        <f>'A) Base RI'!A48</f>
        <v>5477</v>
      </c>
      <c r="B46" s="54" t="str">
        <f>'A) Base RI'!B48</f>
        <v>Cossonay</v>
      </c>
      <c r="C46" s="9">
        <f>'B) D RI'!U48</f>
        <v>125937.08528138528</v>
      </c>
      <c r="D46" s="35">
        <f>'B) D RI'!AR48</f>
        <v>3632</v>
      </c>
      <c r="E46" s="295">
        <f t="shared" si="2"/>
        <v>34.674307621526786</v>
      </c>
      <c r="F46" s="81">
        <f t="shared" si="3"/>
        <v>0.74184875001345718</v>
      </c>
      <c r="G46" s="85">
        <f t="shared" si="4"/>
        <v>0</v>
      </c>
      <c r="H46" s="85">
        <f t="shared" si="5"/>
        <v>0</v>
      </c>
      <c r="I46" s="85">
        <f t="shared" si="6"/>
        <v>0</v>
      </c>
      <c r="J46" s="85">
        <f t="shared" si="7"/>
        <v>0</v>
      </c>
      <c r="K46" s="298">
        <f t="shared" si="0"/>
        <v>0</v>
      </c>
      <c r="L46" s="133">
        <f>K46*D46*'B) D RI'!S48</f>
        <v>0</v>
      </c>
      <c r="M46" s="10">
        <f>(('B) D RI'!S48*C46)-L46)/'B) D RI'!S48</f>
        <v>125937.08528138528</v>
      </c>
      <c r="N46" s="136">
        <f t="shared" si="1"/>
        <v>34.674307621526786</v>
      </c>
      <c r="O46" s="75">
        <f t="shared" si="8"/>
        <v>0.78635353651561479</v>
      </c>
    </row>
    <row r="47" spans="1:15" x14ac:dyDescent="0.25">
      <c r="A47" s="53">
        <f>'A) Base RI'!A49</f>
        <v>5478</v>
      </c>
      <c r="B47" s="54" t="str">
        <f>'A) Base RI'!B49</f>
        <v>Cottens</v>
      </c>
      <c r="C47" s="9">
        <f>'B) D RI'!U49</f>
        <v>14465.317702702703</v>
      </c>
      <c r="D47" s="35">
        <f>'B) D RI'!AR49</f>
        <v>483</v>
      </c>
      <c r="E47" s="295">
        <f t="shared" si="2"/>
        <v>29.948897935202282</v>
      </c>
      <c r="F47" s="81">
        <f t="shared" si="3"/>
        <v>0.64074970840130452</v>
      </c>
      <c r="G47" s="85">
        <f t="shared" si="4"/>
        <v>0</v>
      </c>
      <c r="H47" s="85">
        <f t="shared" si="5"/>
        <v>0</v>
      </c>
      <c r="I47" s="85">
        <f t="shared" si="6"/>
        <v>0</v>
      </c>
      <c r="J47" s="85">
        <f t="shared" si="7"/>
        <v>0</v>
      </c>
      <c r="K47" s="298">
        <f t="shared" si="0"/>
        <v>0</v>
      </c>
      <c r="L47" s="133">
        <f>K47*D47*'B) D RI'!S49</f>
        <v>0</v>
      </c>
      <c r="M47" s="10">
        <f>(('B) D RI'!S49*C47)-L47)/'B) D RI'!S49</f>
        <v>14465.317702702703</v>
      </c>
      <c r="N47" s="136">
        <f t="shared" si="1"/>
        <v>29.948897935202282</v>
      </c>
      <c r="O47" s="75">
        <f t="shared" si="8"/>
        <v>0.67918938896045156</v>
      </c>
    </row>
    <row r="48" spans="1:15" x14ac:dyDescent="0.25">
      <c r="A48" s="53">
        <f>'A) Base RI'!A50</f>
        <v>5479</v>
      </c>
      <c r="B48" s="54" t="str">
        <f>'A) Base RI'!B50</f>
        <v>Cuarnens</v>
      </c>
      <c r="C48" s="9">
        <f>'B) D RI'!U50</f>
        <v>11562.819350649352</v>
      </c>
      <c r="D48" s="35">
        <f>'B) D RI'!AR50</f>
        <v>481</v>
      </c>
      <c r="E48" s="295">
        <f t="shared" si="2"/>
        <v>24.039125469125473</v>
      </c>
      <c r="F48" s="81">
        <f t="shared" si="3"/>
        <v>0.51431150047292995</v>
      </c>
      <c r="G48" s="85">
        <f t="shared" si="4"/>
        <v>0</v>
      </c>
      <c r="H48" s="85">
        <f t="shared" si="5"/>
        <v>0</v>
      </c>
      <c r="I48" s="85">
        <f t="shared" si="6"/>
        <v>0</v>
      </c>
      <c r="J48" s="85">
        <f t="shared" si="7"/>
        <v>0</v>
      </c>
      <c r="K48" s="298">
        <f t="shared" si="0"/>
        <v>0</v>
      </c>
      <c r="L48" s="133">
        <f>K48*D48*'B) D RI'!S50</f>
        <v>0</v>
      </c>
      <c r="M48" s="10">
        <f>(('B) D RI'!S50*C48)-L48)/'B) D RI'!S50</f>
        <v>11562.819350649352</v>
      </c>
      <c r="N48" s="136">
        <f t="shared" si="1"/>
        <v>24.039125469125473</v>
      </c>
      <c r="O48" s="75">
        <f t="shared" si="8"/>
        <v>0.5451659347814557</v>
      </c>
    </row>
    <row r="49" spans="1:18" x14ac:dyDescent="0.25">
      <c r="A49" s="53">
        <f>'A) Base RI'!A51</f>
        <v>5480</v>
      </c>
      <c r="B49" s="54" t="str">
        <f>'A) Base RI'!B51</f>
        <v>Daillens</v>
      </c>
      <c r="C49" s="9">
        <f>'B) D RI'!U51</f>
        <v>34852.093380281687</v>
      </c>
      <c r="D49" s="35">
        <f>'B) D RI'!AR51</f>
        <v>958</v>
      </c>
      <c r="E49" s="295">
        <f t="shared" si="2"/>
        <v>36.380055720544561</v>
      </c>
      <c r="F49" s="81">
        <f t="shared" si="3"/>
        <v>0.77834283401669668</v>
      </c>
      <c r="G49" s="85">
        <f t="shared" si="4"/>
        <v>0</v>
      </c>
      <c r="H49" s="85">
        <f t="shared" si="5"/>
        <v>0</v>
      </c>
      <c r="I49" s="85">
        <f t="shared" si="6"/>
        <v>0</v>
      </c>
      <c r="J49" s="85">
        <f t="shared" si="7"/>
        <v>0</v>
      </c>
      <c r="K49" s="298">
        <f t="shared" si="0"/>
        <v>0</v>
      </c>
      <c r="L49" s="133">
        <f>K49*D49*'B) D RI'!S51</f>
        <v>0</v>
      </c>
      <c r="M49" s="10">
        <f>(('B) D RI'!S51*C49)-L49)/'B) D RI'!S51</f>
        <v>34852.093380281687</v>
      </c>
      <c r="N49" s="136">
        <f t="shared" si="1"/>
        <v>36.380055720544561</v>
      </c>
      <c r="O49" s="75">
        <f t="shared" si="8"/>
        <v>0.82503696358524958</v>
      </c>
    </row>
    <row r="50" spans="1:18" x14ac:dyDescent="0.25">
      <c r="A50" s="53">
        <f>'A) Base RI'!A52</f>
        <v>5481</v>
      </c>
      <c r="B50" s="54" t="str">
        <f>'A) Base RI'!B52</f>
        <v>Dizy</v>
      </c>
      <c r="C50" s="9">
        <f>'B) D RI'!U52</f>
        <v>8900.2526582278479</v>
      </c>
      <c r="D50" s="35">
        <f>'B) D RI'!AR52</f>
        <v>222</v>
      </c>
      <c r="E50" s="295">
        <f t="shared" si="2"/>
        <v>40.091228190215531</v>
      </c>
      <c r="F50" s="81">
        <f t="shared" si="3"/>
        <v>0.85774250618204784</v>
      </c>
      <c r="G50" s="85">
        <f t="shared" si="4"/>
        <v>0</v>
      </c>
      <c r="H50" s="85">
        <f t="shared" si="5"/>
        <v>0</v>
      </c>
      <c r="I50" s="85">
        <f t="shared" si="6"/>
        <v>0</v>
      </c>
      <c r="J50" s="85">
        <f t="shared" si="7"/>
        <v>0</v>
      </c>
      <c r="K50" s="298">
        <f t="shared" si="0"/>
        <v>0</v>
      </c>
      <c r="L50" s="133">
        <f>K50*D50*'B) D RI'!S52</f>
        <v>0</v>
      </c>
      <c r="M50" s="10">
        <f>(('B) D RI'!S52*C50)-L50)/'B) D RI'!S52</f>
        <v>8900.2526582278479</v>
      </c>
      <c r="N50" s="136">
        <f t="shared" si="1"/>
        <v>40.091228190215531</v>
      </c>
      <c r="O50" s="75">
        <f t="shared" si="8"/>
        <v>0.90919995908031748</v>
      </c>
    </row>
    <row r="51" spans="1:18" x14ac:dyDescent="0.25">
      <c r="A51" s="53">
        <f>'A) Base RI'!A53</f>
        <v>5482</v>
      </c>
      <c r="B51" s="54" t="str">
        <f>'A) Base RI'!B53</f>
        <v>Eclépens</v>
      </c>
      <c r="C51" s="9">
        <f>'B) D RI'!U53</f>
        <v>26792.007391304349</v>
      </c>
      <c r="D51" s="35">
        <f>'B) D RI'!AR53</f>
        <v>1043</v>
      </c>
      <c r="E51" s="295">
        <f t="shared" si="2"/>
        <v>25.687447163283171</v>
      </c>
      <c r="F51" s="81">
        <f t="shared" si="3"/>
        <v>0.54957695989545063</v>
      </c>
      <c r="G51" s="85">
        <f t="shared" si="4"/>
        <v>0</v>
      </c>
      <c r="H51" s="85">
        <f t="shared" si="5"/>
        <v>0</v>
      </c>
      <c r="I51" s="85">
        <f t="shared" si="6"/>
        <v>0</v>
      </c>
      <c r="J51" s="85">
        <f t="shared" si="7"/>
        <v>0</v>
      </c>
      <c r="K51" s="298">
        <f t="shared" si="0"/>
        <v>0</v>
      </c>
      <c r="L51" s="133">
        <f>K51*D51*'B) D RI'!S53</f>
        <v>0</v>
      </c>
      <c r="M51" s="10">
        <f>(('B) D RI'!S53*C51)-L51)/'B) D RI'!S53</f>
        <v>26792.007391304349</v>
      </c>
      <c r="N51" s="136">
        <f t="shared" si="1"/>
        <v>25.687447163283171</v>
      </c>
      <c r="O51" s="75">
        <f t="shared" si="8"/>
        <v>0.58254702996190044</v>
      </c>
    </row>
    <row r="52" spans="1:18" x14ac:dyDescent="0.25">
      <c r="A52" s="53">
        <f>'A) Base RI'!A54</f>
        <v>5483</v>
      </c>
      <c r="B52" s="54" t="str">
        <f>'A) Base RI'!B54</f>
        <v>Ferreyres</v>
      </c>
      <c r="C52" s="9">
        <f>'B) D RI'!U54</f>
        <v>9773.8555263157887</v>
      </c>
      <c r="D52" s="35">
        <f>'B) D RI'!AR54</f>
        <v>316</v>
      </c>
      <c r="E52" s="295">
        <f t="shared" si="2"/>
        <v>30.929922551632242</v>
      </c>
      <c r="F52" s="81">
        <f t="shared" si="3"/>
        <v>0.6617385019880343</v>
      </c>
      <c r="G52" s="85">
        <f t="shared" si="4"/>
        <v>0</v>
      </c>
      <c r="H52" s="85">
        <f t="shared" si="5"/>
        <v>0</v>
      </c>
      <c r="I52" s="85">
        <f t="shared" si="6"/>
        <v>0</v>
      </c>
      <c r="J52" s="85">
        <f t="shared" si="7"/>
        <v>0</v>
      </c>
      <c r="K52" s="298">
        <f t="shared" si="0"/>
        <v>0</v>
      </c>
      <c r="L52" s="133">
        <f>K52*D52*'B) D RI'!S54</f>
        <v>0</v>
      </c>
      <c r="M52" s="10">
        <f>(('B) D RI'!S54*C52)-L52)/'B) D RI'!S54</f>
        <v>9773.8555263157887</v>
      </c>
      <c r="N52" s="136">
        <f t="shared" si="1"/>
        <v>30.929922551632242</v>
      </c>
      <c r="O52" s="75">
        <f t="shared" si="8"/>
        <v>0.70143733648859907</v>
      </c>
    </row>
    <row r="53" spans="1:18" x14ac:dyDescent="0.25">
      <c r="A53" s="53">
        <f>'A) Base RI'!A55</f>
        <v>5484</v>
      </c>
      <c r="B53" s="54" t="str">
        <f>'A) Base RI'!B55</f>
        <v>Gollion</v>
      </c>
      <c r="C53" s="9">
        <f>'B) D RI'!U55</f>
        <v>29063.721351351356</v>
      </c>
      <c r="D53" s="35">
        <f>'B) D RI'!AR55</f>
        <v>902</v>
      </c>
      <c r="E53" s="295">
        <f t="shared" si="2"/>
        <v>32.221420566908378</v>
      </c>
      <c r="F53" s="81">
        <f t="shared" si="3"/>
        <v>0.68936980176004903</v>
      </c>
      <c r="G53" s="85">
        <f t="shared" si="4"/>
        <v>0</v>
      </c>
      <c r="H53" s="85">
        <f t="shared" si="5"/>
        <v>0</v>
      </c>
      <c r="I53" s="85">
        <f t="shared" si="6"/>
        <v>0</v>
      </c>
      <c r="J53" s="85">
        <f t="shared" si="7"/>
        <v>0</v>
      </c>
      <c r="K53" s="298">
        <f t="shared" si="0"/>
        <v>0</v>
      </c>
      <c r="L53" s="133">
        <f>K53*D53*'B) D RI'!S55</f>
        <v>0</v>
      </c>
      <c r="M53" s="10">
        <f>(('B) D RI'!S55*C53)-L53)/'B) D RI'!S55</f>
        <v>29063.721351351356</v>
      </c>
      <c r="N53" s="136">
        <f t="shared" si="1"/>
        <v>32.221420566908378</v>
      </c>
      <c r="O53" s="75">
        <f t="shared" si="8"/>
        <v>0.73072628560909403</v>
      </c>
    </row>
    <row r="54" spans="1:18" x14ac:dyDescent="0.25">
      <c r="A54" s="53">
        <f>'A) Base RI'!A56</f>
        <v>5485</v>
      </c>
      <c r="B54" s="54" t="str">
        <f>'A) Base RI'!B56</f>
        <v>Grancy</v>
      </c>
      <c r="C54" s="9">
        <f>'B) D RI'!U56</f>
        <v>15073.947999999999</v>
      </c>
      <c r="D54" s="35">
        <f>'B) D RI'!AR56</f>
        <v>408</v>
      </c>
      <c r="E54" s="295">
        <f t="shared" si="2"/>
        <v>36.945950980392155</v>
      </c>
      <c r="F54" s="81">
        <f t="shared" si="3"/>
        <v>0.79045003153419946</v>
      </c>
      <c r="G54" s="85">
        <f t="shared" si="4"/>
        <v>0</v>
      </c>
      <c r="H54" s="85">
        <f t="shared" si="5"/>
        <v>0</v>
      </c>
      <c r="I54" s="85">
        <f t="shared" si="6"/>
        <v>0</v>
      </c>
      <c r="J54" s="85">
        <f t="shared" si="7"/>
        <v>0</v>
      </c>
      <c r="K54" s="298">
        <f t="shared" si="0"/>
        <v>0</v>
      </c>
      <c r="L54" s="133">
        <f>K54*D54*'B) D RI'!S56</f>
        <v>0</v>
      </c>
      <c r="M54" s="10">
        <f>(('B) D RI'!S56*C54)-L54)/'B) D RI'!S56</f>
        <v>15073.947999999999</v>
      </c>
      <c r="N54" s="136">
        <f t="shared" si="1"/>
        <v>36.945950980392155</v>
      </c>
      <c r="O54" s="75">
        <f t="shared" si="8"/>
        <v>0.83787049277163528</v>
      </c>
    </row>
    <row r="55" spans="1:18" x14ac:dyDescent="0.25">
      <c r="A55" s="53">
        <f>'A) Base RI'!A57</f>
        <v>5486</v>
      </c>
      <c r="B55" s="54" t="str">
        <f>'A) Base RI'!B57</f>
        <v>L'Isle</v>
      </c>
      <c r="C55" s="9">
        <f>'B) D RI'!U57</f>
        <v>29834.586052631581</v>
      </c>
      <c r="D55" s="35">
        <f>'B) D RI'!AR57</f>
        <v>1033</v>
      </c>
      <c r="E55" s="295">
        <f t="shared" si="2"/>
        <v>28.881496662760483</v>
      </c>
      <c r="F55" s="81">
        <f t="shared" si="3"/>
        <v>0.61791290634120744</v>
      </c>
      <c r="G55" s="85">
        <f t="shared" si="4"/>
        <v>0</v>
      </c>
      <c r="H55" s="85">
        <f t="shared" si="5"/>
        <v>0</v>
      </c>
      <c r="I55" s="85">
        <f t="shared" si="6"/>
        <v>0</v>
      </c>
      <c r="J55" s="85">
        <f t="shared" si="7"/>
        <v>0</v>
      </c>
      <c r="K55" s="298">
        <f t="shared" si="0"/>
        <v>0</v>
      </c>
      <c r="L55" s="133">
        <f>K55*D55*'B) D RI'!S57</f>
        <v>0</v>
      </c>
      <c r="M55" s="10">
        <f>(('B) D RI'!S57*C55)-L55)/'B) D RI'!S57</f>
        <v>29834.586052631581</v>
      </c>
      <c r="N55" s="136">
        <f t="shared" si="1"/>
        <v>28.881496662760483</v>
      </c>
      <c r="O55" s="75">
        <f t="shared" si="8"/>
        <v>0.65498256774205821</v>
      </c>
    </row>
    <row r="56" spans="1:18" x14ac:dyDescent="0.25">
      <c r="A56" s="53">
        <f>'A) Base RI'!A58</f>
        <v>5487</v>
      </c>
      <c r="B56" s="54" t="str">
        <f>'A) Base RI'!B58</f>
        <v>Lussery-Villars</v>
      </c>
      <c r="C56" s="9">
        <f>'B) D RI'!U58</f>
        <v>13143.798970588234</v>
      </c>
      <c r="D56" s="35">
        <f>'B) D RI'!AR58</f>
        <v>462</v>
      </c>
      <c r="E56" s="295">
        <f t="shared" si="2"/>
        <v>28.449781321619554</v>
      </c>
      <c r="F56" s="81">
        <f t="shared" si="3"/>
        <v>0.60867645698848272</v>
      </c>
      <c r="G56" s="85">
        <f t="shared" si="4"/>
        <v>0</v>
      </c>
      <c r="H56" s="85">
        <f t="shared" si="5"/>
        <v>0</v>
      </c>
      <c r="I56" s="85">
        <f t="shared" si="6"/>
        <v>0</v>
      </c>
      <c r="J56" s="85">
        <f t="shared" si="7"/>
        <v>0</v>
      </c>
      <c r="K56" s="298">
        <f t="shared" si="0"/>
        <v>0</v>
      </c>
      <c r="L56" s="133">
        <f>K56*D56*'B) D RI'!S58</f>
        <v>0</v>
      </c>
      <c r="M56" s="10">
        <f>(('B) D RI'!S58*C56)-L56)/'B) D RI'!S58</f>
        <v>13143.798970588234</v>
      </c>
      <c r="N56" s="136">
        <f t="shared" si="1"/>
        <v>28.449781321619554</v>
      </c>
      <c r="O56" s="75">
        <f t="shared" si="8"/>
        <v>0.64519200785605613</v>
      </c>
    </row>
    <row r="57" spans="1:18" x14ac:dyDescent="0.25">
      <c r="A57" s="53">
        <f>'A) Base RI'!A59</f>
        <v>5488</v>
      </c>
      <c r="B57" s="54" t="str">
        <f>'A) Base RI'!B59</f>
        <v>Mauraz</v>
      </c>
      <c r="C57" s="9">
        <f>'B) D RI'!U59</f>
        <v>1604.8968918918922</v>
      </c>
      <c r="D57" s="35">
        <f>'B) D RI'!AR59</f>
        <v>53</v>
      </c>
      <c r="E57" s="295">
        <f t="shared" si="2"/>
        <v>30.281073431922493</v>
      </c>
      <c r="F57" s="81">
        <f t="shared" si="3"/>
        <v>0.64785652592500909</v>
      </c>
      <c r="G57" s="85">
        <f t="shared" si="4"/>
        <v>0</v>
      </c>
      <c r="H57" s="85">
        <f t="shared" si="5"/>
        <v>0</v>
      </c>
      <c r="I57" s="85">
        <f t="shared" si="6"/>
        <v>0</v>
      </c>
      <c r="J57" s="85">
        <f t="shared" si="7"/>
        <v>0</v>
      </c>
      <c r="K57" s="298">
        <f t="shared" si="0"/>
        <v>0</v>
      </c>
      <c r="L57" s="133">
        <f>K57*D57*'B) D RI'!S59</f>
        <v>0</v>
      </c>
      <c r="M57" s="10">
        <f>(('B) D RI'!S59*C57)-L57)/'B) D RI'!S59</f>
        <v>1604.8968918918922</v>
      </c>
      <c r="N57" s="136">
        <f t="shared" si="1"/>
        <v>30.281073431922493</v>
      </c>
      <c r="O57" s="75">
        <f t="shared" si="8"/>
        <v>0.68672255672953497</v>
      </c>
    </row>
    <row r="58" spans="1:18" x14ac:dyDescent="0.25">
      <c r="A58" s="53">
        <f>'A) Base RI'!A60</f>
        <v>5489</v>
      </c>
      <c r="B58" s="54" t="str">
        <f>'A) Base RI'!B60</f>
        <v>Mex</v>
      </c>
      <c r="C58" s="9">
        <f>'B) D RI'!U60</f>
        <v>46901.97049180328</v>
      </c>
      <c r="D58" s="35">
        <f>'B) D RI'!AR60</f>
        <v>710</v>
      </c>
      <c r="E58" s="295">
        <f t="shared" si="2"/>
        <v>66.059113368737016</v>
      </c>
      <c r="F58" s="81">
        <f t="shared" si="3"/>
        <v>1.4133193722135229</v>
      </c>
      <c r="G58" s="85">
        <f t="shared" si="4"/>
        <v>9.9706328731139493</v>
      </c>
      <c r="H58" s="85">
        <f t="shared" si="5"/>
        <v>0</v>
      </c>
      <c r="I58" s="85">
        <f t="shared" si="6"/>
        <v>0</v>
      </c>
      <c r="J58" s="85">
        <f t="shared" si="7"/>
        <v>0</v>
      </c>
      <c r="K58" s="298">
        <f t="shared" si="0"/>
        <v>3.5894278343210217</v>
      </c>
      <c r="L58" s="133">
        <f>K58*D58*'B) D RI'!S60</f>
        <v>155458.11950444343</v>
      </c>
      <c r="M58" s="10">
        <f>(('B) D RI'!S60*C58)-L58)/'B) D RI'!S60</f>
        <v>44353.476729435359</v>
      </c>
      <c r="N58" s="136">
        <f t="shared" si="1"/>
        <v>62.469685534416001</v>
      </c>
      <c r="O58" s="75">
        <f t="shared" si="8"/>
        <v>1.4167048029103042</v>
      </c>
    </row>
    <row r="59" spans="1:18" x14ac:dyDescent="0.25">
      <c r="A59" s="53">
        <f>'A) Base RI'!A61</f>
        <v>5490</v>
      </c>
      <c r="B59" s="54" t="str">
        <f>'A) Base RI'!B61</f>
        <v>Moiry</v>
      </c>
      <c r="C59" s="9">
        <f>'B) D RI'!U61</f>
        <v>7445.9272839506175</v>
      </c>
      <c r="D59" s="35">
        <f>'B) D RI'!AR61</f>
        <v>304</v>
      </c>
      <c r="E59" s="295">
        <f t="shared" si="2"/>
        <v>24.493181855100715</v>
      </c>
      <c r="F59" s="81">
        <f t="shared" si="3"/>
        <v>0.52402593128573849</v>
      </c>
      <c r="G59" s="85">
        <f t="shared" si="4"/>
        <v>0</v>
      </c>
      <c r="H59" s="85">
        <f t="shared" si="5"/>
        <v>0</v>
      </c>
      <c r="I59" s="85">
        <f t="shared" si="6"/>
        <v>0</v>
      </c>
      <c r="J59" s="85">
        <f t="shared" si="7"/>
        <v>0</v>
      </c>
      <c r="K59" s="298">
        <f t="shared" si="0"/>
        <v>0</v>
      </c>
      <c r="L59" s="133">
        <f>K59*D59*'B) D RI'!S61</f>
        <v>0</v>
      </c>
      <c r="M59" s="10">
        <f>(('B) D RI'!S61*C59)-L59)/'B) D RI'!S61</f>
        <v>7445.9272839506175</v>
      </c>
      <c r="N59" s="136">
        <f t="shared" si="1"/>
        <v>24.493181855100715</v>
      </c>
      <c r="O59" s="75">
        <f t="shared" si="8"/>
        <v>0.55546315106004296</v>
      </c>
    </row>
    <row r="60" spans="1:18" x14ac:dyDescent="0.25">
      <c r="A60" s="53">
        <f>'A) Base RI'!A62</f>
        <v>5491</v>
      </c>
      <c r="B60" s="54" t="str">
        <f>'A) Base RI'!B62</f>
        <v>Mont-la-Ville</v>
      </c>
      <c r="C60" s="9">
        <f>'B) D RI'!U62</f>
        <v>8756.4323684210522</v>
      </c>
      <c r="D60" s="35">
        <f>'B) D RI'!AR62</f>
        <v>402</v>
      </c>
      <c r="E60" s="295">
        <f t="shared" si="2"/>
        <v>21.782170070699134</v>
      </c>
      <c r="F60" s="81">
        <f t="shared" si="3"/>
        <v>0.46602446445092621</v>
      </c>
      <c r="G60" s="85">
        <f t="shared" si="4"/>
        <v>0</v>
      </c>
      <c r="H60" s="85">
        <f t="shared" si="5"/>
        <v>0</v>
      </c>
      <c r="I60" s="85">
        <f t="shared" si="6"/>
        <v>0</v>
      </c>
      <c r="J60" s="85">
        <f t="shared" si="7"/>
        <v>0</v>
      </c>
      <c r="K60" s="298">
        <f t="shared" si="0"/>
        <v>0</v>
      </c>
      <c r="L60" s="133">
        <f>K60*D60*'B) D RI'!S62</f>
        <v>0</v>
      </c>
      <c r="M60" s="10">
        <f>(('B) D RI'!S62*C60)-L60)/'B) D RI'!S62</f>
        <v>8756.4323684210522</v>
      </c>
      <c r="N60" s="136">
        <f t="shared" si="1"/>
        <v>21.782170070699134</v>
      </c>
      <c r="O60" s="75">
        <f t="shared" si="8"/>
        <v>0.49398207615384354</v>
      </c>
    </row>
    <row r="61" spans="1:18" x14ac:dyDescent="0.25">
      <c r="A61" s="53">
        <f>'A) Base RI'!A63</f>
        <v>5492</v>
      </c>
      <c r="B61" s="54" t="str">
        <f>'A) Base RI'!B63</f>
        <v>Montricher</v>
      </c>
      <c r="C61" s="9">
        <f>'B) D RI'!U63</f>
        <v>201844.58625000002</v>
      </c>
      <c r="D61" s="35">
        <f>'B) D RI'!AR63</f>
        <v>951</v>
      </c>
      <c r="E61" s="295">
        <f t="shared" ref="E61:E115" si="9">C61/D61</f>
        <v>212.24457018927447</v>
      </c>
      <c r="F61" s="81">
        <f>E61/$E$323</f>
        <v>4.5409232337289769</v>
      </c>
      <c r="G61" s="85">
        <f>IF(E61-$G$2&lt;0,0,E61-$G$2)</f>
        <v>156.15608969365141</v>
      </c>
      <c r="H61" s="85">
        <f t="shared" si="5"/>
        <v>142.13396956974563</v>
      </c>
      <c r="I61" s="85">
        <f t="shared" si="6"/>
        <v>118.76376936323602</v>
      </c>
      <c r="J61" s="85">
        <f t="shared" si="7"/>
        <v>72.023368950216792</v>
      </c>
      <c r="K61" s="298">
        <f t="shared" si="0"/>
        <v>89.508303078034359</v>
      </c>
      <c r="L61" s="133">
        <f>K61*D61*'B) D RI'!S63</f>
        <v>5447833.3585414831</v>
      </c>
      <c r="M61" s="10">
        <f>(('B) D RI'!S63*C61)-L61)/'B) D RI'!S63</f>
        <v>116722.19002278935</v>
      </c>
      <c r="N61" s="136">
        <f t="shared" si="1"/>
        <v>122.73626711124011</v>
      </c>
      <c r="O61" s="75">
        <f t="shared" si="8"/>
        <v>2.78344700505945</v>
      </c>
      <c r="P61" s="6"/>
      <c r="Q61" s="39"/>
      <c r="R61" s="6"/>
    </row>
    <row r="62" spans="1:18" x14ac:dyDescent="0.25">
      <c r="A62" s="53">
        <f>'A) Base RI'!A64</f>
        <v>5493</v>
      </c>
      <c r="B62" s="54" t="str">
        <f>'A) Base RI'!B64</f>
        <v>Orny</v>
      </c>
      <c r="C62" s="9">
        <f>'B) D RI'!U64</f>
        <v>9079.112581664911</v>
      </c>
      <c r="D62" s="35">
        <f>'B) D RI'!AR64</f>
        <v>371</v>
      </c>
      <c r="E62" s="295">
        <f t="shared" si="9"/>
        <v>24.472001567829949</v>
      </c>
      <c r="F62" s="81">
        <f t="shared" si="3"/>
        <v>0.52357278396385831</v>
      </c>
      <c r="G62" s="85">
        <f t="shared" si="4"/>
        <v>0</v>
      </c>
      <c r="H62" s="85">
        <f t="shared" si="5"/>
        <v>0</v>
      </c>
      <c r="I62" s="85">
        <f t="shared" si="6"/>
        <v>0</v>
      </c>
      <c r="J62" s="85">
        <f t="shared" si="7"/>
        <v>0</v>
      </c>
      <c r="K62" s="298">
        <f t="shared" si="0"/>
        <v>0</v>
      </c>
      <c r="L62" s="133">
        <f>K62*D62*'B) D RI'!S64</f>
        <v>0</v>
      </c>
      <c r="M62" s="10">
        <f>(('B) D RI'!S64*C62)-L62)/'B) D RI'!S64</f>
        <v>9079.112581664911</v>
      </c>
      <c r="N62" s="136">
        <f t="shared" si="1"/>
        <v>24.472001567829949</v>
      </c>
      <c r="O62" s="75">
        <f t="shared" si="8"/>
        <v>0.554982818648461</v>
      </c>
    </row>
    <row r="63" spans="1:18" x14ac:dyDescent="0.25">
      <c r="A63" s="53">
        <f>'A) Base RI'!A65</f>
        <v>5494</v>
      </c>
      <c r="B63" s="54" t="str">
        <f>'A) Base RI'!B65</f>
        <v>Pampigny</v>
      </c>
      <c r="C63" s="9">
        <f>'B) D RI'!U65</f>
        <v>36797.992425396827</v>
      </c>
      <c r="D63" s="35">
        <f>'B) D RI'!AR65</f>
        <v>1116</v>
      </c>
      <c r="E63" s="295">
        <f t="shared" si="9"/>
        <v>32.973111492291061</v>
      </c>
      <c r="F63" s="81">
        <f t="shared" si="3"/>
        <v>0.70545205434540148</v>
      </c>
      <c r="G63" s="85">
        <f t="shared" si="4"/>
        <v>0</v>
      </c>
      <c r="H63" s="85">
        <f t="shared" si="5"/>
        <v>0</v>
      </c>
      <c r="I63" s="85">
        <f t="shared" si="6"/>
        <v>0</v>
      </c>
      <c r="J63" s="85">
        <f t="shared" si="7"/>
        <v>0</v>
      </c>
      <c r="K63" s="298">
        <f t="shared" si="0"/>
        <v>0</v>
      </c>
      <c r="L63" s="133">
        <f>K63*D63*'B) D RI'!S65</f>
        <v>0</v>
      </c>
      <c r="M63" s="10">
        <f>(('B) D RI'!S65*C63)-L63)/'B) D RI'!S65</f>
        <v>36797.992425396827</v>
      </c>
      <c r="N63" s="136">
        <f t="shared" si="1"/>
        <v>32.973111492291061</v>
      </c>
      <c r="O63" s="75">
        <f t="shared" si="8"/>
        <v>0.74777334027542564</v>
      </c>
    </row>
    <row r="64" spans="1:18" x14ac:dyDescent="0.25">
      <c r="A64" s="53">
        <f>'A) Base RI'!A66</f>
        <v>5495</v>
      </c>
      <c r="B64" s="54" t="str">
        <f>'A) Base RI'!B66</f>
        <v>Penthalaz</v>
      </c>
      <c r="C64" s="9">
        <f>'B) D RI'!U66</f>
        <v>99436.02810810809</v>
      </c>
      <c r="D64" s="35">
        <f>'B) D RI'!AR66</f>
        <v>3252</v>
      </c>
      <c r="E64" s="295">
        <f t="shared" si="9"/>
        <v>30.57688441208736</v>
      </c>
      <c r="F64" s="81">
        <f t="shared" si="3"/>
        <v>0.6541853330715236</v>
      </c>
      <c r="G64" s="85">
        <f t="shared" si="4"/>
        <v>0</v>
      </c>
      <c r="H64" s="85">
        <f t="shared" si="5"/>
        <v>0</v>
      </c>
      <c r="I64" s="85">
        <f t="shared" si="6"/>
        <v>0</v>
      </c>
      <c r="J64" s="85">
        <f t="shared" si="7"/>
        <v>0</v>
      </c>
      <c r="K64" s="298">
        <f t="shared" si="0"/>
        <v>0</v>
      </c>
      <c r="L64" s="133">
        <f>K64*D64*'B) D RI'!S66</f>
        <v>0</v>
      </c>
      <c r="M64" s="10">
        <f>(('B) D RI'!S66*C64)-L64)/'B) D RI'!S66</f>
        <v>99436.02810810809</v>
      </c>
      <c r="N64" s="136">
        <f t="shared" si="1"/>
        <v>30.57688441208736</v>
      </c>
      <c r="O64" s="75">
        <f t="shared" si="8"/>
        <v>0.69343103993651856</v>
      </c>
    </row>
    <row r="65" spans="1:15" x14ac:dyDescent="0.25">
      <c r="A65" s="53">
        <f>'A) Base RI'!A67</f>
        <v>5496</v>
      </c>
      <c r="B65" s="54" t="str">
        <f>'A) Base RI'!B67</f>
        <v>Penthaz</v>
      </c>
      <c r="C65" s="9">
        <f>'B) D RI'!U67</f>
        <v>52905.64732394366</v>
      </c>
      <c r="D65" s="35">
        <f>'B) D RI'!AR67</f>
        <v>1703</v>
      </c>
      <c r="E65" s="295">
        <f t="shared" si="9"/>
        <v>31.066146402785474</v>
      </c>
      <c r="F65" s="81">
        <f t="shared" si="3"/>
        <v>0.66465297961230574</v>
      </c>
      <c r="G65" s="85">
        <f t="shared" si="4"/>
        <v>0</v>
      </c>
      <c r="H65" s="85">
        <f t="shared" si="5"/>
        <v>0</v>
      </c>
      <c r="I65" s="85">
        <f t="shared" si="6"/>
        <v>0</v>
      </c>
      <c r="J65" s="85">
        <f t="shared" si="7"/>
        <v>0</v>
      </c>
      <c r="K65" s="298">
        <f t="shared" si="0"/>
        <v>0</v>
      </c>
      <c r="L65" s="133">
        <f>K65*D65*'B) D RI'!S67</f>
        <v>0</v>
      </c>
      <c r="M65" s="10">
        <f>(('B) D RI'!S67*C65)-L65)/'B) D RI'!S67</f>
        <v>52905.64732394366</v>
      </c>
      <c r="N65" s="136">
        <f t="shared" si="1"/>
        <v>31.066146402785474</v>
      </c>
      <c r="O65" s="75">
        <f t="shared" si="8"/>
        <v>0.70452665865420216</v>
      </c>
    </row>
    <row r="66" spans="1:15" x14ac:dyDescent="0.25">
      <c r="A66" s="53">
        <f>'A) Base RI'!A68</f>
        <v>5497</v>
      </c>
      <c r="B66" s="54" t="str">
        <f>'A) Base RI'!B68</f>
        <v>Pompaples</v>
      </c>
      <c r="C66" s="9">
        <f>'B) D RI'!U68</f>
        <v>22272.608181818188</v>
      </c>
      <c r="D66" s="35">
        <f>'B) D RI'!AR68</f>
        <v>859</v>
      </c>
      <c r="E66" s="295">
        <f t="shared" si="9"/>
        <v>25.928531061487995</v>
      </c>
      <c r="F66" s="81">
        <f t="shared" si="3"/>
        <v>0.55473489384711772</v>
      </c>
      <c r="G66" s="85">
        <f t="shared" si="4"/>
        <v>0</v>
      </c>
      <c r="H66" s="85">
        <f t="shared" si="5"/>
        <v>0</v>
      </c>
      <c r="I66" s="85">
        <f t="shared" si="6"/>
        <v>0</v>
      </c>
      <c r="J66" s="85">
        <f t="shared" si="7"/>
        <v>0</v>
      </c>
      <c r="K66" s="298">
        <f t="shared" si="0"/>
        <v>0</v>
      </c>
      <c r="L66" s="133">
        <f>K66*D66*'B) D RI'!S68</f>
        <v>0</v>
      </c>
      <c r="M66" s="10">
        <f>(('B) D RI'!S68*C66)-L66)/'B) D RI'!S68</f>
        <v>22272.608181818188</v>
      </c>
      <c r="N66" s="136">
        <f t="shared" si="1"/>
        <v>25.928531061487995</v>
      </c>
      <c r="O66" s="75">
        <f t="shared" si="8"/>
        <v>0.58801439727084825</v>
      </c>
    </row>
    <row r="67" spans="1:15" x14ac:dyDescent="0.25">
      <c r="A67" s="53">
        <f>'A) Base RI'!A69</f>
        <v>5498</v>
      </c>
      <c r="B67" s="54" t="str">
        <f>'A) Base RI'!B69</f>
        <v>La Sarraz</v>
      </c>
      <c r="C67" s="9">
        <f>'B) D RI'!U69</f>
        <v>73804.61909090908</v>
      </c>
      <c r="D67" s="35">
        <f>'B) D RI'!AR69</f>
        <v>2567</v>
      </c>
      <c r="E67" s="295">
        <f t="shared" si="9"/>
        <v>28.751312462372059</v>
      </c>
      <c r="F67" s="81">
        <f t="shared" si="3"/>
        <v>0.61512764564086997</v>
      </c>
      <c r="G67" s="85">
        <f t="shared" si="4"/>
        <v>0</v>
      </c>
      <c r="H67" s="85">
        <f t="shared" si="5"/>
        <v>0</v>
      </c>
      <c r="I67" s="85">
        <f t="shared" si="6"/>
        <v>0</v>
      </c>
      <c r="J67" s="85">
        <f t="shared" si="7"/>
        <v>0</v>
      </c>
      <c r="K67" s="298">
        <f t="shared" si="0"/>
        <v>0</v>
      </c>
      <c r="L67" s="133">
        <f>K67*D67*'B) D RI'!S69</f>
        <v>0</v>
      </c>
      <c r="M67" s="10">
        <f>(('B) D RI'!S69*C67)-L67)/'B) D RI'!S69</f>
        <v>73804.61909090908</v>
      </c>
      <c r="N67" s="136">
        <f t="shared" si="1"/>
        <v>28.751312462372059</v>
      </c>
      <c r="O67" s="75">
        <f t="shared" si="8"/>
        <v>0.65203021444660725</v>
      </c>
    </row>
    <row r="68" spans="1:15" x14ac:dyDescent="0.25">
      <c r="A68" s="53">
        <f>'A) Base RI'!A70</f>
        <v>5499</v>
      </c>
      <c r="B68" s="54" t="str">
        <f>'A) Base RI'!B70</f>
        <v>Senarclens</v>
      </c>
      <c r="C68" s="9">
        <f>'B) D RI'!U70</f>
        <v>18585.936788321167</v>
      </c>
      <c r="D68" s="35">
        <f>'B) D RI'!AR70</f>
        <v>459</v>
      </c>
      <c r="E68" s="295">
        <f t="shared" si="9"/>
        <v>40.492237011592955</v>
      </c>
      <c r="F68" s="81">
        <f t="shared" si="3"/>
        <v>0.86632199668349685</v>
      </c>
      <c r="G68" s="85">
        <f t="shared" si="4"/>
        <v>0</v>
      </c>
      <c r="H68" s="85">
        <f t="shared" si="5"/>
        <v>0</v>
      </c>
      <c r="I68" s="85">
        <f t="shared" si="6"/>
        <v>0</v>
      </c>
      <c r="J68" s="85">
        <f t="shared" si="7"/>
        <v>0</v>
      </c>
      <c r="K68" s="298">
        <f t="shared" si="0"/>
        <v>0</v>
      </c>
      <c r="L68" s="133">
        <f>K68*D68*'B) D RI'!S70</f>
        <v>0</v>
      </c>
      <c r="M68" s="10">
        <f>(('B) D RI'!S70*C68)-L68)/'B) D RI'!S70</f>
        <v>18585.936788321167</v>
      </c>
      <c r="N68" s="136">
        <f t="shared" si="1"/>
        <v>40.492237011592955</v>
      </c>
      <c r="O68" s="75">
        <f t="shared" si="8"/>
        <v>0.91829414802003628</v>
      </c>
    </row>
    <row r="69" spans="1:15" x14ac:dyDescent="0.25">
      <c r="A69" s="53">
        <f>'A) Base RI'!A71</f>
        <v>5500</v>
      </c>
      <c r="B69" s="54" t="str">
        <f>'A) Base RI'!B71</f>
        <v>Sévery</v>
      </c>
      <c r="C69" s="9">
        <f>'B) D RI'!U71</f>
        <v>8028.7526973684207</v>
      </c>
      <c r="D69" s="35">
        <f>'B) D RI'!AR71</f>
        <v>243</v>
      </c>
      <c r="E69" s="295">
        <f t="shared" si="9"/>
        <v>33.040134557071688</v>
      </c>
      <c r="F69" s="81">
        <f t="shared" si="3"/>
        <v>0.70688599723395995</v>
      </c>
      <c r="G69" s="85">
        <f t="shared" si="4"/>
        <v>0</v>
      </c>
      <c r="H69" s="85">
        <f t="shared" si="5"/>
        <v>0</v>
      </c>
      <c r="I69" s="85">
        <f t="shared" si="6"/>
        <v>0</v>
      </c>
      <c r="J69" s="85">
        <f t="shared" si="7"/>
        <v>0</v>
      </c>
      <c r="K69" s="298">
        <f t="shared" ref="K69:K132" si="10">(G69-H69)*$G$3+(H69-I69)*$H$3+(I69-J69)*$I$3+(J69*$J$3)</f>
        <v>0</v>
      </c>
      <c r="L69" s="133">
        <f>K69*D69*'B) D RI'!S71</f>
        <v>0</v>
      </c>
      <c r="M69" s="10">
        <f>(('B) D RI'!S71*C69)-L69)/'B) D RI'!S71</f>
        <v>8028.7526973684207</v>
      </c>
      <c r="N69" s="136">
        <f t="shared" ref="N69:N132" si="11">M69/D69</f>
        <v>33.040134557071688</v>
      </c>
      <c r="O69" s="75">
        <f t="shared" ref="O69:O132" si="12">N69/N$323</f>
        <v>0.74929330787199977</v>
      </c>
    </row>
    <row r="70" spans="1:15" x14ac:dyDescent="0.25">
      <c r="A70" s="53">
        <f>'A) Base RI'!A72</f>
        <v>5501</v>
      </c>
      <c r="B70" s="54" t="str">
        <f>'A) Base RI'!B72</f>
        <v>Sullens</v>
      </c>
      <c r="C70" s="9">
        <f>'B) D RI'!U72</f>
        <v>35737.650142857143</v>
      </c>
      <c r="D70" s="35">
        <f>'B) D RI'!AR72</f>
        <v>978</v>
      </c>
      <c r="E70" s="295">
        <f t="shared" si="9"/>
        <v>36.541564563248613</v>
      </c>
      <c r="F70" s="81">
        <f t="shared" ref="F70:F133" si="13">E70/$E$323</f>
        <v>0.78179827815660319</v>
      </c>
      <c r="G70" s="85">
        <f t="shared" ref="G70:G133" si="14">IF(E70-$G$2&lt;0,0,E70-$G$2)</f>
        <v>0</v>
      </c>
      <c r="H70" s="85">
        <f t="shared" ref="H70:H133" si="15">IF(E70-$H$2&lt;0,0,E70-$H$2)</f>
        <v>0</v>
      </c>
      <c r="I70" s="85">
        <f t="shared" ref="I70:I133" si="16">IF(E70-$I$2&lt;0,0,E70-$I$2)</f>
        <v>0</v>
      </c>
      <c r="J70" s="85">
        <f t="shared" ref="J70:J133" si="17">IF(E70-$J$2&lt;0,0,E70-$J$2)</f>
        <v>0</v>
      </c>
      <c r="K70" s="298">
        <f t="shared" si="10"/>
        <v>0</v>
      </c>
      <c r="L70" s="133">
        <f>K70*D70*'B) D RI'!S72</f>
        <v>0</v>
      </c>
      <c r="M70" s="10">
        <f>(('B) D RI'!S72*C70)-L70)/'B) D RI'!S72</f>
        <v>35737.650142857143</v>
      </c>
      <c r="N70" s="136">
        <f t="shared" si="11"/>
        <v>36.541564563248613</v>
      </c>
      <c r="O70" s="75">
        <f t="shared" si="12"/>
        <v>0.82869970578114649</v>
      </c>
    </row>
    <row r="71" spans="1:15" x14ac:dyDescent="0.25">
      <c r="A71" s="53">
        <f>'A) Base RI'!A73</f>
        <v>5503</v>
      </c>
      <c r="B71" s="54" t="str">
        <f>'A) Base RI'!B73</f>
        <v>Vufflens-la-Ville</v>
      </c>
      <c r="C71" s="9">
        <f>'B) D RI'!U73</f>
        <v>64927.66542288557</v>
      </c>
      <c r="D71" s="35">
        <f>'B) D RI'!AR73</f>
        <v>1252</v>
      </c>
      <c r="E71" s="295">
        <f t="shared" si="9"/>
        <v>51.859157686010839</v>
      </c>
      <c r="F71" s="81">
        <f t="shared" si="13"/>
        <v>1.1095146217781613</v>
      </c>
      <c r="G71" s="85">
        <f t="shared" si="14"/>
        <v>0</v>
      </c>
      <c r="H71" s="85">
        <f t="shared" si="15"/>
        <v>0</v>
      </c>
      <c r="I71" s="85">
        <f t="shared" si="16"/>
        <v>0</v>
      </c>
      <c r="J71" s="85">
        <f t="shared" si="17"/>
        <v>0</v>
      </c>
      <c r="K71" s="298">
        <f t="shared" si="10"/>
        <v>0</v>
      </c>
      <c r="L71" s="133">
        <f>K71*D71*'B) D RI'!S73</f>
        <v>0</v>
      </c>
      <c r="M71" s="10">
        <f>(('B) D RI'!S73*C71)-L71)/'B) D RI'!S73</f>
        <v>64927.66542288557</v>
      </c>
      <c r="N71" s="136">
        <f t="shared" si="11"/>
        <v>51.859157686010839</v>
      </c>
      <c r="O71" s="75">
        <f t="shared" si="12"/>
        <v>1.1760763182996741</v>
      </c>
    </row>
    <row r="72" spans="1:15" x14ac:dyDescent="0.25">
      <c r="A72" s="53">
        <f>'A) Base RI'!A74</f>
        <v>5511</v>
      </c>
      <c r="B72" s="54" t="str">
        <f>'A) Base RI'!B74</f>
        <v>Assens</v>
      </c>
      <c r="C72" s="9">
        <f>'B) D RI'!U74</f>
        <v>39993.346428571429</v>
      </c>
      <c r="D72" s="35">
        <f>'B) D RI'!AR74</f>
        <v>1060</v>
      </c>
      <c r="E72" s="295">
        <f t="shared" si="9"/>
        <v>37.729572102425877</v>
      </c>
      <c r="F72" s="81">
        <f t="shared" si="13"/>
        <v>0.8072154232533395</v>
      </c>
      <c r="G72" s="85">
        <f t="shared" si="14"/>
        <v>0</v>
      </c>
      <c r="H72" s="85">
        <f t="shared" si="15"/>
        <v>0</v>
      </c>
      <c r="I72" s="85">
        <f t="shared" si="16"/>
        <v>0</v>
      </c>
      <c r="J72" s="85">
        <f t="shared" si="17"/>
        <v>0</v>
      </c>
      <c r="K72" s="298">
        <f t="shared" si="10"/>
        <v>0</v>
      </c>
      <c r="L72" s="133">
        <f>K72*D72*'B) D RI'!S74</f>
        <v>0</v>
      </c>
      <c r="M72" s="10">
        <f>(('B) D RI'!S74*C72)-L72)/'B) D RI'!S74</f>
        <v>39993.346428571429</v>
      </c>
      <c r="N72" s="136">
        <f t="shared" si="11"/>
        <v>37.729572102425877</v>
      </c>
      <c r="O72" s="75">
        <f t="shared" si="12"/>
        <v>0.85564166926708152</v>
      </c>
    </row>
    <row r="73" spans="1:15" x14ac:dyDescent="0.25">
      <c r="A73" s="53">
        <f>'A) Base RI'!A75</f>
        <v>5512</v>
      </c>
      <c r="B73" s="54" t="str">
        <f>'A) Base RI'!B75</f>
        <v>Bercher</v>
      </c>
      <c r="C73" s="9">
        <f>'B) D RI'!U75</f>
        <v>35096.262278481016</v>
      </c>
      <c r="D73" s="35">
        <f>'B) D RI'!AR75</f>
        <v>1157</v>
      </c>
      <c r="E73" s="295">
        <f t="shared" si="9"/>
        <v>30.333848123146947</v>
      </c>
      <c r="F73" s="81">
        <f t="shared" si="13"/>
        <v>0.64898562817398664</v>
      </c>
      <c r="G73" s="85">
        <f t="shared" si="14"/>
        <v>0</v>
      </c>
      <c r="H73" s="85">
        <f t="shared" si="15"/>
        <v>0</v>
      </c>
      <c r="I73" s="85">
        <f t="shared" si="16"/>
        <v>0</v>
      </c>
      <c r="J73" s="85">
        <f t="shared" si="17"/>
        <v>0</v>
      </c>
      <c r="K73" s="298">
        <f t="shared" si="10"/>
        <v>0</v>
      </c>
      <c r="L73" s="133">
        <f>K73*D73*'B) D RI'!S75</f>
        <v>0</v>
      </c>
      <c r="M73" s="10">
        <f>(('B) D RI'!S75*C73)-L73)/'B) D RI'!S75</f>
        <v>35096.262278481016</v>
      </c>
      <c r="N73" s="136">
        <f t="shared" si="11"/>
        <v>30.333848123146947</v>
      </c>
      <c r="O73" s="75">
        <f t="shared" si="12"/>
        <v>0.68791939577058636</v>
      </c>
    </row>
    <row r="74" spans="1:15" x14ac:dyDescent="0.25">
      <c r="A74" s="53">
        <f>'A) Base RI'!A76</f>
        <v>5513</v>
      </c>
      <c r="B74" s="54" t="str">
        <f>'A) Base RI'!B76</f>
        <v>Bioley-Orjulaz</v>
      </c>
      <c r="C74" s="9">
        <f>'B) D RI'!U76</f>
        <v>22441.228030303031</v>
      </c>
      <c r="D74" s="35">
        <f>'B) D RI'!AR76</f>
        <v>483</v>
      </c>
      <c r="E74" s="295">
        <f t="shared" si="9"/>
        <v>46.462169834995926</v>
      </c>
      <c r="F74" s="81">
        <f t="shared" si="13"/>
        <v>0.9940473214699761</v>
      </c>
      <c r="G74" s="85">
        <f t="shared" si="14"/>
        <v>0</v>
      </c>
      <c r="H74" s="85">
        <f t="shared" si="15"/>
        <v>0</v>
      </c>
      <c r="I74" s="85">
        <f t="shared" si="16"/>
        <v>0</v>
      </c>
      <c r="J74" s="85">
        <f t="shared" si="17"/>
        <v>0</v>
      </c>
      <c r="K74" s="298">
        <f t="shared" si="10"/>
        <v>0</v>
      </c>
      <c r="L74" s="133">
        <f>K74*D74*'B) D RI'!S76</f>
        <v>0</v>
      </c>
      <c r="M74" s="10">
        <f>(('B) D RI'!S76*C74)-L74)/'B) D RI'!S76</f>
        <v>22441.228030303031</v>
      </c>
      <c r="N74" s="136">
        <f t="shared" si="11"/>
        <v>46.462169834995926</v>
      </c>
      <c r="O74" s="75">
        <f t="shared" si="12"/>
        <v>1.0536819354182512</v>
      </c>
    </row>
    <row r="75" spans="1:15" x14ac:dyDescent="0.25">
      <c r="A75" s="53">
        <f>'A) Base RI'!A77</f>
        <v>5514</v>
      </c>
      <c r="B75" s="54" t="str">
        <f>'A) Base RI'!B77</f>
        <v>Bottens</v>
      </c>
      <c r="C75" s="9">
        <f>'B) D RI'!U77</f>
        <v>40579.944927536235</v>
      </c>
      <c r="D75" s="35">
        <f>'B) D RI'!AR77</f>
        <v>1240</v>
      </c>
      <c r="E75" s="295">
        <f t="shared" si="9"/>
        <v>32.725762038335674</v>
      </c>
      <c r="F75" s="81">
        <f t="shared" si="13"/>
        <v>0.7001600702851517</v>
      </c>
      <c r="G75" s="85">
        <f t="shared" si="14"/>
        <v>0</v>
      </c>
      <c r="H75" s="85">
        <f t="shared" si="15"/>
        <v>0</v>
      </c>
      <c r="I75" s="85">
        <f t="shared" si="16"/>
        <v>0</v>
      </c>
      <c r="J75" s="85">
        <f t="shared" si="17"/>
        <v>0</v>
      </c>
      <c r="K75" s="298">
        <f t="shared" si="10"/>
        <v>0</v>
      </c>
      <c r="L75" s="133">
        <f>K75*D75*'B) D RI'!S77</f>
        <v>0</v>
      </c>
      <c r="M75" s="10">
        <f>(('B) D RI'!S77*C75)-L75)/'B) D RI'!S77</f>
        <v>40579.944927536235</v>
      </c>
      <c r="N75" s="136">
        <f t="shared" si="11"/>
        <v>32.725762038335674</v>
      </c>
      <c r="O75" s="75">
        <f t="shared" si="12"/>
        <v>0.74216388096059083</v>
      </c>
    </row>
    <row r="76" spans="1:15" x14ac:dyDescent="0.25">
      <c r="A76" s="53">
        <f>'A) Base RI'!A78</f>
        <v>5515</v>
      </c>
      <c r="B76" s="54" t="str">
        <f>'A) Base RI'!B78</f>
        <v>Bretigny-sur-Morrens</v>
      </c>
      <c r="C76" s="9">
        <f>'B) D RI'!U78</f>
        <v>25654.980410958906</v>
      </c>
      <c r="D76" s="35">
        <f>'B) D RI'!AR78</f>
        <v>817</v>
      </c>
      <c r="E76" s="295">
        <f t="shared" si="9"/>
        <v>31.40144481145521</v>
      </c>
      <c r="F76" s="81">
        <f t="shared" si="13"/>
        <v>0.67182661111111386</v>
      </c>
      <c r="G76" s="85">
        <f t="shared" si="14"/>
        <v>0</v>
      </c>
      <c r="H76" s="85">
        <f t="shared" si="15"/>
        <v>0</v>
      </c>
      <c r="I76" s="85">
        <f t="shared" si="16"/>
        <v>0</v>
      </c>
      <c r="J76" s="85">
        <f t="shared" si="17"/>
        <v>0</v>
      </c>
      <c r="K76" s="298">
        <f t="shared" si="10"/>
        <v>0</v>
      </c>
      <c r="L76" s="133">
        <f>K76*D76*'B) D RI'!S78</f>
        <v>0</v>
      </c>
      <c r="M76" s="10">
        <f>(('B) D RI'!S78*C76)-L76)/'B) D RI'!S78</f>
        <v>25654.980410958906</v>
      </c>
      <c r="N76" s="136">
        <f t="shared" si="11"/>
        <v>31.40144481145521</v>
      </c>
      <c r="O76" s="75">
        <f t="shared" si="12"/>
        <v>0.71213064868403664</v>
      </c>
    </row>
    <row r="77" spans="1:15" x14ac:dyDescent="0.25">
      <c r="A77" s="53">
        <f>'A) Base RI'!A79</f>
        <v>5516</v>
      </c>
      <c r="B77" s="54" t="str">
        <f>'A) Base RI'!B79</f>
        <v>Cugy</v>
      </c>
      <c r="C77" s="9">
        <f>'B) D RI'!U79</f>
        <v>107712.55485714282</v>
      </c>
      <c r="D77" s="35">
        <f>'B) D RI'!AR79</f>
        <v>2739</v>
      </c>
      <c r="E77" s="295">
        <f t="shared" si="9"/>
        <v>39.325503781359188</v>
      </c>
      <c r="F77" s="81">
        <f t="shared" si="13"/>
        <v>0.84136001048046938</v>
      </c>
      <c r="G77" s="85">
        <f t="shared" si="14"/>
        <v>0</v>
      </c>
      <c r="H77" s="85">
        <f t="shared" si="15"/>
        <v>0</v>
      </c>
      <c r="I77" s="85">
        <f t="shared" si="16"/>
        <v>0</v>
      </c>
      <c r="J77" s="85">
        <f t="shared" si="17"/>
        <v>0</v>
      </c>
      <c r="K77" s="298">
        <f t="shared" si="10"/>
        <v>0</v>
      </c>
      <c r="L77" s="133">
        <f>K77*D77*'B) D RI'!S79</f>
        <v>0</v>
      </c>
      <c r="M77" s="10">
        <f>(('B) D RI'!S79*C77)-L77)/'B) D RI'!S79</f>
        <v>107712.55485714282</v>
      </c>
      <c r="N77" s="136">
        <f t="shared" si="11"/>
        <v>39.325503781359188</v>
      </c>
      <c r="O77" s="75">
        <f t="shared" si="12"/>
        <v>0.89183464919517663</v>
      </c>
    </row>
    <row r="78" spans="1:15" x14ac:dyDescent="0.25">
      <c r="A78" s="53">
        <f>'A) Base RI'!A80</f>
        <v>5518</v>
      </c>
      <c r="B78" s="54" t="str">
        <f>'A) Base RI'!B80</f>
        <v>Echallens</v>
      </c>
      <c r="C78" s="9">
        <f>'B) D RI'!U80</f>
        <v>187267.45324324328</v>
      </c>
      <c r="D78" s="35">
        <f>'B) D RI'!AR80</f>
        <v>5677</v>
      </c>
      <c r="E78" s="295">
        <f t="shared" si="9"/>
        <v>32.987044784788317</v>
      </c>
      <c r="F78" s="81">
        <f t="shared" si="13"/>
        <v>0.7057501538989811</v>
      </c>
      <c r="G78" s="85">
        <f t="shared" si="14"/>
        <v>0</v>
      </c>
      <c r="H78" s="85">
        <f t="shared" si="15"/>
        <v>0</v>
      </c>
      <c r="I78" s="85">
        <f t="shared" si="16"/>
        <v>0</v>
      </c>
      <c r="J78" s="85">
        <f t="shared" si="17"/>
        <v>0</v>
      </c>
      <c r="K78" s="298">
        <f t="shared" si="10"/>
        <v>0</v>
      </c>
      <c r="L78" s="133">
        <f>K78*D78*'B) D RI'!S80</f>
        <v>0</v>
      </c>
      <c r="M78" s="10">
        <f>(('B) D RI'!S80*C78)-L78)/'B) D RI'!S80</f>
        <v>187267.45324324328</v>
      </c>
      <c r="N78" s="136">
        <f t="shared" si="11"/>
        <v>32.987044784788317</v>
      </c>
      <c r="O78" s="75">
        <f t="shared" si="12"/>
        <v>0.74808932333556677</v>
      </c>
    </row>
    <row r="79" spans="1:15" x14ac:dyDescent="0.25">
      <c r="A79" s="53">
        <f>'A) Base RI'!A81</f>
        <v>5520</v>
      </c>
      <c r="B79" s="54" t="str">
        <f>'A) Base RI'!B81</f>
        <v>Essertines-sur-Yverdon</v>
      </c>
      <c r="C79" s="9">
        <f>'B) D RI'!U81</f>
        <v>28096.496575342466</v>
      </c>
      <c r="D79" s="35">
        <f>'B) D RI'!AR81</f>
        <v>943</v>
      </c>
      <c r="E79" s="295">
        <f t="shared" si="9"/>
        <v>29.79480018594111</v>
      </c>
      <c r="F79" s="81">
        <f t="shared" si="13"/>
        <v>0.63745282288257776</v>
      </c>
      <c r="G79" s="85">
        <f t="shared" si="14"/>
        <v>0</v>
      </c>
      <c r="H79" s="85">
        <f t="shared" si="15"/>
        <v>0</v>
      </c>
      <c r="I79" s="85">
        <f t="shared" si="16"/>
        <v>0</v>
      </c>
      <c r="J79" s="85">
        <f t="shared" si="17"/>
        <v>0</v>
      </c>
      <c r="K79" s="298">
        <f t="shared" si="10"/>
        <v>0</v>
      </c>
      <c r="L79" s="133">
        <f>K79*D79*'B) D RI'!S81</f>
        <v>0</v>
      </c>
      <c r="M79" s="10">
        <f>(('B) D RI'!S81*C79)-L79)/'B) D RI'!S81</f>
        <v>28096.496575342466</v>
      </c>
      <c r="N79" s="136">
        <f t="shared" si="11"/>
        <v>29.79480018594111</v>
      </c>
      <c r="O79" s="75">
        <f t="shared" si="12"/>
        <v>0.67569471759099675</v>
      </c>
    </row>
    <row r="80" spans="1:15" x14ac:dyDescent="0.25">
      <c r="A80" s="53">
        <f>'A) Base RI'!A82</f>
        <v>5521</v>
      </c>
      <c r="B80" s="54" t="str">
        <f>'A) Base RI'!B82</f>
        <v>Etagnières</v>
      </c>
      <c r="C80" s="9">
        <f>'B) D RI'!U82</f>
        <v>40658.047260273968</v>
      </c>
      <c r="D80" s="35">
        <f>'B) D RI'!AR82</f>
        <v>1118</v>
      </c>
      <c r="E80" s="295">
        <f t="shared" si="9"/>
        <v>36.366768569118037</v>
      </c>
      <c r="F80" s="81">
        <f t="shared" si="13"/>
        <v>0.77805855850110173</v>
      </c>
      <c r="G80" s="85">
        <f t="shared" si="14"/>
        <v>0</v>
      </c>
      <c r="H80" s="85">
        <f t="shared" si="15"/>
        <v>0</v>
      </c>
      <c r="I80" s="85">
        <f t="shared" si="16"/>
        <v>0</v>
      </c>
      <c r="J80" s="85">
        <f t="shared" si="17"/>
        <v>0</v>
      </c>
      <c r="K80" s="298">
        <f t="shared" si="10"/>
        <v>0</v>
      </c>
      <c r="L80" s="133">
        <f>K80*D80*'B) D RI'!S82</f>
        <v>0</v>
      </c>
      <c r="M80" s="10">
        <f>(('B) D RI'!S82*C80)-L80)/'B) D RI'!S82</f>
        <v>40658.047260273968</v>
      </c>
      <c r="N80" s="136">
        <f t="shared" si="11"/>
        <v>36.366768569118037</v>
      </c>
      <c r="O80" s="75">
        <f t="shared" si="12"/>
        <v>0.82473563389098403</v>
      </c>
    </row>
    <row r="81" spans="1:15" x14ac:dyDescent="0.25">
      <c r="A81" s="53">
        <f>'A) Base RI'!A83</f>
        <v>5522</v>
      </c>
      <c r="B81" s="54" t="str">
        <f>'A) Base RI'!B83</f>
        <v>Fey</v>
      </c>
      <c r="C81" s="9">
        <f>'B) D RI'!U83</f>
        <v>19109.159333333333</v>
      </c>
      <c r="D81" s="35">
        <f>'B) D RI'!AR83</f>
        <v>696</v>
      </c>
      <c r="E81" s="295">
        <f t="shared" si="9"/>
        <v>27.455688697318006</v>
      </c>
      <c r="F81" s="81">
        <f t="shared" si="13"/>
        <v>0.58740807641156645</v>
      </c>
      <c r="G81" s="85">
        <f t="shared" si="14"/>
        <v>0</v>
      </c>
      <c r="H81" s="85">
        <f t="shared" si="15"/>
        <v>0</v>
      </c>
      <c r="I81" s="85">
        <f t="shared" si="16"/>
        <v>0</v>
      </c>
      <c r="J81" s="85">
        <f t="shared" si="17"/>
        <v>0</v>
      </c>
      <c r="K81" s="298">
        <f t="shared" si="10"/>
        <v>0</v>
      </c>
      <c r="L81" s="133">
        <f>K81*D81*'B) D RI'!S83</f>
        <v>0</v>
      </c>
      <c r="M81" s="10">
        <f>(('B) D RI'!S83*C81)-L81)/'B) D RI'!S83</f>
        <v>19109.159333333333</v>
      </c>
      <c r="N81" s="136">
        <f t="shared" si="11"/>
        <v>27.455688697318006</v>
      </c>
      <c r="O81" s="75">
        <f t="shared" si="12"/>
        <v>0.6226477004317803</v>
      </c>
    </row>
    <row r="82" spans="1:15" x14ac:dyDescent="0.25">
      <c r="A82" s="53">
        <f>'A) Base RI'!A84</f>
        <v>5523</v>
      </c>
      <c r="B82" s="54" t="str">
        <f>'A) Base RI'!B84</f>
        <v>Froideville</v>
      </c>
      <c r="C82" s="9">
        <f>'B) D RI'!U84</f>
        <v>77198.057236842113</v>
      </c>
      <c r="D82" s="35">
        <f>'B) D RI'!AR84</f>
        <v>2459</v>
      </c>
      <c r="E82" s="295">
        <f t="shared" si="9"/>
        <v>31.394085903555151</v>
      </c>
      <c r="F82" s="81">
        <f t="shared" si="13"/>
        <v>0.67166916898748985</v>
      </c>
      <c r="G82" s="85">
        <f t="shared" si="14"/>
        <v>0</v>
      </c>
      <c r="H82" s="85">
        <f t="shared" si="15"/>
        <v>0</v>
      </c>
      <c r="I82" s="85">
        <f t="shared" si="16"/>
        <v>0</v>
      </c>
      <c r="J82" s="85">
        <f t="shared" si="17"/>
        <v>0</v>
      </c>
      <c r="K82" s="298">
        <f t="shared" si="10"/>
        <v>0</v>
      </c>
      <c r="L82" s="133">
        <f>K82*D82*'B) D RI'!S84</f>
        <v>0</v>
      </c>
      <c r="M82" s="10">
        <f>(('B) D RI'!S84*C82)-L82)/'B) D RI'!S84</f>
        <v>77198.057236842113</v>
      </c>
      <c r="N82" s="136">
        <f t="shared" si="11"/>
        <v>31.394085903555151</v>
      </c>
      <c r="O82" s="75">
        <f t="shared" si="12"/>
        <v>0.71196376133576522</v>
      </c>
    </row>
    <row r="83" spans="1:15" x14ac:dyDescent="0.25">
      <c r="A83" s="53">
        <f>'A) Base RI'!A85</f>
        <v>5527</v>
      </c>
      <c r="B83" s="54" t="str">
        <f>'A) Base RI'!B85</f>
        <v>Morrens</v>
      </c>
      <c r="C83" s="9">
        <f>'B) D RI'!U85</f>
        <v>37560.717323943667</v>
      </c>
      <c r="D83" s="35">
        <f>'B) D RI'!AR85</f>
        <v>1074</v>
      </c>
      <c r="E83" s="295">
        <f t="shared" si="9"/>
        <v>34.972734938495037</v>
      </c>
      <c r="F83" s="81">
        <f t="shared" si="13"/>
        <v>0.74823353307759888</v>
      </c>
      <c r="G83" s="85">
        <f t="shared" si="14"/>
        <v>0</v>
      </c>
      <c r="H83" s="85">
        <f t="shared" si="15"/>
        <v>0</v>
      </c>
      <c r="I83" s="85">
        <f t="shared" si="16"/>
        <v>0</v>
      </c>
      <c r="J83" s="85">
        <f t="shared" si="17"/>
        <v>0</v>
      </c>
      <c r="K83" s="298">
        <f t="shared" si="10"/>
        <v>0</v>
      </c>
      <c r="L83" s="133">
        <f>K83*D83*'B) D RI'!S85</f>
        <v>0</v>
      </c>
      <c r="M83" s="10">
        <f>(('B) D RI'!S85*C83)-L83)/'B) D RI'!S85</f>
        <v>37560.717323943667</v>
      </c>
      <c r="N83" s="136">
        <f t="shared" si="11"/>
        <v>34.972734938495037</v>
      </c>
      <c r="O83" s="75">
        <f t="shared" si="12"/>
        <v>0.79312135373210513</v>
      </c>
    </row>
    <row r="84" spans="1:15" x14ac:dyDescent="0.25">
      <c r="A84" s="53">
        <f>'A) Base RI'!A86</f>
        <v>5529</v>
      </c>
      <c r="B84" s="54" t="str">
        <f>'A) Base RI'!B86</f>
        <v>Oulens-sous-Echallens</v>
      </c>
      <c r="C84" s="9">
        <f>'B) D RI'!U86</f>
        <v>19874.862394366199</v>
      </c>
      <c r="D84" s="35">
        <f>'B) D RI'!AR86</f>
        <v>560</v>
      </c>
      <c r="E84" s="295">
        <f t="shared" si="9"/>
        <v>35.490825704225358</v>
      </c>
      <c r="F84" s="81">
        <f t="shared" si="13"/>
        <v>0.75931796455769407</v>
      </c>
      <c r="G84" s="85">
        <f t="shared" si="14"/>
        <v>0</v>
      </c>
      <c r="H84" s="85">
        <f t="shared" si="15"/>
        <v>0</v>
      </c>
      <c r="I84" s="85">
        <f t="shared" si="16"/>
        <v>0</v>
      </c>
      <c r="J84" s="85">
        <f t="shared" si="17"/>
        <v>0</v>
      </c>
      <c r="K84" s="298">
        <f t="shared" si="10"/>
        <v>0</v>
      </c>
      <c r="L84" s="133">
        <f>K84*D84*'B) D RI'!S86</f>
        <v>0</v>
      </c>
      <c r="M84" s="10">
        <f>(('B) D RI'!S86*C84)-L84)/'B) D RI'!S86</f>
        <v>19874.862394366199</v>
      </c>
      <c r="N84" s="136">
        <f t="shared" si="11"/>
        <v>35.490825704225358</v>
      </c>
      <c r="O84" s="75">
        <f t="shared" si="12"/>
        <v>0.80487075938181429</v>
      </c>
    </row>
    <row r="85" spans="1:15" x14ac:dyDescent="0.25">
      <c r="A85" s="53">
        <f>'A) Base RI'!A87</f>
        <v>5530</v>
      </c>
      <c r="B85" s="54" t="str">
        <f>'A) Base RI'!B87</f>
        <v>Pailly</v>
      </c>
      <c r="C85" s="9">
        <f>'B) D RI'!U87</f>
        <v>15272.027655913982</v>
      </c>
      <c r="D85" s="35">
        <f>'B) D RI'!AR87</f>
        <v>534</v>
      </c>
      <c r="E85" s="295">
        <f t="shared" si="9"/>
        <v>28.599302726430679</v>
      </c>
      <c r="F85" s="81">
        <f t="shared" si="13"/>
        <v>0.61187543268167077</v>
      </c>
      <c r="G85" s="85">
        <f t="shared" si="14"/>
        <v>0</v>
      </c>
      <c r="H85" s="85">
        <f t="shared" si="15"/>
        <v>0</v>
      </c>
      <c r="I85" s="85">
        <f t="shared" si="16"/>
        <v>0</v>
      </c>
      <c r="J85" s="85">
        <f t="shared" si="17"/>
        <v>0</v>
      </c>
      <c r="K85" s="298">
        <f t="shared" si="10"/>
        <v>0</v>
      </c>
      <c r="L85" s="133">
        <f>K85*D85*'B) D RI'!S87</f>
        <v>0</v>
      </c>
      <c r="M85" s="10">
        <f>(('B) D RI'!S87*C85)-L85)/'B) D RI'!S87</f>
        <v>15272.027655913982</v>
      </c>
      <c r="N85" s="136">
        <f t="shared" si="11"/>
        <v>28.599302726430679</v>
      </c>
      <c r="O85" s="75">
        <f t="shared" si="12"/>
        <v>0.64858289562060423</v>
      </c>
    </row>
    <row r="86" spans="1:15" x14ac:dyDescent="0.25">
      <c r="A86" s="53">
        <f>'A) Base RI'!A88</f>
        <v>5531</v>
      </c>
      <c r="B86" s="54" t="str">
        <f>'A) Base RI'!B88</f>
        <v>Penthéréaz</v>
      </c>
      <c r="C86" s="9">
        <f>'B) D RI'!U88</f>
        <v>12101.700128205126</v>
      </c>
      <c r="D86" s="35">
        <f>'B) D RI'!AR88</f>
        <v>411</v>
      </c>
      <c r="E86" s="295">
        <f t="shared" si="9"/>
        <v>29.444525859379869</v>
      </c>
      <c r="F86" s="81">
        <f t="shared" si="13"/>
        <v>0.62995878510228365</v>
      </c>
      <c r="G86" s="85">
        <f t="shared" si="14"/>
        <v>0</v>
      </c>
      <c r="H86" s="85">
        <f t="shared" si="15"/>
        <v>0</v>
      </c>
      <c r="I86" s="85">
        <f t="shared" si="16"/>
        <v>0</v>
      </c>
      <c r="J86" s="85">
        <f t="shared" si="17"/>
        <v>0</v>
      </c>
      <c r="K86" s="298">
        <f t="shared" si="10"/>
        <v>0</v>
      </c>
      <c r="L86" s="133">
        <f>K86*D86*'B) D RI'!S88</f>
        <v>0</v>
      </c>
      <c r="M86" s="10">
        <f>(('B) D RI'!S88*C86)-L86)/'B) D RI'!S88</f>
        <v>12101.700128205126</v>
      </c>
      <c r="N86" s="136">
        <f t="shared" si="11"/>
        <v>29.444525859379869</v>
      </c>
      <c r="O86" s="75">
        <f t="shared" si="12"/>
        <v>0.66775109955401957</v>
      </c>
    </row>
    <row r="87" spans="1:15" x14ac:dyDescent="0.25">
      <c r="A87" s="53">
        <f>'A) Base RI'!A89</f>
        <v>5533</v>
      </c>
      <c r="B87" s="54" t="str">
        <f>'A) Base RI'!B89</f>
        <v>Poliez-Pittet</v>
      </c>
      <c r="C87" s="9">
        <f>'B) D RI'!U89</f>
        <v>27045.170985915491</v>
      </c>
      <c r="D87" s="35">
        <f>'B) D RI'!AR89</f>
        <v>844</v>
      </c>
      <c r="E87" s="295">
        <f t="shared" si="9"/>
        <v>32.044041452506505</v>
      </c>
      <c r="F87" s="81">
        <f t="shared" si="13"/>
        <v>0.6855748168469018</v>
      </c>
      <c r="G87" s="85">
        <f t="shared" si="14"/>
        <v>0</v>
      </c>
      <c r="H87" s="85">
        <f t="shared" si="15"/>
        <v>0</v>
      </c>
      <c r="I87" s="85">
        <f t="shared" si="16"/>
        <v>0</v>
      </c>
      <c r="J87" s="85">
        <f t="shared" si="17"/>
        <v>0</v>
      </c>
      <c r="K87" s="298">
        <f t="shared" si="10"/>
        <v>0</v>
      </c>
      <c r="L87" s="133">
        <f>K87*D87*'B) D RI'!S89</f>
        <v>0</v>
      </c>
      <c r="M87" s="10">
        <f>(('B) D RI'!S89*C87)-L87)/'B) D RI'!S89</f>
        <v>27045.170985915491</v>
      </c>
      <c r="N87" s="136">
        <f t="shared" si="11"/>
        <v>32.044041452506505</v>
      </c>
      <c r="O87" s="75">
        <f t="shared" si="12"/>
        <v>0.72670363300312457</v>
      </c>
    </row>
    <row r="88" spans="1:15" x14ac:dyDescent="0.25">
      <c r="A88" s="53">
        <f>'A) Base RI'!A90</f>
        <v>5534</v>
      </c>
      <c r="B88" s="54" t="str">
        <f>'A) Base RI'!B90</f>
        <v>Rueyres</v>
      </c>
      <c r="C88" s="9">
        <f>'B) D RI'!U90</f>
        <v>10934.157945205479</v>
      </c>
      <c r="D88" s="35">
        <f>'B) D RI'!AR90</f>
        <v>271</v>
      </c>
      <c r="E88" s="295">
        <f t="shared" si="9"/>
        <v>40.347446292271144</v>
      </c>
      <c r="F88" s="81">
        <f t="shared" si="13"/>
        <v>0.8632242329064993</v>
      </c>
      <c r="G88" s="85">
        <f t="shared" si="14"/>
        <v>0</v>
      </c>
      <c r="H88" s="85">
        <f t="shared" si="15"/>
        <v>0</v>
      </c>
      <c r="I88" s="85">
        <f t="shared" si="16"/>
        <v>0</v>
      </c>
      <c r="J88" s="85">
        <f t="shared" si="17"/>
        <v>0</v>
      </c>
      <c r="K88" s="298">
        <f t="shared" si="10"/>
        <v>0</v>
      </c>
      <c r="L88" s="133">
        <f>K88*D88*'B) D RI'!S90</f>
        <v>0</v>
      </c>
      <c r="M88" s="10">
        <f>(('B) D RI'!S90*C88)-L88)/'B) D RI'!S90</f>
        <v>10934.157945205479</v>
      </c>
      <c r="N88" s="136">
        <f t="shared" si="11"/>
        <v>40.347446292271144</v>
      </c>
      <c r="O88" s="75">
        <f t="shared" si="12"/>
        <v>0.91501054404916238</v>
      </c>
    </row>
    <row r="89" spans="1:15" x14ac:dyDescent="0.25">
      <c r="A89" s="53">
        <f>'A) Base RI'!A91</f>
        <v>5535</v>
      </c>
      <c r="B89" s="54" t="str">
        <f>'A) Base RI'!B91</f>
        <v>Saint-Barthélemy</v>
      </c>
      <c r="C89" s="9">
        <f>'B) D RI'!U91</f>
        <v>20697.547200000001</v>
      </c>
      <c r="D89" s="35">
        <f>'B) D RI'!AR91</f>
        <v>777</v>
      </c>
      <c r="E89" s="295">
        <f t="shared" si="9"/>
        <v>26.637769884169884</v>
      </c>
      <c r="F89" s="81">
        <f t="shared" si="13"/>
        <v>0.56990889356502206</v>
      </c>
      <c r="G89" s="85">
        <f t="shared" si="14"/>
        <v>0</v>
      </c>
      <c r="H89" s="85">
        <f t="shared" si="15"/>
        <v>0</v>
      </c>
      <c r="I89" s="85">
        <f t="shared" si="16"/>
        <v>0</v>
      </c>
      <c r="J89" s="85">
        <f t="shared" si="17"/>
        <v>0</v>
      </c>
      <c r="K89" s="298">
        <f t="shared" si="10"/>
        <v>0</v>
      </c>
      <c r="L89" s="133">
        <f>K89*D89*'B) D RI'!S91</f>
        <v>0</v>
      </c>
      <c r="M89" s="10">
        <f>(('B) D RI'!S91*C89)-L89)/'B) D RI'!S91</f>
        <v>20697.547200000001</v>
      </c>
      <c r="N89" s="136">
        <f t="shared" si="11"/>
        <v>26.637769884169884</v>
      </c>
      <c r="O89" s="75">
        <f t="shared" si="12"/>
        <v>0.60409871141311045</v>
      </c>
    </row>
    <row r="90" spans="1:15" x14ac:dyDescent="0.25">
      <c r="A90" s="53">
        <f>'A) Base RI'!A92</f>
        <v>5537</v>
      </c>
      <c r="B90" s="54" t="str">
        <f>'A) Base RI'!B92</f>
        <v>Villars-le-Terroir</v>
      </c>
      <c r="C90" s="9">
        <f>'B) D RI'!U92</f>
        <v>30041.138287671231</v>
      </c>
      <c r="D90" s="35">
        <f>'B) D RI'!AR92</f>
        <v>1066</v>
      </c>
      <c r="E90" s="295">
        <f t="shared" si="9"/>
        <v>28.181180382430799</v>
      </c>
      <c r="F90" s="81">
        <f t="shared" si="13"/>
        <v>0.60292980234249605</v>
      </c>
      <c r="G90" s="85">
        <f t="shared" si="14"/>
        <v>0</v>
      </c>
      <c r="H90" s="85">
        <f t="shared" si="15"/>
        <v>0</v>
      </c>
      <c r="I90" s="85">
        <f t="shared" si="16"/>
        <v>0</v>
      </c>
      <c r="J90" s="85">
        <f t="shared" si="17"/>
        <v>0</v>
      </c>
      <c r="K90" s="298">
        <f t="shared" si="10"/>
        <v>0</v>
      </c>
      <c r="L90" s="133">
        <f>K90*D90*'B) D RI'!S92</f>
        <v>0</v>
      </c>
      <c r="M90" s="10">
        <f>(('B) D RI'!S92*C90)-L90)/'B) D RI'!S92</f>
        <v>30041.138287671231</v>
      </c>
      <c r="N90" s="136">
        <f t="shared" si="11"/>
        <v>28.181180382430799</v>
      </c>
      <c r="O90" s="75">
        <f t="shared" si="12"/>
        <v>0.63910060148255543</v>
      </c>
    </row>
    <row r="91" spans="1:15" x14ac:dyDescent="0.25">
      <c r="A91" s="53">
        <f>'A) Base RI'!A93</f>
        <v>5539</v>
      </c>
      <c r="B91" s="54" t="str">
        <f>'A) Base RI'!B93</f>
        <v>Vuarrens</v>
      </c>
      <c r="C91" s="9">
        <f>'B) D RI'!U93</f>
        <v>22727.031566666661</v>
      </c>
      <c r="D91" s="35">
        <f>'B) D RI'!AR93</f>
        <v>993</v>
      </c>
      <c r="E91" s="295">
        <f t="shared" si="9"/>
        <v>22.887242262504191</v>
      </c>
      <c r="F91" s="81">
        <f t="shared" si="13"/>
        <v>0.4896672270725585</v>
      </c>
      <c r="G91" s="85">
        <f t="shared" si="14"/>
        <v>0</v>
      </c>
      <c r="H91" s="85">
        <f t="shared" si="15"/>
        <v>0</v>
      </c>
      <c r="I91" s="85">
        <f t="shared" si="16"/>
        <v>0</v>
      </c>
      <c r="J91" s="85">
        <f t="shared" si="17"/>
        <v>0</v>
      </c>
      <c r="K91" s="298">
        <f t="shared" si="10"/>
        <v>0</v>
      </c>
      <c r="L91" s="133">
        <f>K91*D91*'B) D RI'!S93</f>
        <v>0</v>
      </c>
      <c r="M91" s="10">
        <f>(('B) D RI'!S93*C91)-L91)/'B) D RI'!S93</f>
        <v>22727.031566666661</v>
      </c>
      <c r="N91" s="136">
        <f t="shared" si="11"/>
        <v>22.887242262504191</v>
      </c>
      <c r="O91" s="75">
        <f t="shared" si="12"/>
        <v>0.51904320889846634</v>
      </c>
    </row>
    <row r="92" spans="1:15" x14ac:dyDescent="0.25">
      <c r="A92" s="53">
        <f>'A) Base RI'!A94</f>
        <v>5540</v>
      </c>
      <c r="B92" s="54" t="str">
        <f>'A) Base RI'!B94</f>
        <v>Montilliez</v>
      </c>
      <c r="C92" s="9">
        <f>'B) D RI'!U94</f>
        <v>54875.674391891895</v>
      </c>
      <c r="D92" s="35">
        <f>'B) D RI'!AR94</f>
        <v>1698</v>
      </c>
      <c r="E92" s="295">
        <f>C92/D92</f>
        <v>32.317829441632448</v>
      </c>
      <c r="F92" s="81">
        <f t="shared" si="13"/>
        <v>0.69143244722033947</v>
      </c>
      <c r="G92" s="85">
        <f t="shared" si="14"/>
        <v>0</v>
      </c>
      <c r="H92" s="85">
        <f t="shared" si="15"/>
        <v>0</v>
      </c>
      <c r="I92" s="85">
        <f t="shared" si="16"/>
        <v>0</v>
      </c>
      <c r="J92" s="85">
        <f t="shared" si="17"/>
        <v>0</v>
      </c>
      <c r="K92" s="298">
        <f t="shared" si="10"/>
        <v>0</v>
      </c>
      <c r="L92" s="133">
        <f>K92*D92*'B) D RI'!S94</f>
        <v>0</v>
      </c>
      <c r="M92" s="10">
        <f>(('B) D RI'!S94*C92)-L92)/'B) D RI'!S94</f>
        <v>54875.674391891895</v>
      </c>
      <c r="N92" s="136">
        <f t="shared" si="11"/>
        <v>32.317829441632448</v>
      </c>
      <c r="O92" s="75">
        <f t="shared" si="12"/>
        <v>0.73291267272944416</v>
      </c>
    </row>
    <row r="93" spans="1:15" x14ac:dyDescent="0.25">
      <c r="A93" s="53">
        <f>'A) Base RI'!A95</f>
        <v>5541</v>
      </c>
      <c r="B93" s="54" t="str">
        <f>'A) Base RI'!B95</f>
        <v>Goumoëns</v>
      </c>
      <c r="C93" s="9">
        <f>'B) D RI'!U95</f>
        <v>32498.070519480509</v>
      </c>
      <c r="D93" s="35">
        <f>'B) D RI'!AR95</f>
        <v>1051</v>
      </c>
      <c r="E93" s="295">
        <f>C93/D93</f>
        <v>30.921094690276412</v>
      </c>
      <c r="F93" s="81">
        <f t="shared" si="13"/>
        <v>0.66154963194674621</v>
      </c>
      <c r="G93" s="85">
        <f t="shared" si="14"/>
        <v>0</v>
      </c>
      <c r="H93" s="85">
        <f t="shared" si="15"/>
        <v>0</v>
      </c>
      <c r="I93" s="85">
        <f t="shared" si="16"/>
        <v>0</v>
      </c>
      <c r="J93" s="85">
        <f t="shared" si="17"/>
        <v>0</v>
      </c>
      <c r="K93" s="298">
        <f t="shared" si="10"/>
        <v>0</v>
      </c>
      <c r="L93" s="133">
        <f>K93*D93*'B) D RI'!S95</f>
        <v>0</v>
      </c>
      <c r="M93" s="10">
        <f>(('B) D RI'!S95*C93)-L93)/'B) D RI'!S95</f>
        <v>32498.070519480509</v>
      </c>
      <c r="N93" s="136">
        <f t="shared" si="11"/>
        <v>30.921094690276412</v>
      </c>
      <c r="O93" s="75">
        <f t="shared" si="12"/>
        <v>0.70123713580765701</v>
      </c>
    </row>
    <row r="94" spans="1:15" x14ac:dyDescent="0.25">
      <c r="A94" s="53">
        <f>'A) Base RI'!A96</f>
        <v>5551</v>
      </c>
      <c r="B94" s="54" t="str">
        <f>'A) Base RI'!B96</f>
        <v>Bonvillars</v>
      </c>
      <c r="C94" s="9">
        <f>'B) D RI'!U96</f>
        <v>19291.965896103895</v>
      </c>
      <c r="D94" s="35">
        <f>'B) D RI'!AR96</f>
        <v>495</v>
      </c>
      <c r="E94" s="295">
        <f t="shared" si="9"/>
        <v>38.973668476977565</v>
      </c>
      <c r="F94" s="81">
        <f t="shared" si="13"/>
        <v>0.83383257594262528</v>
      </c>
      <c r="G94" s="85">
        <f t="shared" si="14"/>
        <v>0</v>
      </c>
      <c r="H94" s="85">
        <f t="shared" si="15"/>
        <v>0</v>
      </c>
      <c r="I94" s="85">
        <f t="shared" si="16"/>
        <v>0</v>
      </c>
      <c r="J94" s="85">
        <f t="shared" si="17"/>
        <v>0</v>
      </c>
      <c r="K94" s="298">
        <f t="shared" si="10"/>
        <v>0</v>
      </c>
      <c r="L94" s="133">
        <f>K94*D94*'B) D RI'!S96</f>
        <v>0</v>
      </c>
      <c r="M94" s="10">
        <f>(('B) D RI'!S96*C94)-L94)/'B) D RI'!S96</f>
        <v>19291.965896103895</v>
      </c>
      <c r="N94" s="136">
        <f t="shared" si="11"/>
        <v>38.973668476977565</v>
      </c>
      <c r="O94" s="75">
        <f t="shared" si="12"/>
        <v>0.88385563087154106</v>
      </c>
    </row>
    <row r="95" spans="1:15" x14ac:dyDescent="0.25">
      <c r="A95" s="53">
        <f>'A) Base RI'!A97</f>
        <v>5552</v>
      </c>
      <c r="B95" s="54" t="str">
        <f>'A) Base RI'!B97</f>
        <v>Bullet</v>
      </c>
      <c r="C95" s="9">
        <f>'B) D RI'!U97</f>
        <v>15735.537571428569</v>
      </c>
      <c r="D95" s="35">
        <f>'B) D RI'!AR97</f>
        <v>629</v>
      </c>
      <c r="E95" s="295">
        <f t="shared" si="9"/>
        <v>25.016752895752891</v>
      </c>
      <c r="F95" s="81">
        <f t="shared" si="13"/>
        <v>0.53522761197365876</v>
      </c>
      <c r="G95" s="85">
        <f t="shared" si="14"/>
        <v>0</v>
      </c>
      <c r="H95" s="85">
        <f t="shared" si="15"/>
        <v>0</v>
      </c>
      <c r="I95" s="85">
        <f t="shared" si="16"/>
        <v>0</v>
      </c>
      <c r="J95" s="85">
        <f t="shared" si="17"/>
        <v>0</v>
      </c>
      <c r="K95" s="298">
        <f t="shared" si="10"/>
        <v>0</v>
      </c>
      <c r="L95" s="133">
        <f>K95*D95*'B) D RI'!S97</f>
        <v>0</v>
      </c>
      <c r="M95" s="10">
        <f>(('B) D RI'!S97*C95)-L95)/'B) D RI'!S97</f>
        <v>15735.537571428569</v>
      </c>
      <c r="N95" s="136">
        <f t="shared" si="11"/>
        <v>25.016752895752891</v>
      </c>
      <c r="O95" s="75">
        <f t="shared" si="12"/>
        <v>0.56733683989985695</v>
      </c>
    </row>
    <row r="96" spans="1:15" x14ac:dyDescent="0.25">
      <c r="A96" s="53">
        <f>'A) Base RI'!A98</f>
        <v>5553</v>
      </c>
      <c r="B96" s="54" t="str">
        <f>'A) Base RI'!B98</f>
        <v>Champagne</v>
      </c>
      <c r="C96" s="9">
        <f>'B) D RI'!U98</f>
        <v>33369.783650793652</v>
      </c>
      <c r="D96" s="35">
        <f>'B) D RI'!AR98</f>
        <v>1027</v>
      </c>
      <c r="E96" s="295">
        <f t="shared" si="9"/>
        <v>32.492486514891581</v>
      </c>
      <c r="F96" s="81">
        <f t="shared" si="13"/>
        <v>0.69516919469609462</v>
      </c>
      <c r="G96" s="85">
        <f t="shared" si="14"/>
        <v>0</v>
      </c>
      <c r="H96" s="85">
        <f t="shared" si="15"/>
        <v>0</v>
      </c>
      <c r="I96" s="85">
        <f t="shared" si="16"/>
        <v>0</v>
      </c>
      <c r="J96" s="85">
        <f t="shared" si="17"/>
        <v>0</v>
      </c>
      <c r="K96" s="298">
        <f t="shared" si="10"/>
        <v>0</v>
      </c>
      <c r="L96" s="133">
        <f>K96*D96*'B) D RI'!S98</f>
        <v>0</v>
      </c>
      <c r="M96" s="10">
        <f>(('B) D RI'!S98*C96)-L96)/'B) D RI'!S98</f>
        <v>33369.783650793652</v>
      </c>
      <c r="N96" s="136">
        <f t="shared" si="11"/>
        <v>32.492486514891581</v>
      </c>
      <c r="O96" s="75">
        <f t="shared" si="12"/>
        <v>0.73687359413366904</v>
      </c>
    </row>
    <row r="97" spans="1:15" x14ac:dyDescent="0.25">
      <c r="A97" s="53">
        <f>'A) Base RI'!A99</f>
        <v>5554</v>
      </c>
      <c r="B97" s="54" t="str">
        <f>'A) Base RI'!B99</f>
        <v>Concise</v>
      </c>
      <c r="C97" s="9">
        <f>'B) D RI'!U99</f>
        <v>28986.7088</v>
      </c>
      <c r="D97" s="35">
        <f>'B) D RI'!AR99</f>
        <v>960</v>
      </c>
      <c r="E97" s="295">
        <f t="shared" si="9"/>
        <v>30.194488333333332</v>
      </c>
      <c r="F97" s="81">
        <f t="shared" si="13"/>
        <v>0.64600405787116155</v>
      </c>
      <c r="G97" s="85">
        <f t="shared" si="14"/>
        <v>0</v>
      </c>
      <c r="H97" s="85">
        <f t="shared" si="15"/>
        <v>0</v>
      </c>
      <c r="I97" s="85">
        <f t="shared" si="16"/>
        <v>0</v>
      </c>
      <c r="J97" s="85">
        <f t="shared" si="17"/>
        <v>0</v>
      </c>
      <c r="K97" s="298">
        <f t="shared" si="10"/>
        <v>0</v>
      </c>
      <c r="L97" s="133">
        <f>K97*D97*'B) D RI'!S99</f>
        <v>0</v>
      </c>
      <c r="M97" s="10">
        <f>(('B) D RI'!S99*C97)-L97)/'B) D RI'!S99</f>
        <v>28986.7088</v>
      </c>
      <c r="N97" s="136">
        <f t="shared" si="11"/>
        <v>30.194488333333332</v>
      </c>
      <c r="O97" s="75">
        <f t="shared" si="12"/>
        <v>0.68475895592088121</v>
      </c>
    </row>
    <row r="98" spans="1:15" x14ac:dyDescent="0.25">
      <c r="A98" s="53">
        <f>'A) Base RI'!A100</f>
        <v>5555</v>
      </c>
      <c r="B98" s="54" t="str">
        <f>'A) Base RI'!B100</f>
        <v>Corcelles-près-Concise</v>
      </c>
      <c r="C98" s="9">
        <f>'B) D RI'!U100</f>
        <v>11040.372394366199</v>
      </c>
      <c r="D98" s="35">
        <f>'B) D RI'!AR100</f>
        <v>379</v>
      </c>
      <c r="E98" s="295">
        <f t="shared" si="9"/>
        <v>29.130270169831661</v>
      </c>
      <c r="F98" s="81">
        <f t="shared" si="13"/>
        <v>0.62323535768678651</v>
      </c>
      <c r="G98" s="85">
        <f t="shared" si="14"/>
        <v>0</v>
      </c>
      <c r="H98" s="85">
        <f t="shared" si="15"/>
        <v>0</v>
      </c>
      <c r="I98" s="85">
        <f t="shared" si="16"/>
        <v>0</v>
      </c>
      <c r="J98" s="85">
        <f t="shared" si="17"/>
        <v>0</v>
      </c>
      <c r="K98" s="298">
        <f t="shared" si="10"/>
        <v>0</v>
      </c>
      <c r="L98" s="133">
        <f>K98*D98*'B) D RI'!S100</f>
        <v>0</v>
      </c>
      <c r="M98" s="10">
        <f>(('B) D RI'!S100*C98)-L98)/'B) D RI'!S100</f>
        <v>11040.372394366199</v>
      </c>
      <c r="N98" s="136">
        <f t="shared" si="11"/>
        <v>29.130270169831661</v>
      </c>
      <c r="O98" s="75">
        <f t="shared" si="12"/>
        <v>0.66062432212723765</v>
      </c>
    </row>
    <row r="99" spans="1:15" x14ac:dyDescent="0.25">
      <c r="A99" s="53">
        <f>'A) Base RI'!A101</f>
        <v>5556</v>
      </c>
      <c r="B99" s="54" t="str">
        <f>'A) Base RI'!B101</f>
        <v>Fiez</v>
      </c>
      <c r="C99" s="9">
        <f>'B) D RI'!U101</f>
        <v>12472.754202898552</v>
      </c>
      <c r="D99" s="35">
        <f>'B) D RI'!AR101</f>
        <v>427</v>
      </c>
      <c r="E99" s="295">
        <f t="shared" si="9"/>
        <v>29.210197196483726</v>
      </c>
      <c r="F99" s="81">
        <f t="shared" si="13"/>
        <v>0.624945377839498</v>
      </c>
      <c r="G99" s="85">
        <f t="shared" si="14"/>
        <v>0</v>
      </c>
      <c r="H99" s="85">
        <f t="shared" si="15"/>
        <v>0</v>
      </c>
      <c r="I99" s="85">
        <f t="shared" si="16"/>
        <v>0</v>
      </c>
      <c r="J99" s="85">
        <f t="shared" si="17"/>
        <v>0</v>
      </c>
      <c r="K99" s="298">
        <f t="shared" si="10"/>
        <v>0</v>
      </c>
      <c r="L99" s="133">
        <f>K99*D99*'B) D RI'!S101</f>
        <v>0</v>
      </c>
      <c r="M99" s="10">
        <f>(('B) D RI'!S101*C99)-L99)/'B) D RI'!S101</f>
        <v>12472.754202898552</v>
      </c>
      <c r="N99" s="136">
        <f t="shared" si="11"/>
        <v>29.210197196483726</v>
      </c>
      <c r="O99" s="75">
        <f t="shared" si="12"/>
        <v>0.66243692933938603</v>
      </c>
    </row>
    <row r="100" spans="1:15" x14ac:dyDescent="0.25">
      <c r="A100" s="53">
        <f>'A) Base RI'!A102</f>
        <v>5557</v>
      </c>
      <c r="B100" s="54" t="str">
        <f>'A) Base RI'!B102</f>
        <v>Fontaines-sur-Grandson</v>
      </c>
      <c r="C100" s="9">
        <f>'B) D RI'!U102</f>
        <v>4030.2872463768117</v>
      </c>
      <c r="D100" s="35">
        <f>'B) D RI'!AR102</f>
        <v>200</v>
      </c>
      <c r="E100" s="295">
        <f t="shared" si="9"/>
        <v>20.151436231884059</v>
      </c>
      <c r="F100" s="81">
        <f t="shared" si="13"/>
        <v>0.43113529310439996</v>
      </c>
      <c r="G100" s="85">
        <f t="shared" si="14"/>
        <v>0</v>
      </c>
      <c r="H100" s="85">
        <f t="shared" si="15"/>
        <v>0</v>
      </c>
      <c r="I100" s="85">
        <f t="shared" si="16"/>
        <v>0</v>
      </c>
      <c r="J100" s="85">
        <f t="shared" si="17"/>
        <v>0</v>
      </c>
      <c r="K100" s="298">
        <f t="shared" si="10"/>
        <v>0</v>
      </c>
      <c r="L100" s="133">
        <f>K100*D100*'B) D RI'!S102</f>
        <v>0</v>
      </c>
      <c r="M100" s="10">
        <f>(('B) D RI'!S102*C100)-L100)/'B) D RI'!S102</f>
        <v>4030.2872463768117</v>
      </c>
      <c r="N100" s="136">
        <f t="shared" si="11"/>
        <v>20.151436231884059</v>
      </c>
      <c r="O100" s="75">
        <f t="shared" si="12"/>
        <v>0.45699984322032106</v>
      </c>
    </row>
    <row r="101" spans="1:15" x14ac:dyDescent="0.25">
      <c r="A101" s="53">
        <f>'A) Base RI'!A103</f>
        <v>5559</v>
      </c>
      <c r="B101" s="54" t="str">
        <f>'A) Base RI'!B103</f>
        <v>Giez</v>
      </c>
      <c r="C101" s="9">
        <f>'B) D RI'!U103</f>
        <v>18149.138484848489</v>
      </c>
      <c r="D101" s="35">
        <f>'B) D RI'!AR103</f>
        <v>408</v>
      </c>
      <c r="E101" s="295">
        <f t="shared" si="9"/>
        <v>44.48318256090316</v>
      </c>
      <c r="F101" s="81">
        <f t="shared" si="13"/>
        <v>0.95170734884232333</v>
      </c>
      <c r="G101" s="85">
        <f t="shared" si="14"/>
        <v>0</v>
      </c>
      <c r="H101" s="85">
        <f t="shared" si="15"/>
        <v>0</v>
      </c>
      <c r="I101" s="85">
        <f t="shared" si="16"/>
        <v>0</v>
      </c>
      <c r="J101" s="85">
        <f t="shared" si="17"/>
        <v>0</v>
      </c>
      <c r="K101" s="298">
        <f t="shared" si="10"/>
        <v>0</v>
      </c>
      <c r="L101" s="133">
        <f>K101*D101*'B) D RI'!S103</f>
        <v>0</v>
      </c>
      <c r="M101" s="10">
        <f>(('B) D RI'!S103*C101)-L101)/'B) D RI'!S103</f>
        <v>18149.138484848489</v>
      </c>
      <c r="N101" s="136">
        <f t="shared" si="11"/>
        <v>44.48318256090316</v>
      </c>
      <c r="O101" s="75">
        <f t="shared" si="12"/>
        <v>1.0088019147791045</v>
      </c>
    </row>
    <row r="102" spans="1:15" x14ac:dyDescent="0.25">
      <c r="A102" s="53">
        <f>'A) Base RI'!A104</f>
        <v>5560</v>
      </c>
      <c r="B102" s="54" t="str">
        <f>'A) Base RI'!B104</f>
        <v>Grandevent</v>
      </c>
      <c r="C102" s="9">
        <f>'B) D RI'!U104</f>
        <v>6446.6273529411765</v>
      </c>
      <c r="D102" s="35">
        <f>'B) D RI'!AR104</f>
        <v>232</v>
      </c>
      <c r="E102" s="295">
        <f t="shared" si="9"/>
        <v>27.787186866125761</v>
      </c>
      <c r="F102" s="81">
        <f t="shared" si="13"/>
        <v>0.59450040266205828</v>
      </c>
      <c r="G102" s="85">
        <f t="shared" si="14"/>
        <v>0</v>
      </c>
      <c r="H102" s="85">
        <f t="shared" si="15"/>
        <v>0</v>
      </c>
      <c r="I102" s="85">
        <f t="shared" si="16"/>
        <v>0</v>
      </c>
      <c r="J102" s="85">
        <f t="shared" si="17"/>
        <v>0</v>
      </c>
      <c r="K102" s="298">
        <f t="shared" si="10"/>
        <v>0</v>
      </c>
      <c r="L102" s="133">
        <f>K102*D102*'B) D RI'!S104</f>
        <v>0</v>
      </c>
      <c r="M102" s="10">
        <f>(('B) D RI'!S104*C102)-L102)/'B) D RI'!S104</f>
        <v>6446.6273529411765</v>
      </c>
      <c r="N102" s="136">
        <f t="shared" si="11"/>
        <v>27.787186866125761</v>
      </c>
      <c r="O102" s="75">
        <f t="shared" si="12"/>
        <v>0.63016550757116774</v>
      </c>
    </row>
    <row r="103" spans="1:15" x14ac:dyDescent="0.25">
      <c r="A103" s="53">
        <f>'A) Base RI'!A105</f>
        <v>5561</v>
      </c>
      <c r="B103" s="54" t="str">
        <f>'A) Base RI'!B105</f>
        <v>Grandson</v>
      </c>
      <c r="C103" s="9">
        <f>'B) D RI'!U105</f>
        <v>115170.40130434782</v>
      </c>
      <c r="D103" s="35">
        <f>'B) D RI'!AR105</f>
        <v>3313</v>
      </c>
      <c r="E103" s="295">
        <f t="shared" si="9"/>
        <v>34.763175763461462</v>
      </c>
      <c r="F103" s="81">
        <f t="shared" si="13"/>
        <v>0.74375006324888937</v>
      </c>
      <c r="G103" s="85">
        <f t="shared" si="14"/>
        <v>0</v>
      </c>
      <c r="H103" s="85">
        <f t="shared" si="15"/>
        <v>0</v>
      </c>
      <c r="I103" s="85">
        <f t="shared" si="16"/>
        <v>0</v>
      </c>
      <c r="J103" s="85">
        <f t="shared" si="17"/>
        <v>0</v>
      </c>
      <c r="K103" s="298">
        <f t="shared" si="10"/>
        <v>0</v>
      </c>
      <c r="L103" s="133">
        <f>K103*D103*'B) D RI'!S105</f>
        <v>0</v>
      </c>
      <c r="M103" s="10">
        <f>(('B) D RI'!S105*C103)-L103)/'B) D RI'!S105</f>
        <v>115170.40130434782</v>
      </c>
      <c r="N103" s="136">
        <f t="shared" si="11"/>
        <v>34.763175763461462</v>
      </c>
      <c r="O103" s="75">
        <f t="shared" si="12"/>
        <v>0.78836891281257415</v>
      </c>
    </row>
    <row r="104" spans="1:15" x14ac:dyDescent="0.25">
      <c r="A104" s="53">
        <f>'A) Base RI'!A106</f>
        <v>5562</v>
      </c>
      <c r="B104" s="54" t="str">
        <f>'A) Base RI'!B106</f>
        <v>Mauborget</v>
      </c>
      <c r="C104" s="9">
        <f>'B) D RI'!U106</f>
        <v>3662.5545714285713</v>
      </c>
      <c r="D104" s="35">
        <f>'B) D RI'!AR106</f>
        <v>123</v>
      </c>
      <c r="E104" s="295">
        <f t="shared" si="9"/>
        <v>29.776866434378629</v>
      </c>
      <c r="F104" s="81">
        <f t="shared" si="13"/>
        <v>0.63706913443737812</v>
      </c>
      <c r="G104" s="85">
        <f t="shared" si="14"/>
        <v>0</v>
      </c>
      <c r="H104" s="85">
        <f t="shared" si="15"/>
        <v>0</v>
      </c>
      <c r="I104" s="85">
        <f t="shared" si="16"/>
        <v>0</v>
      </c>
      <c r="J104" s="85">
        <f t="shared" si="17"/>
        <v>0</v>
      </c>
      <c r="K104" s="298">
        <f t="shared" si="10"/>
        <v>0</v>
      </c>
      <c r="L104" s="133">
        <f>K104*D104*'B) D RI'!S106</f>
        <v>0</v>
      </c>
      <c r="M104" s="10">
        <f>(('B) D RI'!S106*C104)-L104)/'B) D RI'!S106</f>
        <v>3662.5545714285713</v>
      </c>
      <c r="N104" s="136">
        <f t="shared" si="11"/>
        <v>29.776866434378629</v>
      </c>
      <c r="O104" s="75">
        <f t="shared" si="12"/>
        <v>0.67528801101395197</v>
      </c>
    </row>
    <row r="105" spans="1:15" x14ac:dyDescent="0.25">
      <c r="A105" s="53">
        <f>'A) Base RI'!A107</f>
        <v>5563</v>
      </c>
      <c r="B105" s="54" t="str">
        <f>'A) Base RI'!B107</f>
        <v>Mutrux</v>
      </c>
      <c r="C105" s="9">
        <f>'B) D RI'!U107</f>
        <v>4275.1686624203812</v>
      </c>
      <c r="D105" s="35">
        <f>'B) D RI'!AR107</f>
        <v>162</v>
      </c>
      <c r="E105" s="295">
        <f t="shared" si="9"/>
        <v>26.389930014940624</v>
      </c>
      <c r="F105" s="81">
        <f t="shared" si="13"/>
        <v>0.56460641718400617</v>
      </c>
      <c r="G105" s="85">
        <f t="shared" si="14"/>
        <v>0</v>
      </c>
      <c r="H105" s="85">
        <f t="shared" si="15"/>
        <v>0</v>
      </c>
      <c r="I105" s="85">
        <f t="shared" si="16"/>
        <v>0</v>
      </c>
      <c r="J105" s="85">
        <f t="shared" si="17"/>
        <v>0</v>
      </c>
      <c r="K105" s="298">
        <f t="shared" si="10"/>
        <v>0</v>
      </c>
      <c r="L105" s="133">
        <f>K105*D105*'B) D RI'!S107</f>
        <v>0</v>
      </c>
      <c r="M105" s="10">
        <f>(('B) D RI'!S107*C105)-L105)/'B) D RI'!S107</f>
        <v>4275.1686624203812</v>
      </c>
      <c r="N105" s="136">
        <f t="shared" si="11"/>
        <v>26.389930014940624</v>
      </c>
      <c r="O105" s="75">
        <f t="shared" si="12"/>
        <v>0.59847813032508312</v>
      </c>
    </row>
    <row r="106" spans="1:15" x14ac:dyDescent="0.25">
      <c r="A106" s="53">
        <f>'A) Base RI'!A108</f>
        <v>5564</v>
      </c>
      <c r="B106" s="54" t="str">
        <f>'A) Base RI'!B108</f>
        <v>Novalles</v>
      </c>
      <c r="C106" s="9">
        <f>'B) D RI'!U108</f>
        <v>2063.0078618421053</v>
      </c>
      <c r="D106" s="35">
        <f>'B) D RI'!AR108</f>
        <v>101</v>
      </c>
      <c r="E106" s="295">
        <f t="shared" si="9"/>
        <v>20.42582041427827</v>
      </c>
      <c r="F106" s="81">
        <f t="shared" si="13"/>
        <v>0.43700567889420128</v>
      </c>
      <c r="G106" s="85">
        <f t="shared" si="14"/>
        <v>0</v>
      </c>
      <c r="H106" s="85">
        <f t="shared" si="15"/>
        <v>0</v>
      </c>
      <c r="I106" s="85">
        <f t="shared" si="16"/>
        <v>0</v>
      </c>
      <c r="J106" s="85">
        <f t="shared" si="17"/>
        <v>0</v>
      </c>
      <c r="K106" s="298">
        <f t="shared" si="10"/>
        <v>0</v>
      </c>
      <c r="L106" s="133">
        <f>K106*D106*'B) D RI'!S108</f>
        <v>0</v>
      </c>
      <c r="M106" s="10">
        <f>(('B) D RI'!S108*C106)-L106)/'B) D RI'!S108</f>
        <v>2063.0078618421053</v>
      </c>
      <c r="N106" s="136">
        <f t="shared" si="11"/>
        <v>20.42582041427827</v>
      </c>
      <c r="O106" s="75">
        <f t="shared" si="12"/>
        <v>0.46322240358244005</v>
      </c>
    </row>
    <row r="107" spans="1:15" x14ac:dyDescent="0.25">
      <c r="A107" s="53">
        <f>'A) Base RI'!A109</f>
        <v>5565</v>
      </c>
      <c r="B107" s="54" t="str">
        <f>'A) Base RI'!B109</f>
        <v>Onnens</v>
      </c>
      <c r="C107" s="9">
        <f>'B) D RI'!U109</f>
        <v>17902.806410256413</v>
      </c>
      <c r="D107" s="35">
        <f>'B) D RI'!AR109</f>
        <v>500</v>
      </c>
      <c r="E107" s="295">
        <f t="shared" si="9"/>
        <v>35.805612820512827</v>
      </c>
      <c r="F107" s="81">
        <f t="shared" si="13"/>
        <v>0.76605276172472447</v>
      </c>
      <c r="G107" s="85">
        <f t="shared" si="14"/>
        <v>0</v>
      </c>
      <c r="H107" s="85">
        <f t="shared" si="15"/>
        <v>0</v>
      </c>
      <c r="I107" s="85">
        <f t="shared" si="16"/>
        <v>0</v>
      </c>
      <c r="J107" s="85">
        <f t="shared" si="17"/>
        <v>0</v>
      </c>
      <c r="K107" s="298">
        <f t="shared" si="10"/>
        <v>0</v>
      </c>
      <c r="L107" s="133">
        <f>K107*D107*'B) D RI'!S109</f>
        <v>0</v>
      </c>
      <c r="M107" s="10">
        <f>(('B) D RI'!S109*C107)-L107)/'B) D RI'!S109</f>
        <v>17902.806410256413</v>
      </c>
      <c r="N107" s="136">
        <f t="shared" si="11"/>
        <v>35.805612820512827</v>
      </c>
      <c r="O107" s="75">
        <f t="shared" si="12"/>
        <v>0.81200958865114126</v>
      </c>
    </row>
    <row r="108" spans="1:15" x14ac:dyDescent="0.25">
      <c r="A108" s="53">
        <f>'A) Base RI'!A110</f>
        <v>5566</v>
      </c>
      <c r="B108" s="54" t="str">
        <f>'A) Base RI'!B110</f>
        <v>Provence</v>
      </c>
      <c r="C108" s="9">
        <f>'B) D RI'!U110</f>
        <v>8605.0976954732487</v>
      </c>
      <c r="D108" s="35">
        <f>'B) D RI'!AR110</f>
        <v>390</v>
      </c>
      <c r="E108" s="295">
        <f t="shared" si="9"/>
        <v>22.064353065316023</v>
      </c>
      <c r="F108" s="81">
        <f t="shared" si="13"/>
        <v>0.47206170401505904</v>
      </c>
      <c r="G108" s="85">
        <f t="shared" si="14"/>
        <v>0</v>
      </c>
      <c r="H108" s="85">
        <f t="shared" si="15"/>
        <v>0</v>
      </c>
      <c r="I108" s="85">
        <f t="shared" si="16"/>
        <v>0</v>
      </c>
      <c r="J108" s="85">
        <f t="shared" si="17"/>
        <v>0</v>
      </c>
      <c r="K108" s="298">
        <f t="shared" si="10"/>
        <v>0</v>
      </c>
      <c r="L108" s="133">
        <f>K108*D108*'B) D RI'!S110</f>
        <v>0</v>
      </c>
      <c r="M108" s="10">
        <f>(('B) D RI'!S110*C108)-L108)/'B) D RI'!S110</f>
        <v>8605.0976954732487</v>
      </c>
      <c r="N108" s="136">
        <f t="shared" si="11"/>
        <v>22.064353065316023</v>
      </c>
      <c r="O108" s="75">
        <f t="shared" si="12"/>
        <v>0.50038150013610638</v>
      </c>
    </row>
    <row r="109" spans="1:15" x14ac:dyDescent="0.25">
      <c r="A109" s="53">
        <f>'A) Base RI'!A111</f>
        <v>5568</v>
      </c>
      <c r="B109" s="54" t="str">
        <f>'A) Base RI'!B111</f>
        <v>Sainte-Croix</v>
      </c>
      <c r="C109" s="9">
        <f>'B) D RI'!U111</f>
        <v>96229.339714285714</v>
      </c>
      <c r="D109" s="35">
        <f>'B) D RI'!AR111</f>
        <v>4851</v>
      </c>
      <c r="E109" s="295">
        <f t="shared" si="9"/>
        <v>19.837010866684334</v>
      </c>
      <c r="F109" s="81">
        <f t="shared" si="13"/>
        <v>0.42440823551778706</v>
      </c>
      <c r="G109" s="85">
        <f t="shared" si="14"/>
        <v>0</v>
      </c>
      <c r="H109" s="85">
        <f t="shared" si="15"/>
        <v>0</v>
      </c>
      <c r="I109" s="85">
        <f t="shared" si="16"/>
        <v>0</v>
      </c>
      <c r="J109" s="85">
        <f t="shared" si="17"/>
        <v>0</v>
      </c>
      <c r="K109" s="298">
        <f t="shared" si="10"/>
        <v>0</v>
      </c>
      <c r="L109" s="133">
        <f>K109*D109*'B) D RI'!S111</f>
        <v>0</v>
      </c>
      <c r="M109" s="10">
        <f>(('B) D RI'!S111*C109)-L109)/'B) D RI'!S111</f>
        <v>96229.339714285714</v>
      </c>
      <c r="N109" s="136">
        <f t="shared" si="11"/>
        <v>19.837010866684334</v>
      </c>
      <c r="O109" s="75">
        <f t="shared" si="12"/>
        <v>0.44986921784219475</v>
      </c>
    </row>
    <row r="110" spans="1:15" x14ac:dyDescent="0.25">
      <c r="A110" s="53">
        <f>'A) Base RI'!A112</f>
        <v>5571</v>
      </c>
      <c r="B110" s="54" t="str">
        <f>'A) Base RI'!B112</f>
        <v>Tévenon</v>
      </c>
      <c r="C110" s="9">
        <f>'B) D RI'!U112</f>
        <v>20963.465799086756</v>
      </c>
      <c r="D110" s="35">
        <f>'B) D RI'!AR112</f>
        <v>791</v>
      </c>
      <c r="E110" s="295">
        <f t="shared" si="9"/>
        <v>26.50248520744217</v>
      </c>
      <c r="F110" s="81">
        <f t="shared" si="13"/>
        <v>0.5670145093592327</v>
      </c>
      <c r="G110" s="85">
        <f t="shared" si="14"/>
        <v>0</v>
      </c>
      <c r="H110" s="85">
        <f t="shared" si="15"/>
        <v>0</v>
      </c>
      <c r="I110" s="85">
        <f t="shared" si="16"/>
        <v>0</v>
      </c>
      <c r="J110" s="85">
        <f t="shared" si="17"/>
        <v>0</v>
      </c>
      <c r="K110" s="298">
        <f t="shared" si="10"/>
        <v>0</v>
      </c>
      <c r="L110" s="133">
        <f>K110*D110*'B) D RI'!S112</f>
        <v>0</v>
      </c>
      <c r="M110" s="10">
        <f>(('B) D RI'!S112*C110)-L110)/'B) D RI'!S112</f>
        <v>20963.465799086756</v>
      </c>
      <c r="N110" s="136">
        <f t="shared" si="11"/>
        <v>26.50248520744217</v>
      </c>
      <c r="O110" s="75">
        <f t="shared" si="12"/>
        <v>0.60103068810483351</v>
      </c>
    </row>
    <row r="111" spans="1:15" x14ac:dyDescent="0.25">
      <c r="A111" s="53">
        <f>'A) Base RI'!A113</f>
        <v>5581</v>
      </c>
      <c r="B111" s="54" t="str">
        <f>'A) Base RI'!B113</f>
        <v>Belmont-sur-Lausanne</v>
      </c>
      <c r="C111" s="9">
        <f>'B) D RI'!U113</f>
        <v>187042.91923261393</v>
      </c>
      <c r="D111" s="35">
        <f>'B) D RI'!AR113</f>
        <v>3564</v>
      </c>
      <c r="E111" s="295">
        <f t="shared" si="9"/>
        <v>52.481178235862494</v>
      </c>
      <c r="F111" s="81">
        <f t="shared" si="13"/>
        <v>1.1228226068265392</v>
      </c>
      <c r="G111" s="85">
        <f t="shared" si="14"/>
        <v>0</v>
      </c>
      <c r="H111" s="85">
        <f t="shared" si="15"/>
        <v>0</v>
      </c>
      <c r="I111" s="85">
        <f t="shared" si="16"/>
        <v>0</v>
      </c>
      <c r="J111" s="85">
        <f t="shared" si="17"/>
        <v>0</v>
      </c>
      <c r="K111" s="298">
        <f t="shared" si="10"/>
        <v>0</v>
      </c>
      <c r="L111" s="133">
        <f>K111*D111*'B) D RI'!S113</f>
        <v>0</v>
      </c>
      <c r="M111" s="10">
        <f>(('B) D RI'!S113*C111)-L111)/'B) D RI'!S113</f>
        <v>187042.91923261393</v>
      </c>
      <c r="N111" s="136">
        <f t="shared" si="11"/>
        <v>52.481178235862494</v>
      </c>
      <c r="O111" s="75">
        <f t="shared" si="12"/>
        <v>1.1901826723327555</v>
      </c>
    </row>
    <row r="112" spans="1:15" x14ac:dyDescent="0.25">
      <c r="A112" s="53">
        <f>'A) Base RI'!A114</f>
        <v>5582</v>
      </c>
      <c r="B112" s="54" t="str">
        <f>'A) Base RI'!B114</f>
        <v>Cheseaux-sur-Lausanne</v>
      </c>
      <c r="C112" s="9">
        <f>'B) D RI'!U114</f>
        <v>203617.184295302</v>
      </c>
      <c r="D112" s="35">
        <f>'B) D RI'!AR114</f>
        <v>4347</v>
      </c>
      <c r="E112" s="295">
        <f t="shared" si="9"/>
        <v>46.840852149827924</v>
      </c>
      <c r="F112" s="81">
        <f t="shared" si="13"/>
        <v>1.0021491415546522</v>
      </c>
      <c r="G112" s="85">
        <f t="shared" si="14"/>
        <v>0</v>
      </c>
      <c r="H112" s="85">
        <f t="shared" si="15"/>
        <v>0</v>
      </c>
      <c r="I112" s="85">
        <f t="shared" si="16"/>
        <v>0</v>
      </c>
      <c r="J112" s="85">
        <f t="shared" si="17"/>
        <v>0</v>
      </c>
      <c r="K112" s="298">
        <f t="shared" si="10"/>
        <v>0</v>
      </c>
      <c r="L112" s="133">
        <f>K112*D112*'B) D RI'!S114</f>
        <v>0</v>
      </c>
      <c r="M112" s="10">
        <f>(('B) D RI'!S114*C112)-L112)/'B) D RI'!S114</f>
        <v>203617.184295302</v>
      </c>
      <c r="N112" s="136">
        <f t="shared" si="11"/>
        <v>46.840852149827924</v>
      </c>
      <c r="O112" s="75">
        <f t="shared" si="12"/>
        <v>1.0622697976687203</v>
      </c>
    </row>
    <row r="113" spans="1:15" x14ac:dyDescent="0.25">
      <c r="A113" s="53">
        <f>'A) Base RI'!A115</f>
        <v>5583</v>
      </c>
      <c r="B113" s="54" t="str">
        <f>'A) Base RI'!B115</f>
        <v>Crissier</v>
      </c>
      <c r="C113" s="9">
        <f>'B) D RI'!U115</f>
        <v>311741.22092307697</v>
      </c>
      <c r="D113" s="35">
        <f>'B) D RI'!AR115</f>
        <v>7636</v>
      </c>
      <c r="E113" s="295">
        <f t="shared" si="9"/>
        <v>40.825199177982839</v>
      </c>
      <c r="F113" s="81">
        <f t="shared" si="13"/>
        <v>0.87344564482188847</v>
      </c>
      <c r="G113" s="85">
        <f t="shared" si="14"/>
        <v>0</v>
      </c>
      <c r="H113" s="85">
        <f t="shared" si="15"/>
        <v>0</v>
      </c>
      <c r="I113" s="85">
        <f t="shared" si="16"/>
        <v>0</v>
      </c>
      <c r="J113" s="85">
        <f t="shared" si="17"/>
        <v>0</v>
      </c>
      <c r="K113" s="298">
        <f t="shared" si="10"/>
        <v>0</v>
      </c>
      <c r="L113" s="133">
        <f>K113*D113*'B) D RI'!S115</f>
        <v>0</v>
      </c>
      <c r="M113" s="10">
        <f>(('B) D RI'!S115*C113)-L113)/'B) D RI'!S115</f>
        <v>311741.22092307697</v>
      </c>
      <c r="N113" s="136">
        <f t="shared" si="11"/>
        <v>40.825199177982839</v>
      </c>
      <c r="O113" s="75">
        <f t="shared" si="12"/>
        <v>0.92584515610142148</v>
      </c>
    </row>
    <row r="114" spans="1:15" x14ac:dyDescent="0.25">
      <c r="A114" s="53">
        <f>'A) Base RI'!A116</f>
        <v>5584</v>
      </c>
      <c r="B114" s="54" t="str">
        <f>'A) Base RI'!B116</f>
        <v>Epalinges</v>
      </c>
      <c r="C114" s="9">
        <f>'B) D RI'!U116</f>
        <v>455692.51</v>
      </c>
      <c r="D114" s="35">
        <f>'B) D RI'!AR116</f>
        <v>9297</v>
      </c>
      <c r="E114" s="295">
        <f t="shared" si="9"/>
        <v>49.015005915886846</v>
      </c>
      <c r="F114" s="81">
        <f t="shared" si="13"/>
        <v>1.0486646559029915</v>
      </c>
      <c r="G114" s="85">
        <f t="shared" si="14"/>
        <v>0</v>
      </c>
      <c r="H114" s="85">
        <f t="shared" si="15"/>
        <v>0</v>
      </c>
      <c r="I114" s="85">
        <f t="shared" si="16"/>
        <v>0</v>
      </c>
      <c r="J114" s="85">
        <f t="shared" si="17"/>
        <v>0</v>
      </c>
      <c r="K114" s="298">
        <f t="shared" si="10"/>
        <v>0</v>
      </c>
      <c r="L114" s="133">
        <f>K114*D114*'B) D RI'!S116</f>
        <v>0</v>
      </c>
      <c r="M114" s="10">
        <f>(('B) D RI'!S116*C114)-L114)/'B) D RI'!S116</f>
        <v>455692.51</v>
      </c>
      <c r="N114" s="136">
        <f t="shared" si="11"/>
        <v>49.015005915886846</v>
      </c>
      <c r="O114" s="75">
        <f t="shared" si="12"/>
        <v>1.1115758579808741</v>
      </c>
    </row>
    <row r="115" spans="1:15" x14ac:dyDescent="0.25">
      <c r="A115" s="53">
        <f>'A) Base RI'!A117</f>
        <v>5585</v>
      </c>
      <c r="B115" s="54" t="str">
        <f>'A) Base RI'!B117</f>
        <v>Jouxtens-Mézery</v>
      </c>
      <c r="C115" s="9">
        <f>'B) D RI'!U117</f>
        <v>201546.16339622639</v>
      </c>
      <c r="D115" s="35">
        <f>'B) D RI'!AR117</f>
        <v>1448</v>
      </c>
      <c r="E115" s="295">
        <f t="shared" si="9"/>
        <v>139.18933936203479</v>
      </c>
      <c r="F115" s="81">
        <f t="shared" si="13"/>
        <v>2.9779235550422141</v>
      </c>
      <c r="G115" s="85">
        <f t="shared" si="14"/>
        <v>83.100858866411727</v>
      </c>
      <c r="H115" s="85">
        <f t="shared" si="15"/>
        <v>69.078738742505948</v>
      </c>
      <c r="I115" s="85">
        <f t="shared" si="16"/>
        <v>45.70853853599634</v>
      </c>
      <c r="J115" s="85">
        <f t="shared" si="17"/>
        <v>0</v>
      </c>
      <c r="K115" s="298">
        <f t="shared" si="10"/>
        <v>41.395036919758454</v>
      </c>
      <c r="L115" s="133">
        <f>K115*D115*'B) D RI'!S117</f>
        <v>3176820.7133699427</v>
      </c>
      <c r="M115" s="10">
        <f>(('B) D RI'!S117*C115)-L115)/'B) D RI'!S117</f>
        <v>141606.14993641613</v>
      </c>
      <c r="N115" s="136">
        <f t="shared" si="11"/>
        <v>97.794302442276333</v>
      </c>
      <c r="O115" s="75">
        <f t="shared" si="12"/>
        <v>2.2178062332474484</v>
      </c>
    </row>
    <row r="116" spans="1:15" x14ac:dyDescent="0.25">
      <c r="A116" s="53">
        <f>'A) Base RI'!A118</f>
        <v>5586</v>
      </c>
      <c r="B116" s="54" t="str">
        <f>'A) Base RI'!B118</f>
        <v>Lausanne</v>
      </c>
      <c r="C116" s="9">
        <f>'B) D RI'!U118</f>
        <v>6075429.3645991571</v>
      </c>
      <c r="D116" s="35">
        <f>'B) D RI'!AR118</f>
        <v>137053</v>
      </c>
      <c r="E116" s="295">
        <f t="shared" ref="E116:E169" si="18">C116/D116</f>
        <v>44.329050546862582</v>
      </c>
      <c r="F116" s="81">
        <f t="shared" si="13"/>
        <v>0.94840973023660757</v>
      </c>
      <c r="G116" s="85">
        <f t="shared" si="14"/>
        <v>0</v>
      </c>
      <c r="H116" s="85">
        <f t="shared" si="15"/>
        <v>0</v>
      </c>
      <c r="I116" s="85">
        <f t="shared" si="16"/>
        <v>0</v>
      </c>
      <c r="J116" s="85">
        <f t="shared" si="17"/>
        <v>0</v>
      </c>
      <c r="K116" s="298">
        <f t="shared" si="10"/>
        <v>0</v>
      </c>
      <c r="L116" s="133">
        <f>K116*D116*'B) D RI'!S118</f>
        <v>0</v>
      </c>
      <c r="M116" s="10">
        <f>(('B) D RI'!S118*C116)-L116)/'B) D RI'!S118</f>
        <v>6075429.3645991571</v>
      </c>
      <c r="N116" s="136">
        <f t="shared" si="11"/>
        <v>44.329050546862582</v>
      </c>
      <c r="O116" s="75">
        <f t="shared" si="12"/>
        <v>1.0053064663435074</v>
      </c>
    </row>
    <row r="117" spans="1:15" x14ac:dyDescent="0.25">
      <c r="A117" s="53">
        <f>'A) Base RI'!A119</f>
        <v>5587</v>
      </c>
      <c r="B117" s="54" t="str">
        <f>'A) Base RI'!B119</f>
        <v>Le Mont-sur-Lausanne</v>
      </c>
      <c r="C117" s="9">
        <f>'B) D RI'!U119</f>
        <v>413343.80273333337</v>
      </c>
      <c r="D117" s="35">
        <f>'B) D RI'!AR119</f>
        <v>7881</v>
      </c>
      <c r="E117" s="295">
        <f t="shared" si="18"/>
        <v>52.448141445671027</v>
      </c>
      <c r="F117" s="81">
        <f t="shared" si="13"/>
        <v>1.1221157923812297</v>
      </c>
      <c r="G117" s="85">
        <f t="shared" si="14"/>
        <v>0</v>
      </c>
      <c r="H117" s="85">
        <f t="shared" si="15"/>
        <v>0</v>
      </c>
      <c r="I117" s="85">
        <f t="shared" si="16"/>
        <v>0</v>
      </c>
      <c r="J117" s="85">
        <f t="shared" si="17"/>
        <v>0</v>
      </c>
      <c r="K117" s="298">
        <f t="shared" si="10"/>
        <v>0</v>
      </c>
      <c r="L117" s="133">
        <f>K117*D117*'B) D RI'!S119</f>
        <v>0</v>
      </c>
      <c r="M117" s="10">
        <f>(('B) D RI'!S119*C117)-L117)/'B) D RI'!S119</f>
        <v>413343.80273333337</v>
      </c>
      <c r="N117" s="136">
        <f t="shared" si="11"/>
        <v>52.448141445671027</v>
      </c>
      <c r="O117" s="75">
        <f t="shared" si="12"/>
        <v>1.1894334548693315</v>
      </c>
    </row>
    <row r="118" spans="1:15" x14ac:dyDescent="0.25">
      <c r="A118" s="53">
        <f>'A) Base RI'!A120</f>
        <v>5588</v>
      </c>
      <c r="B118" s="54" t="str">
        <f>'A) Base RI'!B120</f>
        <v>Paudex</v>
      </c>
      <c r="C118" s="9">
        <f>'B) D RI'!U120</f>
        <v>160000.57716608592</v>
      </c>
      <c r="D118" s="35">
        <f>'B) D RI'!AR120</f>
        <v>1473</v>
      </c>
      <c r="E118" s="295">
        <f t="shared" si="18"/>
        <v>108.62225197969173</v>
      </c>
      <c r="F118" s="81">
        <f t="shared" si="13"/>
        <v>2.3239478271443246</v>
      </c>
      <c r="G118" s="85">
        <f t="shared" si="14"/>
        <v>52.533771484068659</v>
      </c>
      <c r="H118" s="85">
        <f t="shared" si="15"/>
        <v>38.511651360162887</v>
      </c>
      <c r="I118" s="85">
        <f t="shared" si="16"/>
        <v>15.141451153653279</v>
      </c>
      <c r="J118" s="85">
        <f t="shared" si="17"/>
        <v>0</v>
      </c>
      <c r="K118" s="298">
        <f t="shared" si="10"/>
        <v>24.277467985646332</v>
      </c>
      <c r="L118" s="133">
        <f>K118*D118*'B) D RI'!S120</f>
        <v>2199283.6860857084</v>
      </c>
      <c r="M118" s="10">
        <f>(('B) D RI'!S120*C118)-L118)/'B) D RI'!S120</f>
        <v>124239.86682322888</v>
      </c>
      <c r="N118" s="136">
        <f t="shared" si="11"/>
        <v>84.3447839940454</v>
      </c>
      <c r="O118" s="75">
        <f t="shared" si="12"/>
        <v>1.9127943347652285</v>
      </c>
    </row>
    <row r="119" spans="1:15" x14ac:dyDescent="0.25">
      <c r="A119" s="53">
        <f>'A) Base RI'!A121</f>
        <v>5589</v>
      </c>
      <c r="B119" s="54" t="str">
        <f>'A) Base RI'!B121</f>
        <v>Prilly</v>
      </c>
      <c r="C119" s="9">
        <f>'B) D RI'!U121</f>
        <v>437574.2323809524</v>
      </c>
      <c r="D119" s="35">
        <f>'B) D RI'!AR121</f>
        <v>11871</v>
      </c>
      <c r="E119" s="295">
        <f t="shared" si="18"/>
        <v>36.860772671295798</v>
      </c>
      <c r="F119" s="81">
        <f t="shared" si="13"/>
        <v>0.78862766141448115</v>
      </c>
      <c r="G119" s="85">
        <f t="shared" si="14"/>
        <v>0</v>
      </c>
      <c r="H119" s="85">
        <f t="shared" si="15"/>
        <v>0</v>
      </c>
      <c r="I119" s="85">
        <f t="shared" si="16"/>
        <v>0</v>
      </c>
      <c r="J119" s="85">
        <f t="shared" si="17"/>
        <v>0</v>
      </c>
      <c r="K119" s="298">
        <f t="shared" si="10"/>
        <v>0</v>
      </c>
      <c r="L119" s="133">
        <f>K119*D119*'B) D RI'!S121</f>
        <v>0</v>
      </c>
      <c r="M119" s="10">
        <f>(('B) D RI'!S121*C119)-L119)/'B) D RI'!S121</f>
        <v>437574.2323809524</v>
      </c>
      <c r="N119" s="136">
        <f t="shared" si="11"/>
        <v>36.860772671295798</v>
      </c>
      <c r="O119" s="75">
        <f t="shared" si="12"/>
        <v>0.83593879552411021</v>
      </c>
    </row>
    <row r="120" spans="1:15" x14ac:dyDescent="0.25">
      <c r="A120" s="53">
        <f>'A) Base RI'!A122</f>
        <v>5590</v>
      </c>
      <c r="B120" s="54" t="str">
        <f>'A) Base RI'!B122</f>
        <v>Pully</v>
      </c>
      <c r="C120" s="9">
        <f>'B) D RI'!U122</f>
        <v>1422298.2200936768</v>
      </c>
      <c r="D120" s="35">
        <f>'B) D RI'!AR122</f>
        <v>17979</v>
      </c>
      <c r="E120" s="295">
        <f t="shared" si="18"/>
        <v>79.108861454679172</v>
      </c>
      <c r="F120" s="81">
        <f t="shared" si="13"/>
        <v>1.6925156985314129</v>
      </c>
      <c r="G120" s="85">
        <f t="shared" si="14"/>
        <v>23.020380959056105</v>
      </c>
      <c r="H120" s="85">
        <f t="shared" si="15"/>
        <v>8.998260835150333</v>
      </c>
      <c r="I120" s="85">
        <f t="shared" si="16"/>
        <v>0</v>
      </c>
      <c r="J120" s="85">
        <f t="shared" si="17"/>
        <v>0</v>
      </c>
      <c r="K120" s="298">
        <f t="shared" si="10"/>
        <v>9.1871632287752316</v>
      </c>
      <c r="L120" s="133">
        <f>K120*D120*'B) D RI'!S122</f>
        <v>10075736.469099144</v>
      </c>
      <c r="M120" s="10">
        <f>(('B) D RI'!S122*C120)-L120)/'B) D RI'!S122</f>
        <v>1257122.2124035268</v>
      </c>
      <c r="N120" s="136">
        <f t="shared" si="11"/>
        <v>69.921698225903924</v>
      </c>
      <c r="O120" s="75">
        <f t="shared" si="12"/>
        <v>1.5857036073874489</v>
      </c>
    </row>
    <row r="121" spans="1:15" x14ac:dyDescent="0.25">
      <c r="A121" s="53">
        <f>'A) Base RI'!A123</f>
        <v>5591</v>
      </c>
      <c r="B121" s="54" t="str">
        <f>'A) Base RI'!B123</f>
        <v>Renens</v>
      </c>
      <c r="C121" s="9">
        <f>'B) D RI'!U123</f>
        <v>529647.11015468603</v>
      </c>
      <c r="D121" s="35">
        <f>'B) D RI'!AR123</f>
        <v>20323</v>
      </c>
      <c r="E121" s="295">
        <f t="shared" si="18"/>
        <v>26.06146288218698</v>
      </c>
      <c r="F121" s="81">
        <f t="shared" si="13"/>
        <v>0.55757893924519597</v>
      </c>
      <c r="G121" s="85">
        <f t="shared" si="14"/>
        <v>0</v>
      </c>
      <c r="H121" s="85">
        <f t="shared" si="15"/>
        <v>0</v>
      </c>
      <c r="I121" s="85">
        <f t="shared" si="16"/>
        <v>0</v>
      </c>
      <c r="J121" s="85">
        <f t="shared" si="17"/>
        <v>0</v>
      </c>
      <c r="K121" s="298">
        <f t="shared" si="10"/>
        <v>0</v>
      </c>
      <c r="L121" s="133">
        <f>K121*D121*'B) D RI'!S123</f>
        <v>0</v>
      </c>
      <c r="M121" s="10">
        <f>(('B) D RI'!S123*C121)-L121)/'B) D RI'!S123</f>
        <v>529647.11015468603</v>
      </c>
      <c r="N121" s="136">
        <f t="shared" si="11"/>
        <v>26.06146288218698</v>
      </c>
      <c r="O121" s="75">
        <f t="shared" si="12"/>
        <v>0.59102906185948478</v>
      </c>
    </row>
    <row r="122" spans="1:15" x14ac:dyDescent="0.25">
      <c r="A122" s="53">
        <f>'A) Base RI'!A124</f>
        <v>5592</v>
      </c>
      <c r="B122" s="54" t="str">
        <f>'A) Base RI'!B124</f>
        <v>Romanel-sur-Lausanne</v>
      </c>
      <c r="C122" s="9">
        <f>'B) D RI'!U124</f>
        <v>116555.94314285714</v>
      </c>
      <c r="D122" s="35">
        <f>'B) D RI'!AR124</f>
        <v>3352</v>
      </c>
      <c r="E122" s="295">
        <f t="shared" si="18"/>
        <v>34.772059410160246</v>
      </c>
      <c r="F122" s="81">
        <f t="shared" si="13"/>
        <v>0.74394012680462029</v>
      </c>
      <c r="G122" s="85">
        <f t="shared" si="14"/>
        <v>0</v>
      </c>
      <c r="H122" s="85">
        <f t="shared" si="15"/>
        <v>0</v>
      </c>
      <c r="I122" s="85">
        <f t="shared" si="16"/>
        <v>0</v>
      </c>
      <c r="J122" s="85">
        <f t="shared" si="17"/>
        <v>0</v>
      </c>
      <c r="K122" s="298">
        <f t="shared" si="10"/>
        <v>0</v>
      </c>
      <c r="L122" s="133">
        <f>K122*D122*'B) D RI'!S124</f>
        <v>0</v>
      </c>
      <c r="M122" s="10">
        <f>(('B) D RI'!S124*C122)-L122)/'B) D RI'!S124</f>
        <v>116555.94314285714</v>
      </c>
      <c r="N122" s="136">
        <f t="shared" si="11"/>
        <v>34.772059410160246</v>
      </c>
      <c r="O122" s="75">
        <f t="shared" si="12"/>
        <v>0.78857037860894985</v>
      </c>
    </row>
    <row r="123" spans="1:15" x14ac:dyDescent="0.25">
      <c r="A123" s="53">
        <f>'A) Base RI'!A125</f>
        <v>5601</v>
      </c>
      <c r="B123" s="54" t="str">
        <f>'A) Base RI'!B125</f>
        <v>Chexbres</v>
      </c>
      <c r="C123" s="9">
        <f>'B) D RI'!U125</f>
        <v>99746.160000000018</v>
      </c>
      <c r="D123" s="35">
        <f>'B) D RI'!AR125</f>
        <v>2235</v>
      </c>
      <c r="E123" s="295">
        <f t="shared" si="18"/>
        <v>44.629154362416116</v>
      </c>
      <c r="F123" s="81">
        <f t="shared" si="13"/>
        <v>0.95483038159820655</v>
      </c>
      <c r="G123" s="85">
        <f t="shared" si="14"/>
        <v>0</v>
      </c>
      <c r="H123" s="85">
        <f t="shared" si="15"/>
        <v>0</v>
      </c>
      <c r="I123" s="85">
        <f t="shared" si="16"/>
        <v>0</v>
      </c>
      <c r="J123" s="85">
        <f t="shared" si="17"/>
        <v>0</v>
      </c>
      <c r="K123" s="298">
        <f t="shared" si="10"/>
        <v>0</v>
      </c>
      <c r="L123" s="133">
        <f>K123*D123*'B) D RI'!S125</f>
        <v>0</v>
      </c>
      <c r="M123" s="10">
        <f>(('B) D RI'!S125*C123)-L123)/'B) D RI'!S125</f>
        <v>99746.160000000018</v>
      </c>
      <c r="N123" s="136">
        <f t="shared" si="11"/>
        <v>44.629154362416116</v>
      </c>
      <c r="O123" s="75">
        <f t="shared" si="12"/>
        <v>1.0121123036585067</v>
      </c>
    </row>
    <row r="124" spans="1:15" x14ac:dyDescent="0.25">
      <c r="A124" s="53">
        <f>'A) Base RI'!A126</f>
        <v>5604</v>
      </c>
      <c r="B124" s="54" t="str">
        <f>'A) Base RI'!B126</f>
        <v>Forel (Lavaux)</v>
      </c>
      <c r="C124" s="9">
        <f>'B) D RI'!U126</f>
        <v>71240.347352941171</v>
      </c>
      <c r="D124" s="35">
        <f>'B) D RI'!AR126</f>
        <v>2066</v>
      </c>
      <c r="E124" s="295">
        <f t="shared" si="18"/>
        <v>34.482259125334544</v>
      </c>
      <c r="F124" s="81">
        <f t="shared" si="13"/>
        <v>0.73773991708743991</v>
      </c>
      <c r="G124" s="85">
        <f t="shared" si="14"/>
        <v>0</v>
      </c>
      <c r="H124" s="85">
        <f t="shared" si="15"/>
        <v>0</v>
      </c>
      <c r="I124" s="85">
        <f t="shared" si="16"/>
        <v>0</v>
      </c>
      <c r="J124" s="85">
        <f t="shared" si="17"/>
        <v>0</v>
      </c>
      <c r="K124" s="298">
        <f t="shared" si="10"/>
        <v>0</v>
      </c>
      <c r="L124" s="133">
        <f>K124*D124*'B) D RI'!S126</f>
        <v>0</v>
      </c>
      <c r="M124" s="10">
        <f>(('B) D RI'!S126*C124)-L124)/'B) D RI'!S126</f>
        <v>71240.347352941171</v>
      </c>
      <c r="N124" s="136">
        <f t="shared" si="11"/>
        <v>34.482259125334544</v>
      </c>
      <c r="O124" s="75">
        <f t="shared" si="12"/>
        <v>0.78199820761296879</v>
      </c>
    </row>
    <row r="125" spans="1:15" x14ac:dyDescent="0.25">
      <c r="A125" s="53">
        <f>'A) Base RI'!A127</f>
        <v>5606</v>
      </c>
      <c r="B125" s="54" t="str">
        <f>'A) Base RI'!B127</f>
        <v>Lutry</v>
      </c>
      <c r="C125" s="9">
        <f>'B) D RI'!U127</f>
        <v>770648.37755469768</v>
      </c>
      <c r="D125" s="35">
        <f>'B) D RI'!AR127</f>
        <v>9888</v>
      </c>
      <c r="E125" s="295">
        <f t="shared" si="18"/>
        <v>77.937740448492889</v>
      </c>
      <c r="F125" s="81">
        <f t="shared" si="13"/>
        <v>1.6674598368820104</v>
      </c>
      <c r="G125" s="85">
        <f t="shared" si="14"/>
        <v>21.849259952869822</v>
      </c>
      <c r="H125" s="85">
        <f t="shared" si="15"/>
        <v>7.8271398289640501</v>
      </c>
      <c r="I125" s="85">
        <f t="shared" si="16"/>
        <v>0</v>
      </c>
      <c r="J125" s="85">
        <f t="shared" si="17"/>
        <v>0</v>
      </c>
      <c r="K125" s="298">
        <f t="shared" si="10"/>
        <v>8.6484475659295406</v>
      </c>
      <c r="L125" s="133">
        <f>K125*D125*'B) D RI'!S127</f>
        <v>4746129.649021077</v>
      </c>
      <c r="M125" s="10">
        <f>(('B) D RI'!S127*C125)-L125)/'B) D RI'!S127</f>
        <v>685132.52802278637</v>
      </c>
      <c r="N125" s="136">
        <f t="shared" si="11"/>
        <v>69.289292882563345</v>
      </c>
      <c r="O125" s="75">
        <f t="shared" si="12"/>
        <v>1.571361744135982</v>
      </c>
    </row>
    <row r="126" spans="1:15" x14ac:dyDescent="0.25">
      <c r="A126" s="53">
        <f>'A) Base RI'!A128</f>
        <v>5607</v>
      </c>
      <c r="B126" s="54" t="str">
        <f>'A) Base RI'!B128</f>
        <v>Puidoux</v>
      </c>
      <c r="C126" s="9">
        <f>'B) D RI'!U128</f>
        <v>97147.534937888209</v>
      </c>
      <c r="D126" s="35">
        <f>'B) D RI'!AR128</f>
        <v>2874</v>
      </c>
      <c r="E126" s="295">
        <f t="shared" si="18"/>
        <v>33.802204223343146</v>
      </c>
      <c r="F126" s="81">
        <f t="shared" si="13"/>
        <v>0.72319030056763844</v>
      </c>
      <c r="G126" s="85">
        <f t="shared" si="14"/>
        <v>0</v>
      </c>
      <c r="H126" s="85">
        <f t="shared" si="15"/>
        <v>0</v>
      </c>
      <c r="I126" s="85">
        <f t="shared" si="16"/>
        <v>0</v>
      </c>
      <c r="J126" s="85">
        <f t="shared" si="17"/>
        <v>0</v>
      </c>
      <c r="K126" s="298">
        <f t="shared" si="10"/>
        <v>0</v>
      </c>
      <c r="L126" s="133">
        <f>K126*D126*'B) D RI'!S128</f>
        <v>0</v>
      </c>
      <c r="M126" s="10">
        <f>(('B) D RI'!S128*C126)-L126)/'B) D RI'!S128</f>
        <v>97147.534937888209</v>
      </c>
      <c r="N126" s="136">
        <f t="shared" si="11"/>
        <v>33.802204223343146</v>
      </c>
      <c r="O126" s="75">
        <f t="shared" si="12"/>
        <v>0.76657573449417693</v>
      </c>
    </row>
    <row r="127" spans="1:15" x14ac:dyDescent="0.25">
      <c r="A127" s="53">
        <f>'A) Base RI'!A129</f>
        <v>5609</v>
      </c>
      <c r="B127" s="54" t="str">
        <f>'A) Base RI'!B129</f>
        <v>Rivaz</v>
      </c>
      <c r="C127" s="9">
        <f>'B) D RI'!U129</f>
        <v>16888.91165354331</v>
      </c>
      <c r="D127" s="35">
        <f>'B) D RI'!AR129</f>
        <v>357</v>
      </c>
      <c r="E127" s="295">
        <f t="shared" si="18"/>
        <v>47.30787578023336</v>
      </c>
      <c r="F127" s="81">
        <f t="shared" si="13"/>
        <v>1.0121410035472453</v>
      </c>
      <c r="G127" s="85">
        <f t="shared" si="14"/>
        <v>0</v>
      </c>
      <c r="H127" s="85">
        <f t="shared" si="15"/>
        <v>0</v>
      </c>
      <c r="I127" s="85">
        <f t="shared" si="16"/>
        <v>0</v>
      </c>
      <c r="J127" s="85">
        <f t="shared" si="17"/>
        <v>0</v>
      </c>
      <c r="K127" s="298">
        <f t="shared" si="10"/>
        <v>0</v>
      </c>
      <c r="L127" s="133">
        <f>K127*D127*'B) D RI'!S129</f>
        <v>0</v>
      </c>
      <c r="M127" s="10">
        <f>(('B) D RI'!S129*C127)-L127)/'B) D RI'!S129</f>
        <v>16888.91165354331</v>
      </c>
      <c r="N127" s="136">
        <f t="shared" si="11"/>
        <v>47.30787578023336</v>
      </c>
      <c r="O127" s="75">
        <f t="shared" si="12"/>
        <v>1.0728610887022485</v>
      </c>
    </row>
    <row r="128" spans="1:15" x14ac:dyDescent="0.25">
      <c r="A128" s="53">
        <f>'A) Base RI'!A130</f>
        <v>5610</v>
      </c>
      <c r="B128" s="54" t="str">
        <f>'A) Base RI'!B130</f>
        <v>St-Saphorin (Lavaux)</v>
      </c>
      <c r="C128" s="9">
        <f>'B) D RI'!U130</f>
        <v>20007.714179104478</v>
      </c>
      <c r="D128" s="35">
        <f>'B) D RI'!AR130</f>
        <v>398</v>
      </c>
      <c r="E128" s="295">
        <f t="shared" si="18"/>
        <v>50.270638640966027</v>
      </c>
      <c r="F128" s="81">
        <f t="shared" si="13"/>
        <v>1.0755286261296872</v>
      </c>
      <c r="G128" s="85">
        <f t="shared" si="14"/>
        <v>0</v>
      </c>
      <c r="H128" s="85">
        <f t="shared" si="15"/>
        <v>0</v>
      </c>
      <c r="I128" s="85">
        <f t="shared" si="16"/>
        <v>0</v>
      </c>
      <c r="J128" s="85">
        <f t="shared" si="17"/>
        <v>0</v>
      </c>
      <c r="K128" s="298">
        <f t="shared" si="10"/>
        <v>0</v>
      </c>
      <c r="L128" s="133">
        <f>K128*D128*'B) D RI'!S130</f>
        <v>0</v>
      </c>
      <c r="M128" s="10">
        <f>(('B) D RI'!S130*C128)-L128)/'B) D RI'!S130</f>
        <v>20007.714179104478</v>
      </c>
      <c r="N128" s="136">
        <f t="shared" si="11"/>
        <v>50.270638640966027</v>
      </c>
      <c r="O128" s="75">
        <f t="shared" si="12"/>
        <v>1.1400514441326728</v>
      </c>
    </row>
    <row r="129" spans="1:15" x14ac:dyDescent="0.25">
      <c r="A129" s="53">
        <f>'A) Base RI'!A131</f>
        <v>5611</v>
      </c>
      <c r="B129" s="54" t="str">
        <f>'A) Base RI'!B131</f>
        <v>Savigny</v>
      </c>
      <c r="C129" s="9">
        <f>'B) D RI'!U131</f>
        <v>115537.42516908211</v>
      </c>
      <c r="D129" s="35">
        <f>'B) D RI'!AR131</f>
        <v>3276</v>
      </c>
      <c r="E129" s="295">
        <f t="shared" si="18"/>
        <v>35.267834300696613</v>
      </c>
      <c r="F129" s="81">
        <f t="shared" si="13"/>
        <v>0.75454711532323537</v>
      </c>
      <c r="G129" s="85">
        <f t="shared" si="14"/>
        <v>0</v>
      </c>
      <c r="H129" s="85">
        <f t="shared" si="15"/>
        <v>0</v>
      </c>
      <c r="I129" s="85">
        <f t="shared" si="16"/>
        <v>0</v>
      </c>
      <c r="J129" s="85">
        <f t="shared" si="17"/>
        <v>0</v>
      </c>
      <c r="K129" s="298">
        <f t="shared" si="10"/>
        <v>0</v>
      </c>
      <c r="L129" s="133">
        <f>K129*D129*'B) D RI'!S131</f>
        <v>0</v>
      </c>
      <c r="M129" s="10">
        <f>(('B) D RI'!S131*C129)-L129)/'B) D RI'!S131</f>
        <v>115537.42516908211</v>
      </c>
      <c r="N129" s="136">
        <f t="shared" si="11"/>
        <v>35.267834300696613</v>
      </c>
      <c r="O129" s="75">
        <f t="shared" si="12"/>
        <v>0.79981369867013774</v>
      </c>
    </row>
    <row r="130" spans="1:15" x14ac:dyDescent="0.25">
      <c r="A130" s="53">
        <f>'A) Base RI'!A132</f>
        <v>5613</v>
      </c>
      <c r="B130" s="54" t="str">
        <f>'A) Base RI'!B132</f>
        <v>Bourg-en-Lavaux</v>
      </c>
      <c r="C130" s="9">
        <f>'B) D RI'!U132</f>
        <v>301872.13311475411</v>
      </c>
      <c r="D130" s="35">
        <f>'B) D RI'!AR132</f>
        <v>5296</v>
      </c>
      <c r="E130" s="295">
        <f t="shared" si="18"/>
        <v>57.00002513496112</v>
      </c>
      <c r="F130" s="81">
        <f t="shared" si="13"/>
        <v>1.2195022856304873</v>
      </c>
      <c r="G130" s="85">
        <f t="shared" si="14"/>
        <v>0.91154463933805374</v>
      </c>
      <c r="H130" s="85">
        <f t="shared" si="15"/>
        <v>0</v>
      </c>
      <c r="I130" s="85">
        <f t="shared" si="16"/>
        <v>0</v>
      </c>
      <c r="J130" s="85">
        <f t="shared" si="17"/>
        <v>0</v>
      </c>
      <c r="K130" s="298">
        <f t="shared" si="10"/>
        <v>0.32815607016169934</v>
      </c>
      <c r="L130" s="133">
        <f>K130*D130*'B) D RI'!S132</f>
        <v>106012.78740215793</v>
      </c>
      <c r="M130" s="10">
        <f>(('B) D RI'!S132*C130)-L130)/'B) D RI'!S132</f>
        <v>300134.21856717777</v>
      </c>
      <c r="N130" s="136">
        <f t="shared" si="11"/>
        <v>56.671869064799431</v>
      </c>
      <c r="O130" s="75">
        <f t="shared" si="12"/>
        <v>1.2852203177775419</v>
      </c>
    </row>
    <row r="131" spans="1:15" x14ac:dyDescent="0.25">
      <c r="A131" s="53">
        <f>'A) Base RI'!A133</f>
        <v>5621</v>
      </c>
      <c r="B131" s="54" t="str">
        <f>'A) Base RI'!B133</f>
        <v>Aclens</v>
      </c>
      <c r="C131" s="9">
        <f>'B) D RI'!U133</f>
        <v>26820.105850439882</v>
      </c>
      <c r="D131" s="35">
        <f>'B) D RI'!AR133</f>
        <v>521</v>
      </c>
      <c r="E131" s="295">
        <f t="shared" si="18"/>
        <v>51.478130231170603</v>
      </c>
      <c r="F131" s="81">
        <f t="shared" si="13"/>
        <v>1.1013626279682387</v>
      </c>
      <c r="G131" s="85">
        <f t="shared" si="14"/>
        <v>0</v>
      </c>
      <c r="H131" s="85">
        <f t="shared" si="15"/>
        <v>0</v>
      </c>
      <c r="I131" s="85">
        <f t="shared" si="16"/>
        <v>0</v>
      </c>
      <c r="J131" s="85">
        <f t="shared" si="17"/>
        <v>0</v>
      </c>
      <c r="K131" s="298">
        <f t="shared" si="10"/>
        <v>0</v>
      </c>
      <c r="L131" s="133">
        <f>K131*D131*'B) D RI'!S133</f>
        <v>0</v>
      </c>
      <c r="M131" s="10">
        <f>(('B) D RI'!S133*C131)-L131)/'B) D RI'!S133</f>
        <v>26820.105850439882</v>
      </c>
      <c r="N131" s="136">
        <f t="shared" si="11"/>
        <v>51.478130231170603</v>
      </c>
      <c r="O131" s="75">
        <f t="shared" si="12"/>
        <v>1.167435272315611</v>
      </c>
    </row>
    <row r="132" spans="1:15" x14ac:dyDescent="0.25">
      <c r="A132" s="53">
        <f>'A) Base RI'!A134</f>
        <v>5622</v>
      </c>
      <c r="B132" s="54" t="str">
        <f>'A) Base RI'!B134</f>
        <v>Bremblens</v>
      </c>
      <c r="C132" s="9">
        <f>'B) D RI'!U134</f>
        <v>32681.756515151512</v>
      </c>
      <c r="D132" s="35">
        <f>'B) D RI'!AR134</f>
        <v>516</v>
      </c>
      <c r="E132" s="295">
        <f t="shared" si="18"/>
        <v>63.336737432464169</v>
      </c>
      <c r="F132" s="81">
        <f t="shared" si="13"/>
        <v>1.3550747719915157</v>
      </c>
      <c r="G132" s="85">
        <f t="shared" si="14"/>
        <v>7.2482569368411021</v>
      </c>
      <c r="H132" s="85">
        <f t="shared" si="15"/>
        <v>0</v>
      </c>
      <c r="I132" s="85">
        <f t="shared" si="16"/>
        <v>0</v>
      </c>
      <c r="J132" s="85">
        <f t="shared" si="17"/>
        <v>0</v>
      </c>
      <c r="K132" s="298">
        <f t="shared" si="10"/>
        <v>2.6093724972627967</v>
      </c>
      <c r="L132" s="133">
        <f>K132*D132*'B) D RI'!S134</f>
        <v>88864.789766781818</v>
      </c>
      <c r="M132" s="10">
        <f>(('B) D RI'!S134*C132)-L132)/'B) D RI'!S134</f>
        <v>31335.32030656391</v>
      </c>
      <c r="N132" s="136">
        <f t="shared" si="11"/>
        <v>60.727364935201379</v>
      </c>
      <c r="O132" s="75">
        <f t="shared" si="12"/>
        <v>1.377191974568035</v>
      </c>
    </row>
    <row r="133" spans="1:15" x14ac:dyDescent="0.25">
      <c r="A133" s="53">
        <f>'A) Base RI'!A135</f>
        <v>5623</v>
      </c>
      <c r="B133" s="54" t="str">
        <f>'A) Base RI'!B135</f>
        <v>Buchillon</v>
      </c>
      <c r="C133" s="9">
        <f>'B) D RI'!U135</f>
        <v>82402.410188679249</v>
      </c>
      <c r="D133" s="35">
        <f>'B) D RI'!AR135</f>
        <v>609</v>
      </c>
      <c r="E133" s="295">
        <f t="shared" si="18"/>
        <v>135.30773429996592</v>
      </c>
      <c r="F133" s="81">
        <f t="shared" si="13"/>
        <v>2.8948775171869698</v>
      </c>
      <c r="G133" s="85">
        <f t="shared" si="14"/>
        <v>79.219253804342856</v>
      </c>
      <c r="H133" s="85">
        <f t="shared" si="15"/>
        <v>65.197133680437076</v>
      </c>
      <c r="I133" s="85">
        <f t="shared" si="16"/>
        <v>41.826933473927468</v>
      </c>
      <c r="J133" s="85">
        <f t="shared" si="17"/>
        <v>0</v>
      </c>
      <c r="K133" s="298">
        <f t="shared" ref="K133:K196" si="19">(G133-H133)*$G$3+(H133-I133)*$H$3+(I133-J133)*$I$3+(J133*$J$3)</f>
        <v>39.221338084999886</v>
      </c>
      <c r="L133" s="133">
        <f>K133*D133*'B) D RI'!S135</f>
        <v>1265947.1293695413</v>
      </c>
      <c r="M133" s="10">
        <f>(('B) D RI'!S135*C133)-L133)/'B) D RI'!S135</f>
        <v>58516.615294914322</v>
      </c>
      <c r="N133" s="136">
        <f t="shared" ref="N133:N196" si="20">M133/D133</f>
        <v>96.086396214966044</v>
      </c>
      <c r="O133" s="75">
        <f t="shared" ref="O133:O196" si="21">N133/N$323</f>
        <v>2.1790738635476221</v>
      </c>
    </row>
    <row r="134" spans="1:15" x14ac:dyDescent="0.25">
      <c r="A134" s="53">
        <f>'A) Base RI'!A136</f>
        <v>5624</v>
      </c>
      <c r="B134" s="54" t="str">
        <f>'A) Base RI'!B136</f>
        <v>Bussigny</v>
      </c>
      <c r="C134" s="9">
        <f>'B) D RI'!U136</f>
        <v>334130.13322580641</v>
      </c>
      <c r="D134" s="35">
        <f>'B) D RI'!AR136</f>
        <v>8227</v>
      </c>
      <c r="E134" s="295">
        <f t="shared" si="18"/>
        <v>40.613848696463641</v>
      </c>
      <c r="F134" s="81">
        <f t="shared" ref="F134:F197" si="22">E134/$E$323</f>
        <v>0.86892385040738607</v>
      </c>
      <c r="G134" s="85">
        <f t="shared" ref="G134:G197" si="23">IF(E134-$G$2&lt;0,0,E134-$G$2)</f>
        <v>0</v>
      </c>
      <c r="H134" s="85">
        <f t="shared" ref="H134:H197" si="24">IF(E134-$H$2&lt;0,0,E134-$H$2)</f>
        <v>0</v>
      </c>
      <c r="I134" s="85">
        <f t="shared" ref="I134:I197" si="25">IF(E134-$I$2&lt;0,0,E134-$I$2)</f>
        <v>0</v>
      </c>
      <c r="J134" s="85">
        <f t="shared" ref="J134:J197" si="26">IF(E134-$J$2&lt;0,0,E134-$J$2)</f>
        <v>0</v>
      </c>
      <c r="K134" s="298">
        <f t="shared" si="19"/>
        <v>0</v>
      </c>
      <c r="L134" s="133">
        <f>K134*D134*'B) D RI'!S136</f>
        <v>0</v>
      </c>
      <c r="M134" s="10">
        <f>(('B) D RI'!S136*C134)-L134)/'B) D RI'!S136</f>
        <v>334130.13322580641</v>
      </c>
      <c r="N134" s="136">
        <f t="shared" si="20"/>
        <v>40.613848696463641</v>
      </c>
      <c r="O134" s="75">
        <f t="shared" si="21"/>
        <v>0.92105209143807054</v>
      </c>
    </row>
    <row r="135" spans="1:15" x14ac:dyDescent="0.25">
      <c r="A135" s="53">
        <f>'A) Base RI'!A137</f>
        <v>5625</v>
      </c>
      <c r="B135" s="54" t="str">
        <f>'A) Base RI'!B137</f>
        <v>Bussy-Chardonney</v>
      </c>
      <c r="C135" s="9">
        <f>'B) D RI'!U137</f>
        <v>13745.926324786325</v>
      </c>
      <c r="D135" s="35">
        <f>'B) D RI'!AR137</f>
        <v>369</v>
      </c>
      <c r="E135" s="295">
        <f t="shared" si="18"/>
        <v>37.251832858499526</v>
      </c>
      <c r="F135" s="81">
        <f t="shared" si="22"/>
        <v>0.79699430320077613</v>
      </c>
      <c r="G135" s="85">
        <f t="shared" si="23"/>
        <v>0</v>
      </c>
      <c r="H135" s="85">
        <f t="shared" si="24"/>
        <v>0</v>
      </c>
      <c r="I135" s="85">
        <f t="shared" si="25"/>
        <v>0</v>
      </c>
      <c r="J135" s="85">
        <f t="shared" si="26"/>
        <v>0</v>
      </c>
      <c r="K135" s="298">
        <f t="shared" si="19"/>
        <v>0</v>
      </c>
      <c r="L135" s="133">
        <f>K135*D135*'B) D RI'!S137</f>
        <v>0</v>
      </c>
      <c r="M135" s="10">
        <f>(('B) D RI'!S137*C135)-L135)/'B) D RI'!S137</f>
        <v>13745.926324786325</v>
      </c>
      <c r="N135" s="136">
        <f t="shared" si="20"/>
        <v>37.251832858499526</v>
      </c>
      <c r="O135" s="75">
        <f t="shared" si="21"/>
        <v>0.84480736658700284</v>
      </c>
    </row>
    <row r="136" spans="1:15" x14ac:dyDescent="0.25">
      <c r="A136" s="53">
        <f>'A) Base RI'!A138</f>
        <v>5627</v>
      </c>
      <c r="B136" s="54" t="str">
        <f>'A) Base RI'!B138</f>
        <v>Chavannes-près-Renens</v>
      </c>
      <c r="C136" s="9">
        <f>'B) D RI'!U138</f>
        <v>171770.86046413501</v>
      </c>
      <c r="D136" s="35">
        <f>'B) D RI'!AR138</f>
        <v>7543</v>
      </c>
      <c r="E136" s="295">
        <f t="shared" si="18"/>
        <v>22.772220663414426</v>
      </c>
      <c r="F136" s="81">
        <f t="shared" si="22"/>
        <v>0.4872063667018004</v>
      </c>
      <c r="G136" s="85">
        <f t="shared" si="23"/>
        <v>0</v>
      </c>
      <c r="H136" s="85">
        <f t="shared" si="24"/>
        <v>0</v>
      </c>
      <c r="I136" s="85">
        <f t="shared" si="25"/>
        <v>0</v>
      </c>
      <c r="J136" s="85">
        <f t="shared" si="26"/>
        <v>0</v>
      </c>
      <c r="K136" s="298">
        <f t="shared" si="19"/>
        <v>0</v>
      </c>
      <c r="L136" s="133">
        <f>K136*D136*'B) D RI'!S138</f>
        <v>0</v>
      </c>
      <c r="M136" s="10">
        <f>(('B) D RI'!S138*C136)-L136)/'B) D RI'!S138</f>
        <v>171770.86046413501</v>
      </c>
      <c r="N136" s="136">
        <f t="shared" si="20"/>
        <v>22.772220663414426</v>
      </c>
      <c r="O136" s="75">
        <f t="shared" si="21"/>
        <v>0.51643471726808798</v>
      </c>
    </row>
    <row r="137" spans="1:15" x14ac:dyDescent="0.25">
      <c r="A137" s="53">
        <f>'A) Base RI'!A139</f>
        <v>5628</v>
      </c>
      <c r="B137" s="54" t="str">
        <f>'A) Base RI'!B139</f>
        <v>Chigny</v>
      </c>
      <c r="C137" s="9">
        <f>'B) D RI'!U139</f>
        <v>19361.666733870967</v>
      </c>
      <c r="D137" s="35">
        <f>'B) D RI'!AR139</f>
        <v>343</v>
      </c>
      <c r="E137" s="295">
        <f t="shared" si="18"/>
        <v>56.448007970469291</v>
      </c>
      <c r="F137" s="81">
        <f t="shared" si="22"/>
        <v>1.2076920067365551</v>
      </c>
      <c r="G137" s="85">
        <f t="shared" si="23"/>
        <v>0.35952747484622449</v>
      </c>
      <c r="H137" s="85">
        <f t="shared" si="24"/>
        <v>0</v>
      </c>
      <c r="I137" s="85">
        <f t="shared" si="25"/>
        <v>0</v>
      </c>
      <c r="J137" s="85">
        <f t="shared" si="26"/>
        <v>0</v>
      </c>
      <c r="K137" s="298">
        <f t="shared" si="19"/>
        <v>0.1294298909446408</v>
      </c>
      <c r="L137" s="133">
        <f>K137*D137*'B) D RI'!S139</f>
        <v>2752.4560608287311</v>
      </c>
      <c r="M137" s="10">
        <f>(('B) D RI'!S139*C137)-L137)/'B) D RI'!S139</f>
        <v>19317.272281276957</v>
      </c>
      <c r="N137" s="136">
        <f t="shared" si="20"/>
        <v>56.318578079524656</v>
      </c>
      <c r="O137" s="75">
        <f t="shared" si="21"/>
        <v>1.2772082871200809</v>
      </c>
    </row>
    <row r="138" spans="1:15" x14ac:dyDescent="0.25">
      <c r="A138" s="53">
        <f>'A) Base RI'!A140</f>
        <v>5629</v>
      </c>
      <c r="B138" s="54" t="str">
        <f>'A) Base RI'!B140</f>
        <v>Clarmont</v>
      </c>
      <c r="C138" s="9">
        <f>'B) D RI'!U140</f>
        <v>7536.1791999999996</v>
      </c>
      <c r="D138" s="35">
        <f>'B) D RI'!AR140</f>
        <v>175</v>
      </c>
      <c r="E138" s="295">
        <f t="shared" si="18"/>
        <v>43.063881142857142</v>
      </c>
      <c r="F138" s="81">
        <f t="shared" si="22"/>
        <v>0.92134172498149991</v>
      </c>
      <c r="G138" s="85">
        <f t="shared" si="23"/>
        <v>0</v>
      </c>
      <c r="H138" s="85">
        <f t="shared" si="24"/>
        <v>0</v>
      </c>
      <c r="I138" s="85">
        <f t="shared" si="25"/>
        <v>0</v>
      </c>
      <c r="J138" s="85">
        <f t="shared" si="26"/>
        <v>0</v>
      </c>
      <c r="K138" s="298">
        <f t="shared" si="19"/>
        <v>0</v>
      </c>
      <c r="L138" s="133">
        <f>K138*D138*'B) D RI'!S140</f>
        <v>0</v>
      </c>
      <c r="M138" s="10">
        <f>(('B) D RI'!S140*C138)-L138)/'B) D RI'!S140</f>
        <v>7536.1791999999996</v>
      </c>
      <c r="N138" s="136">
        <f t="shared" si="20"/>
        <v>43.063881142857142</v>
      </c>
      <c r="O138" s="75">
        <f t="shared" si="21"/>
        <v>0.97661460474989947</v>
      </c>
    </row>
    <row r="139" spans="1:15" x14ac:dyDescent="0.25">
      <c r="A139" s="53">
        <f>'A) Base RI'!A141</f>
        <v>5631</v>
      </c>
      <c r="B139" s="54" t="str">
        <f>'A) Base RI'!B141</f>
        <v>Denens</v>
      </c>
      <c r="C139" s="9">
        <f>'B) D RI'!U141</f>
        <v>42221.936176470583</v>
      </c>
      <c r="D139" s="35">
        <f>'B) D RI'!AR141</f>
        <v>769</v>
      </c>
      <c r="E139" s="295">
        <f t="shared" si="18"/>
        <v>54.90498852596955</v>
      </c>
      <c r="F139" s="81">
        <f t="shared" si="22"/>
        <v>1.174679464463384</v>
      </c>
      <c r="G139" s="85">
        <f t="shared" si="23"/>
        <v>0</v>
      </c>
      <c r="H139" s="85">
        <f t="shared" si="24"/>
        <v>0</v>
      </c>
      <c r="I139" s="85">
        <f t="shared" si="25"/>
        <v>0</v>
      </c>
      <c r="J139" s="85">
        <f t="shared" si="26"/>
        <v>0</v>
      </c>
      <c r="K139" s="298">
        <f t="shared" si="19"/>
        <v>0</v>
      </c>
      <c r="L139" s="133">
        <f>K139*D139*'B) D RI'!S141</f>
        <v>0</v>
      </c>
      <c r="M139" s="10">
        <f>(('B) D RI'!S141*C139)-L139)/'B) D RI'!S141</f>
        <v>42221.936176470583</v>
      </c>
      <c r="N139" s="136">
        <f t="shared" si="20"/>
        <v>54.90498852596955</v>
      </c>
      <c r="O139" s="75">
        <f t="shared" si="21"/>
        <v>1.2451505123332678</v>
      </c>
    </row>
    <row r="140" spans="1:15" x14ac:dyDescent="0.25">
      <c r="A140" s="53">
        <f>'A) Base RI'!A142</f>
        <v>5632</v>
      </c>
      <c r="B140" s="54" t="str">
        <f>'A) Base RI'!B142</f>
        <v>Denges</v>
      </c>
      <c r="C140" s="9">
        <f>'B) D RI'!U142</f>
        <v>67310.066612903232</v>
      </c>
      <c r="D140" s="35">
        <f>'B) D RI'!AR142</f>
        <v>1624</v>
      </c>
      <c r="E140" s="295">
        <f t="shared" si="18"/>
        <v>41.447085352772923</v>
      </c>
      <c r="F140" s="81">
        <f t="shared" si="22"/>
        <v>0.88675075494706534</v>
      </c>
      <c r="G140" s="85">
        <f t="shared" si="23"/>
        <v>0</v>
      </c>
      <c r="H140" s="85">
        <f t="shared" si="24"/>
        <v>0</v>
      </c>
      <c r="I140" s="85">
        <f t="shared" si="25"/>
        <v>0</v>
      </c>
      <c r="J140" s="85">
        <f t="shared" si="26"/>
        <v>0</v>
      </c>
      <c r="K140" s="298">
        <f t="shared" si="19"/>
        <v>0</v>
      </c>
      <c r="L140" s="133">
        <f>K140*D140*'B) D RI'!S142</f>
        <v>0</v>
      </c>
      <c r="M140" s="10">
        <f>(('B) D RI'!S142*C140)-L140)/'B) D RI'!S142</f>
        <v>67310.066612903232</v>
      </c>
      <c r="N140" s="136">
        <f t="shared" si="20"/>
        <v>41.447085352772923</v>
      </c>
      <c r="O140" s="75">
        <f t="shared" si="21"/>
        <v>0.93994846273969879</v>
      </c>
    </row>
    <row r="141" spans="1:15" x14ac:dyDescent="0.25">
      <c r="A141" s="53">
        <f>'A) Base RI'!A143</f>
        <v>5633</v>
      </c>
      <c r="B141" s="54" t="str">
        <f>'A) Base RI'!B143</f>
        <v>Echandens</v>
      </c>
      <c r="C141" s="9">
        <f>'B) D RI'!U143</f>
        <v>139554.44612903227</v>
      </c>
      <c r="D141" s="35">
        <f>'B) D RI'!AR143</f>
        <v>2731</v>
      </c>
      <c r="E141" s="295">
        <f t="shared" si="18"/>
        <v>51.100126740766115</v>
      </c>
      <c r="F141" s="81">
        <f t="shared" si="22"/>
        <v>1.093275331174367</v>
      </c>
      <c r="G141" s="85">
        <f t="shared" si="23"/>
        <v>0</v>
      </c>
      <c r="H141" s="85">
        <f t="shared" si="24"/>
        <v>0</v>
      </c>
      <c r="I141" s="85">
        <f t="shared" si="25"/>
        <v>0</v>
      </c>
      <c r="J141" s="85">
        <f t="shared" si="26"/>
        <v>0</v>
      </c>
      <c r="K141" s="298">
        <f t="shared" si="19"/>
        <v>0</v>
      </c>
      <c r="L141" s="133">
        <f>K141*D141*'B) D RI'!S143</f>
        <v>0</v>
      </c>
      <c r="M141" s="10">
        <f>(('B) D RI'!S143*C141)-L141)/'B) D RI'!S143</f>
        <v>139554.44612903227</v>
      </c>
      <c r="N141" s="136">
        <f t="shared" si="20"/>
        <v>51.100126740766115</v>
      </c>
      <c r="O141" s="75">
        <f t="shared" si="21"/>
        <v>1.1588628046332201</v>
      </c>
    </row>
    <row r="142" spans="1:15" x14ac:dyDescent="0.25">
      <c r="A142" s="53">
        <f>'A) Base RI'!A144</f>
        <v>5634</v>
      </c>
      <c r="B142" s="54" t="str">
        <f>'A) Base RI'!B144</f>
        <v>Echichens</v>
      </c>
      <c r="C142" s="9">
        <f>'B) D RI'!U144</f>
        <v>125699.21529411766</v>
      </c>
      <c r="D142" s="35">
        <f>'B) D RI'!AR144</f>
        <v>2639</v>
      </c>
      <c r="E142" s="295">
        <f t="shared" si="18"/>
        <v>47.631381316452313</v>
      </c>
      <c r="F142" s="81">
        <f t="shared" si="22"/>
        <v>1.0190623292817345</v>
      </c>
      <c r="G142" s="85">
        <f t="shared" si="23"/>
        <v>0</v>
      </c>
      <c r="H142" s="85">
        <f t="shared" si="24"/>
        <v>0</v>
      </c>
      <c r="I142" s="85">
        <f t="shared" si="25"/>
        <v>0</v>
      </c>
      <c r="J142" s="85">
        <f t="shared" si="26"/>
        <v>0</v>
      </c>
      <c r="K142" s="298">
        <f t="shared" si="19"/>
        <v>0</v>
      </c>
      <c r="L142" s="133">
        <f>K142*D142*'B) D RI'!S144</f>
        <v>0</v>
      </c>
      <c r="M142" s="10">
        <f>(('B) D RI'!S144*C142)-L142)/'B) D RI'!S144</f>
        <v>125699.21529411766</v>
      </c>
      <c r="N142" s="136">
        <f t="shared" si="20"/>
        <v>47.631381316452313</v>
      </c>
      <c r="O142" s="75">
        <f t="shared" si="21"/>
        <v>1.0801976367096331</v>
      </c>
    </row>
    <row r="143" spans="1:15" x14ac:dyDescent="0.25">
      <c r="A143" s="53">
        <f>'A) Base RI'!A145</f>
        <v>5635</v>
      </c>
      <c r="B143" s="54" t="str">
        <f>'A) Base RI'!B145</f>
        <v>Ecublens</v>
      </c>
      <c r="C143" s="9">
        <f>'B) D RI'!U145</f>
        <v>424543.31159592536</v>
      </c>
      <c r="D143" s="35">
        <f>'B) D RI'!AR145</f>
        <v>12340</v>
      </c>
      <c r="E143" s="295">
        <f t="shared" si="18"/>
        <v>34.403834002911296</v>
      </c>
      <c r="F143" s="81">
        <f t="shared" si="22"/>
        <v>0.73606202982652114</v>
      </c>
      <c r="G143" s="85">
        <f t="shared" si="23"/>
        <v>0</v>
      </c>
      <c r="H143" s="85">
        <f t="shared" si="24"/>
        <v>0</v>
      </c>
      <c r="I143" s="85">
        <f t="shared" si="25"/>
        <v>0</v>
      </c>
      <c r="J143" s="85">
        <f t="shared" si="26"/>
        <v>0</v>
      </c>
      <c r="K143" s="298">
        <f t="shared" si="19"/>
        <v>0</v>
      </c>
      <c r="L143" s="133">
        <f>K143*D143*'B) D RI'!S145</f>
        <v>0</v>
      </c>
      <c r="M143" s="10">
        <f>(('B) D RI'!S145*C143)-L143)/'B) D RI'!S145</f>
        <v>424543.31159592536</v>
      </c>
      <c r="N143" s="136">
        <f t="shared" si="20"/>
        <v>34.403834002911296</v>
      </c>
      <c r="O143" s="75">
        <f t="shared" si="21"/>
        <v>0.78021966100023399</v>
      </c>
    </row>
    <row r="144" spans="1:15" x14ac:dyDescent="0.25">
      <c r="A144" s="53">
        <f>'A) Base RI'!A146</f>
        <v>5636</v>
      </c>
      <c r="B144" s="54" t="str">
        <f>'A) Base RI'!B146</f>
        <v>Etoy</v>
      </c>
      <c r="C144" s="9">
        <f>'B) D RI'!U146</f>
        <v>150854.83475409835</v>
      </c>
      <c r="D144" s="35">
        <f>'B) D RI'!AR146</f>
        <v>2906</v>
      </c>
      <c r="E144" s="295">
        <f t="shared" si="18"/>
        <v>51.911505421231368</v>
      </c>
      <c r="F144" s="81">
        <f t="shared" si="22"/>
        <v>1.1106345894026994</v>
      </c>
      <c r="G144" s="85">
        <f t="shared" si="23"/>
        <v>0</v>
      </c>
      <c r="H144" s="85">
        <f t="shared" si="24"/>
        <v>0</v>
      </c>
      <c r="I144" s="85">
        <f t="shared" si="25"/>
        <v>0</v>
      </c>
      <c r="J144" s="85">
        <f t="shared" si="26"/>
        <v>0</v>
      </c>
      <c r="K144" s="298">
        <f t="shared" si="19"/>
        <v>0</v>
      </c>
      <c r="L144" s="133">
        <f>K144*D144*'B) D RI'!S146</f>
        <v>0</v>
      </c>
      <c r="M144" s="10">
        <f>(('B) D RI'!S146*C144)-L144)/'B) D RI'!S146</f>
        <v>150854.83475409835</v>
      </c>
      <c r="N144" s="136">
        <f t="shared" si="20"/>
        <v>51.911505421231368</v>
      </c>
      <c r="O144" s="75">
        <f t="shared" si="21"/>
        <v>1.1772634747144048</v>
      </c>
    </row>
    <row r="145" spans="1:15" x14ac:dyDescent="0.25">
      <c r="A145" s="53">
        <f>'A) Base RI'!A147</f>
        <v>5637</v>
      </c>
      <c r="B145" s="54" t="str">
        <f>'A) Base RI'!B147</f>
        <v>Lavigny</v>
      </c>
      <c r="C145" s="9">
        <f>'B) D RI'!U147</f>
        <v>35788.809619686814</v>
      </c>
      <c r="D145" s="35">
        <f>'B) D RI'!AR147</f>
        <v>1006</v>
      </c>
      <c r="E145" s="295">
        <f t="shared" si="18"/>
        <v>35.575357474837787</v>
      </c>
      <c r="F145" s="81">
        <f t="shared" si="22"/>
        <v>0.76112650213686472</v>
      </c>
      <c r="G145" s="85">
        <f t="shared" si="23"/>
        <v>0</v>
      </c>
      <c r="H145" s="85">
        <f t="shared" si="24"/>
        <v>0</v>
      </c>
      <c r="I145" s="85">
        <f t="shared" si="25"/>
        <v>0</v>
      </c>
      <c r="J145" s="85">
        <f t="shared" si="26"/>
        <v>0</v>
      </c>
      <c r="K145" s="298">
        <f t="shared" si="19"/>
        <v>0</v>
      </c>
      <c r="L145" s="133">
        <f>K145*D145*'B) D RI'!S147</f>
        <v>0</v>
      </c>
      <c r="M145" s="10">
        <f>(('B) D RI'!S147*C145)-L145)/'B) D RI'!S147</f>
        <v>35788.809619686814</v>
      </c>
      <c r="N145" s="136">
        <f t="shared" si="20"/>
        <v>35.575357474837787</v>
      </c>
      <c r="O145" s="75">
        <f t="shared" si="21"/>
        <v>0.80678779425081748</v>
      </c>
    </row>
    <row r="146" spans="1:15" x14ac:dyDescent="0.25">
      <c r="A146" s="53">
        <f>'A) Base RI'!A148</f>
        <v>5638</v>
      </c>
      <c r="B146" s="54" t="str">
        <f>'A) Base RI'!B148</f>
        <v>Lonay</v>
      </c>
      <c r="C146" s="9">
        <f>'B) D RI'!U148</f>
        <v>150874.30218181817</v>
      </c>
      <c r="D146" s="35">
        <f>'B) D RI'!AR148</f>
        <v>2530</v>
      </c>
      <c r="E146" s="295">
        <f t="shared" si="18"/>
        <v>59.634111534315487</v>
      </c>
      <c r="F146" s="81">
        <f t="shared" si="22"/>
        <v>1.275857951736862</v>
      </c>
      <c r="G146" s="85">
        <f t="shared" si="23"/>
        <v>3.5456310386924201</v>
      </c>
      <c r="H146" s="85">
        <f t="shared" si="24"/>
        <v>0</v>
      </c>
      <c r="I146" s="85">
        <f t="shared" si="25"/>
        <v>0</v>
      </c>
      <c r="J146" s="85">
        <f t="shared" si="26"/>
        <v>0</v>
      </c>
      <c r="K146" s="298">
        <f t="shared" si="19"/>
        <v>1.2764271739292712</v>
      </c>
      <c r="L146" s="133">
        <f>K146*D146*'B) D RI'!S148</f>
        <v>177614.84125225811</v>
      </c>
      <c r="M146" s="10">
        <f>(('B) D RI'!S148*C146)-L146)/'B) D RI'!S148</f>
        <v>147644.94143177712</v>
      </c>
      <c r="N146" s="136">
        <f t="shared" si="20"/>
        <v>58.357684360386209</v>
      </c>
      <c r="O146" s="75">
        <f t="shared" si="21"/>
        <v>1.323451703219072</v>
      </c>
    </row>
    <row r="147" spans="1:15" x14ac:dyDescent="0.25">
      <c r="A147" s="53">
        <f>'A) Base RI'!A149</f>
        <v>5639</v>
      </c>
      <c r="B147" s="54" t="str">
        <f>'A) Base RI'!B149</f>
        <v>Lully</v>
      </c>
      <c r="C147" s="9">
        <f>'B) D RI'!U149</f>
        <v>41723.705573770494</v>
      </c>
      <c r="D147" s="35">
        <f>'B) D RI'!AR149</f>
        <v>785</v>
      </c>
      <c r="E147" s="295">
        <f t="shared" si="18"/>
        <v>53.151217291427379</v>
      </c>
      <c r="F147" s="81">
        <f t="shared" si="22"/>
        <v>1.1371579366406639</v>
      </c>
      <c r="G147" s="85">
        <f t="shared" si="23"/>
        <v>0</v>
      </c>
      <c r="H147" s="85">
        <f t="shared" si="24"/>
        <v>0</v>
      </c>
      <c r="I147" s="85">
        <f t="shared" si="25"/>
        <v>0</v>
      </c>
      <c r="J147" s="85">
        <f t="shared" si="26"/>
        <v>0</v>
      </c>
      <c r="K147" s="298">
        <f t="shared" si="19"/>
        <v>0</v>
      </c>
      <c r="L147" s="133">
        <f>K147*D147*'B) D RI'!S149</f>
        <v>0</v>
      </c>
      <c r="M147" s="10">
        <f>(('B) D RI'!S149*C147)-L147)/'B) D RI'!S149</f>
        <v>41723.705573770494</v>
      </c>
      <c r="N147" s="136">
        <f t="shared" si="20"/>
        <v>53.151217291427379</v>
      </c>
      <c r="O147" s="75">
        <f t="shared" si="21"/>
        <v>1.2053780033166661</v>
      </c>
    </row>
    <row r="148" spans="1:15" x14ac:dyDescent="0.25">
      <c r="A148" s="53">
        <f>'A) Base RI'!A150</f>
        <v>5640</v>
      </c>
      <c r="B148" s="54" t="str">
        <f>'A) Base RI'!B150</f>
        <v>Lussy-sur-Morges</v>
      </c>
      <c r="C148" s="9">
        <f>'B) D RI'!U150</f>
        <v>54175.567575757566</v>
      </c>
      <c r="D148" s="35">
        <f>'B) D RI'!AR150</f>
        <v>644</v>
      </c>
      <c r="E148" s="295">
        <f t="shared" si="18"/>
        <v>84.12355213626951</v>
      </c>
      <c r="F148" s="81">
        <f t="shared" si="22"/>
        <v>1.7998038397813438</v>
      </c>
      <c r="G148" s="85">
        <f t="shared" si="23"/>
        <v>28.035071640646443</v>
      </c>
      <c r="H148" s="85">
        <f t="shared" si="24"/>
        <v>14.012951516740671</v>
      </c>
      <c r="I148" s="85">
        <f t="shared" si="25"/>
        <v>0</v>
      </c>
      <c r="J148" s="85">
        <f t="shared" si="26"/>
        <v>0</v>
      </c>
      <c r="K148" s="298">
        <f t="shared" si="19"/>
        <v>11.493920942306787</v>
      </c>
      <c r="L148" s="133">
        <f>K148*D148*'B) D RI'!S150</f>
        <v>488537.61573180766</v>
      </c>
      <c r="M148" s="10">
        <f>(('B) D RI'!S150*C148)-L148)/'B) D RI'!S150</f>
        <v>46773.482488911992</v>
      </c>
      <c r="N148" s="136">
        <f t="shared" si="20"/>
        <v>72.629631193962723</v>
      </c>
      <c r="O148" s="75">
        <f t="shared" si="21"/>
        <v>1.6471148600452605</v>
      </c>
    </row>
    <row r="149" spans="1:15" x14ac:dyDescent="0.25">
      <c r="A149" s="53">
        <f>'A) Base RI'!A151</f>
        <v>5642</v>
      </c>
      <c r="B149" s="54" t="str">
        <f>'A) Base RI'!B151</f>
        <v>Morges</v>
      </c>
      <c r="C149" s="9">
        <f>'B) D RI'!U151</f>
        <v>781778.61635036487</v>
      </c>
      <c r="D149" s="35">
        <f>'B) D RI'!AR151</f>
        <v>15819</v>
      </c>
      <c r="E149" s="295">
        <f t="shared" si="18"/>
        <v>49.42022987232852</v>
      </c>
      <c r="F149" s="81">
        <f t="shared" si="22"/>
        <v>1.057334328239149</v>
      </c>
      <c r="G149" s="85">
        <f t="shared" si="23"/>
        <v>0</v>
      </c>
      <c r="H149" s="85">
        <f t="shared" si="24"/>
        <v>0</v>
      </c>
      <c r="I149" s="85">
        <f t="shared" si="25"/>
        <v>0</v>
      </c>
      <c r="J149" s="85">
        <f t="shared" si="26"/>
        <v>0</v>
      </c>
      <c r="K149" s="298">
        <f t="shared" si="19"/>
        <v>0</v>
      </c>
      <c r="L149" s="133">
        <f>K149*D149*'B) D RI'!S151</f>
        <v>0</v>
      </c>
      <c r="M149" s="10">
        <f>(('B) D RI'!S151*C149)-L149)/'B) D RI'!S151</f>
        <v>781778.61635036487</v>
      </c>
      <c r="N149" s="136">
        <f t="shared" si="20"/>
        <v>49.42022987232852</v>
      </c>
      <c r="O149" s="75">
        <f t="shared" si="21"/>
        <v>1.1207656389191656</v>
      </c>
    </row>
    <row r="150" spans="1:15" x14ac:dyDescent="0.25">
      <c r="A150" s="53">
        <f>'A) Base RI'!A152</f>
        <v>5643</v>
      </c>
      <c r="B150" s="54" t="str">
        <f>'A) Base RI'!B152</f>
        <v>Préverenges</v>
      </c>
      <c r="C150" s="9">
        <f>'B) D RI'!U152</f>
        <v>262779.91921874997</v>
      </c>
      <c r="D150" s="35">
        <f>'B) D RI'!AR152</f>
        <v>5276</v>
      </c>
      <c r="E150" s="295">
        <f t="shared" si="18"/>
        <v>49.806656409922283</v>
      </c>
      <c r="F150" s="81">
        <f t="shared" si="22"/>
        <v>1.0656018341693319</v>
      </c>
      <c r="G150" s="85">
        <f t="shared" si="23"/>
        <v>0</v>
      </c>
      <c r="H150" s="85">
        <f t="shared" si="24"/>
        <v>0</v>
      </c>
      <c r="I150" s="85">
        <f t="shared" si="25"/>
        <v>0</v>
      </c>
      <c r="J150" s="85">
        <f t="shared" si="26"/>
        <v>0</v>
      </c>
      <c r="K150" s="298">
        <f t="shared" si="19"/>
        <v>0</v>
      </c>
      <c r="L150" s="133">
        <f>K150*D150*'B) D RI'!S152</f>
        <v>0</v>
      </c>
      <c r="M150" s="10">
        <f>(('B) D RI'!S152*C150)-L150)/'B) D RI'!S152</f>
        <v>262779.91921874997</v>
      </c>
      <c r="N150" s="136">
        <f t="shared" si="20"/>
        <v>49.806656409922283</v>
      </c>
      <c r="O150" s="75">
        <f t="shared" si="21"/>
        <v>1.1295291267948886</v>
      </c>
    </row>
    <row r="151" spans="1:15" x14ac:dyDescent="0.25">
      <c r="A151" s="53">
        <f>'A) Base RI'!A153</f>
        <v>5644</v>
      </c>
      <c r="B151" s="54" t="str">
        <f>'A) Base RI'!B153</f>
        <v>Reverolle</v>
      </c>
      <c r="C151" s="9">
        <f>'B) D RI'!U153</f>
        <v>14128.860263157892</v>
      </c>
      <c r="D151" s="35">
        <f>'B) D RI'!AR153</f>
        <v>368</v>
      </c>
      <c r="E151" s="295">
        <f t="shared" si="18"/>
        <v>38.393642019450795</v>
      </c>
      <c r="F151" s="81">
        <f t="shared" si="22"/>
        <v>0.82142304473618721</v>
      </c>
      <c r="G151" s="85">
        <f t="shared" si="23"/>
        <v>0</v>
      </c>
      <c r="H151" s="85">
        <f t="shared" si="24"/>
        <v>0</v>
      </c>
      <c r="I151" s="85">
        <f t="shared" si="25"/>
        <v>0</v>
      </c>
      <c r="J151" s="85">
        <f t="shared" si="26"/>
        <v>0</v>
      </c>
      <c r="K151" s="298">
        <f t="shared" si="19"/>
        <v>0</v>
      </c>
      <c r="L151" s="133">
        <f>K151*D151*'B) D RI'!S153</f>
        <v>0</v>
      </c>
      <c r="M151" s="10">
        <f>(('B) D RI'!S153*C151)-L151)/'B) D RI'!S153</f>
        <v>14128.860263157892</v>
      </c>
      <c r="N151" s="136">
        <f t="shared" si="20"/>
        <v>38.393642019450795</v>
      </c>
      <c r="O151" s="75">
        <f t="shared" si="21"/>
        <v>0.87070163047657323</v>
      </c>
    </row>
    <row r="152" spans="1:15" x14ac:dyDescent="0.25">
      <c r="A152" s="53">
        <f>'A) Base RI'!A154</f>
        <v>5645</v>
      </c>
      <c r="B152" s="54" t="str">
        <f>'A) Base RI'!B154</f>
        <v>Romanel-sur-Morges</v>
      </c>
      <c r="C152" s="9">
        <f>'B) D RI'!U154</f>
        <v>26355.884598214288</v>
      </c>
      <c r="D152" s="35">
        <f>'B) D RI'!AR154</f>
        <v>477</v>
      </c>
      <c r="E152" s="295">
        <f t="shared" si="18"/>
        <v>55.25342683063792</v>
      </c>
      <c r="F152" s="81">
        <f t="shared" si="22"/>
        <v>1.182134220982143</v>
      </c>
      <c r="G152" s="85">
        <f t="shared" si="23"/>
        <v>0</v>
      </c>
      <c r="H152" s="85">
        <f t="shared" si="24"/>
        <v>0</v>
      </c>
      <c r="I152" s="85">
        <f t="shared" si="25"/>
        <v>0</v>
      </c>
      <c r="J152" s="85">
        <f t="shared" si="26"/>
        <v>0</v>
      </c>
      <c r="K152" s="298">
        <f t="shared" si="19"/>
        <v>0</v>
      </c>
      <c r="L152" s="133">
        <f>K152*D152*'B) D RI'!S154</f>
        <v>0</v>
      </c>
      <c r="M152" s="10">
        <f>(('B) D RI'!S154*C152)-L152)/'B) D RI'!S154</f>
        <v>26355.884598214288</v>
      </c>
      <c r="N152" s="136">
        <f t="shared" si="20"/>
        <v>55.25342683063792</v>
      </c>
      <c r="O152" s="75">
        <f t="shared" si="21"/>
        <v>1.2530524925580544</v>
      </c>
    </row>
    <row r="153" spans="1:15" x14ac:dyDescent="0.25">
      <c r="A153" s="53">
        <f>'A) Base RI'!A155</f>
        <v>5646</v>
      </c>
      <c r="B153" s="54" t="str">
        <f>'A) Base RI'!B155</f>
        <v>Saint-Prex</v>
      </c>
      <c r="C153" s="9">
        <f>'B) D RI'!U155</f>
        <v>529776.58672727272</v>
      </c>
      <c r="D153" s="35">
        <f>'B) D RI'!AR155</f>
        <v>5661</v>
      </c>
      <c r="E153" s="295">
        <f t="shared" si="18"/>
        <v>93.583569462510638</v>
      </c>
      <c r="F153" s="81">
        <f t="shared" si="22"/>
        <v>2.0021987110842887</v>
      </c>
      <c r="G153" s="85">
        <f t="shared" si="23"/>
        <v>37.495088966887572</v>
      </c>
      <c r="H153" s="85">
        <f t="shared" si="24"/>
        <v>23.4729688429818</v>
      </c>
      <c r="I153" s="85">
        <f t="shared" si="25"/>
        <v>0.10276863647219159</v>
      </c>
      <c r="J153" s="85">
        <f t="shared" si="26"/>
        <v>0</v>
      </c>
      <c r="K153" s="298">
        <f t="shared" si="19"/>
        <v>15.855805776024926</v>
      </c>
      <c r="L153" s="133">
        <f>K153*D153*'B) D RI'!S155</f>
        <v>4936784.4073942406</v>
      </c>
      <c r="M153" s="10">
        <f>(('B) D RI'!S155*C153)-L153)/'B) D RI'!S155</f>
        <v>440016.87022919563</v>
      </c>
      <c r="N153" s="136">
        <f t="shared" si="20"/>
        <v>77.727763686485716</v>
      </c>
      <c r="O153" s="75">
        <f t="shared" si="21"/>
        <v>1.7627317184661555</v>
      </c>
    </row>
    <row r="154" spans="1:15" x14ac:dyDescent="0.25">
      <c r="A154" s="53">
        <f>'A) Base RI'!A156</f>
        <v>5648</v>
      </c>
      <c r="B154" s="54" t="str">
        <f>'A) Base RI'!B156</f>
        <v>Saint-Sulpice</v>
      </c>
      <c r="C154" s="9">
        <f>'B) D RI'!U156</f>
        <v>320539.61704545456</v>
      </c>
      <c r="D154" s="35">
        <f>'B) D RI'!AR156</f>
        <v>4148</v>
      </c>
      <c r="E154" s="295">
        <f t="shared" si="18"/>
        <v>77.275703241430705</v>
      </c>
      <c r="F154" s="81">
        <f t="shared" si="22"/>
        <v>1.6532957047562236</v>
      </c>
      <c r="G154" s="85">
        <f t="shared" si="23"/>
        <v>21.187222745807638</v>
      </c>
      <c r="H154" s="85">
        <f t="shared" si="24"/>
        <v>7.1651026219018661</v>
      </c>
      <c r="I154" s="85">
        <f t="shared" si="25"/>
        <v>0</v>
      </c>
      <c r="J154" s="85">
        <f t="shared" si="26"/>
        <v>0</v>
      </c>
      <c r="K154" s="298">
        <f t="shared" si="19"/>
        <v>8.3439104506809372</v>
      </c>
      <c r="L154" s="133">
        <f>K154*D154*'B) D RI'!S156</f>
        <v>1903579.730218349</v>
      </c>
      <c r="M154" s="10">
        <f>(('B) D RI'!S156*C154)-L154)/'B) D RI'!S156</f>
        <v>285929.07649603003</v>
      </c>
      <c r="N154" s="136">
        <f t="shared" si="20"/>
        <v>68.931792790749768</v>
      </c>
      <c r="O154" s="75">
        <f t="shared" si="21"/>
        <v>1.5632542581965154</v>
      </c>
    </row>
    <row r="155" spans="1:15" x14ac:dyDescent="0.25">
      <c r="A155" s="53">
        <f>'A) Base RI'!A157</f>
        <v>5649</v>
      </c>
      <c r="B155" s="54" t="str">
        <f>'A) Base RI'!B157</f>
        <v>Tolochenaz</v>
      </c>
      <c r="C155" s="9">
        <f>'B) D RI'!U157</f>
        <v>78727.730769230766</v>
      </c>
      <c r="D155" s="35">
        <f>'B) D RI'!AR157</f>
        <v>1865</v>
      </c>
      <c r="E155" s="295">
        <f t="shared" si="18"/>
        <v>42.213260466075475</v>
      </c>
      <c r="F155" s="81">
        <f t="shared" si="22"/>
        <v>0.9031428933654847</v>
      </c>
      <c r="G155" s="85">
        <f t="shared" si="23"/>
        <v>0</v>
      </c>
      <c r="H155" s="85">
        <f t="shared" si="24"/>
        <v>0</v>
      </c>
      <c r="I155" s="85">
        <f t="shared" si="25"/>
        <v>0</v>
      </c>
      <c r="J155" s="85">
        <f t="shared" si="26"/>
        <v>0</v>
      </c>
      <c r="K155" s="298">
        <f t="shared" si="19"/>
        <v>0</v>
      </c>
      <c r="L155" s="133">
        <f>K155*D155*'B) D RI'!S157</f>
        <v>0</v>
      </c>
      <c r="M155" s="10">
        <f>(('B) D RI'!S157*C155)-L155)/'B) D RI'!S157</f>
        <v>78727.730769230766</v>
      </c>
      <c r="N155" s="136">
        <f t="shared" si="20"/>
        <v>42.213260466075475</v>
      </c>
      <c r="O155" s="75">
        <f t="shared" si="21"/>
        <v>0.9573239938249013</v>
      </c>
    </row>
    <row r="156" spans="1:15" x14ac:dyDescent="0.25">
      <c r="A156" s="53">
        <f>'A) Base RI'!A158</f>
        <v>5650</v>
      </c>
      <c r="B156" s="54" t="str">
        <f>'A) Base RI'!B158</f>
        <v>Vaux-sur-Morges</v>
      </c>
      <c r="C156" s="9">
        <f>'B) D RI'!U158</f>
        <v>258152.18179487175</v>
      </c>
      <c r="D156" s="35">
        <f>'B) D RI'!AR158</f>
        <v>200</v>
      </c>
      <c r="E156" s="295">
        <f t="shared" si="18"/>
        <v>1290.7609089743587</v>
      </c>
      <c r="F156" s="81">
        <f t="shared" si="22"/>
        <v>27.615529554060601</v>
      </c>
      <c r="G156" s="85">
        <f t="shared" si="23"/>
        <v>1234.6724284787356</v>
      </c>
      <c r="H156" s="85">
        <f t="shared" si="24"/>
        <v>1220.6503083548298</v>
      </c>
      <c r="I156" s="85">
        <f t="shared" si="25"/>
        <v>1197.2801081483203</v>
      </c>
      <c r="J156" s="85">
        <f t="shared" si="26"/>
        <v>1150.5397077353009</v>
      </c>
      <c r="K156" s="298">
        <f t="shared" si="19"/>
        <v>801.32908667618995</v>
      </c>
      <c r="L156" s="133">
        <f>K156*D156*'B) D RI'!S158</f>
        <v>6250366.8760742815</v>
      </c>
      <c r="M156" s="10">
        <f>(('B) D RI'!S158*C156)-L156)/'B) D RI'!S158</f>
        <v>97886.364459633754</v>
      </c>
      <c r="N156" s="136">
        <f t="shared" si="20"/>
        <v>489.43182229816875</v>
      </c>
      <c r="O156" s="75">
        <f t="shared" si="21"/>
        <v>11.099470205672139</v>
      </c>
    </row>
    <row r="157" spans="1:15" x14ac:dyDescent="0.25">
      <c r="A157" s="53">
        <f>'A) Base RI'!A159</f>
        <v>5651</v>
      </c>
      <c r="B157" s="54" t="str">
        <f>'A) Base RI'!B159</f>
        <v>Villars-Sainte-Croix</v>
      </c>
      <c r="C157" s="9">
        <f>'B) D RI'!U159</f>
        <v>39092.930338983046</v>
      </c>
      <c r="D157" s="35">
        <f>'B) D RI'!AR159</f>
        <v>841</v>
      </c>
      <c r="E157" s="295">
        <f t="shared" si="18"/>
        <v>46.483864850158199</v>
      </c>
      <c r="F157" s="81">
        <f t="shared" si="22"/>
        <v>0.99451148127542421</v>
      </c>
      <c r="G157" s="85">
        <f t="shared" si="23"/>
        <v>0</v>
      </c>
      <c r="H157" s="85">
        <f t="shared" si="24"/>
        <v>0</v>
      </c>
      <c r="I157" s="85">
        <f t="shared" si="25"/>
        <v>0</v>
      </c>
      <c r="J157" s="85">
        <f t="shared" si="26"/>
        <v>0</v>
      </c>
      <c r="K157" s="298">
        <f t="shared" si="19"/>
        <v>0</v>
      </c>
      <c r="L157" s="133">
        <f>K157*D157*'B) D RI'!S159</f>
        <v>0</v>
      </c>
      <c r="M157" s="10">
        <f>(('B) D RI'!S159*C157)-L157)/'B) D RI'!S159</f>
        <v>39092.930338983046</v>
      </c>
      <c r="N157" s="136">
        <f t="shared" si="20"/>
        <v>46.483864850158199</v>
      </c>
      <c r="O157" s="75">
        <f t="shared" si="21"/>
        <v>1.0541739409712914</v>
      </c>
    </row>
    <row r="158" spans="1:15" x14ac:dyDescent="0.25">
      <c r="A158" s="53">
        <f>'A) Base RI'!A160</f>
        <v>5652</v>
      </c>
      <c r="B158" s="54" t="str">
        <f>'A) Base RI'!B160</f>
        <v>Villars-sous-Yens</v>
      </c>
      <c r="C158" s="9">
        <f>'B) D RI'!U160</f>
        <v>21921.455131578947</v>
      </c>
      <c r="D158" s="35">
        <f>'B) D RI'!AR160</f>
        <v>598</v>
      </c>
      <c r="E158" s="295">
        <f t="shared" si="18"/>
        <v>36.657951725048406</v>
      </c>
      <c r="F158" s="81">
        <f t="shared" si="22"/>
        <v>0.78428835442405798</v>
      </c>
      <c r="G158" s="85">
        <f t="shared" si="23"/>
        <v>0</v>
      </c>
      <c r="H158" s="85">
        <f t="shared" si="24"/>
        <v>0</v>
      </c>
      <c r="I158" s="85">
        <f t="shared" si="25"/>
        <v>0</v>
      </c>
      <c r="J158" s="85">
        <f t="shared" si="26"/>
        <v>0</v>
      </c>
      <c r="K158" s="298">
        <f t="shared" si="19"/>
        <v>0</v>
      </c>
      <c r="L158" s="133">
        <f>K158*D158*'B) D RI'!S160</f>
        <v>0</v>
      </c>
      <c r="M158" s="10">
        <f>(('B) D RI'!S160*C158)-L158)/'B) D RI'!S160</f>
        <v>21921.455131578947</v>
      </c>
      <c r="N158" s="136">
        <f t="shared" si="20"/>
        <v>36.657951725048406</v>
      </c>
      <c r="O158" s="75">
        <f t="shared" si="21"/>
        <v>0.83133916602027358</v>
      </c>
    </row>
    <row r="159" spans="1:15" x14ac:dyDescent="0.25">
      <c r="A159" s="53">
        <f>'A) Base RI'!A161</f>
        <v>5653</v>
      </c>
      <c r="B159" s="54" t="str">
        <f>'A) Base RI'!B161</f>
        <v>Vufflens-le-Château</v>
      </c>
      <c r="C159" s="9">
        <f>'B) D RI'!U161</f>
        <v>61105.159227272721</v>
      </c>
      <c r="D159" s="35">
        <f>'B) D RI'!AR161</f>
        <v>841</v>
      </c>
      <c r="E159" s="295">
        <f t="shared" si="18"/>
        <v>72.657739865960423</v>
      </c>
      <c r="F159" s="81">
        <f t="shared" si="22"/>
        <v>1.5544954519842347</v>
      </c>
      <c r="G159" s="85">
        <f t="shared" si="23"/>
        <v>16.569259370337356</v>
      </c>
      <c r="H159" s="85">
        <f t="shared" si="24"/>
        <v>2.5471392464315841</v>
      </c>
      <c r="I159" s="85">
        <f t="shared" si="25"/>
        <v>0</v>
      </c>
      <c r="J159" s="85">
        <f t="shared" si="26"/>
        <v>0</v>
      </c>
      <c r="K159" s="298">
        <f t="shared" si="19"/>
        <v>6.219647297964606</v>
      </c>
      <c r="L159" s="133">
        <f>K159*D159*'B) D RI'!S161</f>
        <v>287689.78576735285</v>
      </c>
      <c r="M159" s="10">
        <f>(('B) D RI'!S161*C159)-L159)/'B) D RI'!S161</f>
        <v>55874.435849684494</v>
      </c>
      <c r="N159" s="136">
        <f t="shared" si="20"/>
        <v>66.438092567995838</v>
      </c>
      <c r="O159" s="75">
        <f t="shared" si="21"/>
        <v>1.5067014349772012</v>
      </c>
    </row>
    <row r="160" spans="1:15" x14ac:dyDescent="0.25">
      <c r="A160" s="53">
        <f>'A) Base RI'!A162</f>
        <v>5654</v>
      </c>
      <c r="B160" s="54" t="str">
        <f>'A) Base RI'!B162</f>
        <v>Vullierens</v>
      </c>
      <c r="C160" s="9">
        <f>'B) D RI'!U162</f>
        <v>17141.735000000001</v>
      </c>
      <c r="D160" s="35">
        <f>'B) D RI'!AR162</f>
        <v>461</v>
      </c>
      <c r="E160" s="295">
        <f t="shared" si="18"/>
        <v>37.183806941431669</v>
      </c>
      <c r="F160" s="81">
        <f t="shared" si="22"/>
        <v>0.79553890452068887</v>
      </c>
      <c r="G160" s="85">
        <f t="shared" si="23"/>
        <v>0</v>
      </c>
      <c r="H160" s="85">
        <f t="shared" si="24"/>
        <v>0</v>
      </c>
      <c r="I160" s="85">
        <f t="shared" si="25"/>
        <v>0</v>
      </c>
      <c r="J160" s="85">
        <f t="shared" si="26"/>
        <v>0</v>
      </c>
      <c r="K160" s="298">
        <f t="shared" si="19"/>
        <v>0</v>
      </c>
      <c r="L160" s="133">
        <f>K160*D160*'B) D RI'!S162</f>
        <v>0</v>
      </c>
      <c r="M160" s="10">
        <f>(('B) D RI'!S162*C160)-L160)/'B) D RI'!S162</f>
        <v>17141.735000000001</v>
      </c>
      <c r="N160" s="136">
        <f t="shared" si="20"/>
        <v>37.183806941431669</v>
      </c>
      <c r="O160" s="75">
        <f t="shared" si="21"/>
        <v>0.8432646560289464</v>
      </c>
    </row>
    <row r="161" spans="1:15" x14ac:dyDescent="0.25">
      <c r="A161" s="53">
        <f>'A) Base RI'!A163</f>
        <v>5655</v>
      </c>
      <c r="B161" s="54" t="str">
        <f>'A) Base RI'!B163</f>
        <v>Yens</v>
      </c>
      <c r="C161" s="9">
        <f>'B) D RI'!U163</f>
        <v>83580.564109589031</v>
      </c>
      <c r="D161" s="35">
        <f>'B) D RI'!AR163</f>
        <v>1388</v>
      </c>
      <c r="E161" s="295">
        <f t="shared" si="18"/>
        <v>60.216544747542528</v>
      </c>
      <c r="F161" s="81">
        <f t="shared" si="22"/>
        <v>1.2883189749219524</v>
      </c>
      <c r="G161" s="85">
        <f t="shared" si="23"/>
        <v>4.1280642519194615</v>
      </c>
      <c r="H161" s="85">
        <f t="shared" si="24"/>
        <v>0</v>
      </c>
      <c r="I161" s="85">
        <f t="shared" si="25"/>
        <v>0</v>
      </c>
      <c r="J161" s="85">
        <f t="shared" si="26"/>
        <v>0</v>
      </c>
      <c r="K161" s="298">
        <f t="shared" si="19"/>
        <v>1.486103130691006</v>
      </c>
      <c r="L161" s="133">
        <f>K161*D161*'B) D RI'!S163</f>
        <v>150577.9136141355</v>
      </c>
      <c r="M161" s="10">
        <f>(('B) D RI'!S163*C161)-L161)/'B) D RI'!S163</f>
        <v>81517.852964189922</v>
      </c>
      <c r="N161" s="136">
        <f t="shared" si="20"/>
        <v>58.730441616851529</v>
      </c>
      <c r="O161" s="75">
        <f t="shared" si="21"/>
        <v>1.3319051953574814</v>
      </c>
    </row>
    <row r="162" spans="1:15" x14ac:dyDescent="0.25">
      <c r="A162" s="53">
        <f>'A) Base RI'!A164</f>
        <v>5661</v>
      </c>
      <c r="B162" s="54" t="str">
        <f>'A) Base RI'!B164</f>
        <v>Boulens</v>
      </c>
      <c r="C162" s="9">
        <f>'B) D RI'!U164</f>
        <v>9592.9711392405043</v>
      </c>
      <c r="D162" s="35">
        <f>'B) D RI'!AR164</f>
        <v>368</v>
      </c>
      <c r="E162" s="295">
        <f t="shared" si="18"/>
        <v>26.067856356631804</v>
      </c>
      <c r="F162" s="81">
        <f t="shared" si="22"/>
        <v>0.55771572614450216</v>
      </c>
      <c r="G162" s="85">
        <f t="shared" si="23"/>
        <v>0</v>
      </c>
      <c r="H162" s="85">
        <f t="shared" si="24"/>
        <v>0</v>
      </c>
      <c r="I162" s="85">
        <f t="shared" si="25"/>
        <v>0</v>
      </c>
      <c r="J162" s="85">
        <f t="shared" si="26"/>
        <v>0</v>
      </c>
      <c r="K162" s="298">
        <f t="shared" si="19"/>
        <v>0</v>
      </c>
      <c r="L162" s="133">
        <f>K162*D162*'B) D RI'!S164</f>
        <v>0</v>
      </c>
      <c r="M162" s="10">
        <f>(('B) D RI'!S164*C162)-L162)/'B) D RI'!S164</f>
        <v>9592.9711392405043</v>
      </c>
      <c r="N162" s="136">
        <f t="shared" si="20"/>
        <v>26.067856356631804</v>
      </c>
      <c r="O162" s="75">
        <f t="shared" si="21"/>
        <v>0.59117405484089292</v>
      </c>
    </row>
    <row r="163" spans="1:15" x14ac:dyDescent="0.25">
      <c r="A163" s="53">
        <f>'A) Base RI'!A165</f>
        <v>5662</v>
      </c>
      <c r="B163" s="54" t="str">
        <f>'A) Base RI'!B165</f>
        <v>Brenles</v>
      </c>
      <c r="C163" s="9">
        <f>'B) D RI'!U165</f>
        <v>5126.068504273504</v>
      </c>
      <c r="D163" s="35">
        <f>'B) D RI'!AR165</f>
        <v>138</v>
      </c>
      <c r="E163" s="295">
        <f t="shared" si="18"/>
        <v>37.145423944010901</v>
      </c>
      <c r="F163" s="81">
        <f t="shared" si="22"/>
        <v>0.79471770921466678</v>
      </c>
      <c r="G163" s="85">
        <f t="shared" si="23"/>
        <v>0</v>
      </c>
      <c r="H163" s="85">
        <f t="shared" si="24"/>
        <v>0</v>
      </c>
      <c r="I163" s="85">
        <f t="shared" si="25"/>
        <v>0</v>
      </c>
      <c r="J163" s="85">
        <f t="shared" si="26"/>
        <v>0</v>
      </c>
      <c r="K163" s="298">
        <f t="shared" si="19"/>
        <v>0</v>
      </c>
      <c r="L163" s="133">
        <f>K163*D163*'B) D RI'!S165</f>
        <v>0</v>
      </c>
      <c r="M163" s="10">
        <f>(('B) D RI'!S165*C163)-L163)/'B) D RI'!S165</f>
        <v>5126.068504273504</v>
      </c>
      <c r="N163" s="136">
        <f t="shared" si="20"/>
        <v>37.145423944010901</v>
      </c>
      <c r="O163" s="75">
        <f t="shared" si="21"/>
        <v>0.84239419579962216</v>
      </c>
    </row>
    <row r="164" spans="1:15" x14ac:dyDescent="0.25">
      <c r="A164" s="53">
        <f>'A) Base RI'!A166</f>
        <v>5663</v>
      </c>
      <c r="B164" s="54" t="str">
        <f>'A) Base RI'!B166</f>
        <v>Bussy-sur-Moudon</v>
      </c>
      <c r="C164" s="9">
        <f>'B) D RI'!U166</f>
        <v>5468.4132499999996</v>
      </c>
      <c r="D164" s="35">
        <f>'B) D RI'!AR166</f>
        <v>208</v>
      </c>
      <c r="E164" s="295">
        <f t="shared" si="18"/>
        <v>26.290448317307689</v>
      </c>
      <c r="F164" s="81">
        <f t="shared" si="22"/>
        <v>0.56247802939199176</v>
      </c>
      <c r="G164" s="85">
        <f t="shared" si="23"/>
        <v>0</v>
      </c>
      <c r="H164" s="85">
        <f t="shared" si="24"/>
        <v>0</v>
      </c>
      <c r="I164" s="85">
        <f t="shared" si="25"/>
        <v>0</v>
      </c>
      <c r="J164" s="85">
        <f t="shared" si="26"/>
        <v>0</v>
      </c>
      <c r="K164" s="298">
        <f t="shared" si="19"/>
        <v>0</v>
      </c>
      <c r="L164" s="133">
        <f>K164*D164*'B) D RI'!S166</f>
        <v>0</v>
      </c>
      <c r="M164" s="10">
        <f>(('B) D RI'!S166*C164)-L164)/'B) D RI'!S166</f>
        <v>5468.4132499999996</v>
      </c>
      <c r="N164" s="136">
        <f t="shared" si="20"/>
        <v>26.290448317307689</v>
      </c>
      <c r="O164" s="75">
        <f t="shared" si="21"/>
        <v>0.59622205687709684</v>
      </c>
    </row>
    <row r="165" spans="1:15" x14ac:dyDescent="0.25">
      <c r="A165" s="53">
        <f>'A) Base RI'!A167</f>
        <v>5665</v>
      </c>
      <c r="B165" s="54" t="str">
        <f>'A) Base RI'!B167</f>
        <v>Chavannes-sur-Moudon</v>
      </c>
      <c r="C165" s="9">
        <f>'B) D RI'!U167</f>
        <v>4982.8790410958891</v>
      </c>
      <c r="D165" s="35">
        <f>'B) D RI'!AR167</f>
        <v>224</v>
      </c>
      <c r="E165" s="295">
        <f t="shared" si="18"/>
        <v>22.244995719178075</v>
      </c>
      <c r="F165" s="81">
        <f t="shared" si="22"/>
        <v>0.47592651159620536</v>
      </c>
      <c r="G165" s="85">
        <f t="shared" si="23"/>
        <v>0</v>
      </c>
      <c r="H165" s="85">
        <f t="shared" si="24"/>
        <v>0</v>
      </c>
      <c r="I165" s="85">
        <f t="shared" si="25"/>
        <v>0</v>
      </c>
      <c r="J165" s="85">
        <f t="shared" si="26"/>
        <v>0</v>
      </c>
      <c r="K165" s="298">
        <f t="shared" si="19"/>
        <v>0</v>
      </c>
      <c r="L165" s="133">
        <f>K165*D165*'B) D RI'!S167</f>
        <v>0</v>
      </c>
      <c r="M165" s="10">
        <f>(('B) D RI'!S167*C165)-L165)/'B) D RI'!S167</f>
        <v>4982.8790410958891</v>
      </c>
      <c r="N165" s="136">
        <f t="shared" si="20"/>
        <v>22.244995719178075</v>
      </c>
      <c r="O165" s="75">
        <f t="shared" si="21"/>
        <v>0.50447816419240044</v>
      </c>
    </row>
    <row r="166" spans="1:15" x14ac:dyDescent="0.25">
      <c r="A166" s="53">
        <f>'A) Base RI'!A168</f>
        <v>5666</v>
      </c>
      <c r="B166" s="54" t="str">
        <f>'A) Base RI'!B168</f>
        <v>Chesalles-sur-Moudon</v>
      </c>
      <c r="C166" s="9">
        <f>'B) D RI'!U168</f>
        <v>3797.0531999999998</v>
      </c>
      <c r="D166" s="35">
        <f>'B) D RI'!AR168</f>
        <v>196</v>
      </c>
      <c r="E166" s="295">
        <f t="shared" si="18"/>
        <v>19.372720408163264</v>
      </c>
      <c r="F166" s="81">
        <f t="shared" si="22"/>
        <v>0.41447484910221533</v>
      </c>
      <c r="G166" s="85">
        <f t="shared" si="23"/>
        <v>0</v>
      </c>
      <c r="H166" s="85">
        <f t="shared" si="24"/>
        <v>0</v>
      </c>
      <c r="I166" s="85">
        <f t="shared" si="25"/>
        <v>0</v>
      </c>
      <c r="J166" s="85">
        <f t="shared" si="26"/>
        <v>0</v>
      </c>
      <c r="K166" s="298">
        <f t="shared" si="19"/>
        <v>0</v>
      </c>
      <c r="L166" s="133">
        <f>K166*D166*'B) D RI'!S168</f>
        <v>0</v>
      </c>
      <c r="M166" s="10">
        <f>(('B) D RI'!S168*C166)-L166)/'B) D RI'!S168</f>
        <v>3797.0531999999998</v>
      </c>
      <c r="N166" s="136">
        <f t="shared" si="20"/>
        <v>19.372720408163264</v>
      </c>
      <c r="O166" s="75">
        <f t="shared" si="21"/>
        <v>0.43933991043644749</v>
      </c>
    </row>
    <row r="167" spans="1:15" x14ac:dyDescent="0.25">
      <c r="A167" s="53">
        <f>'A) Base RI'!A169</f>
        <v>5668</v>
      </c>
      <c r="B167" s="54" t="str">
        <f>'A) Base RI'!B169</f>
        <v>Cremin</v>
      </c>
      <c r="C167" s="9">
        <f>'B) D RI'!U169</f>
        <v>1016.3289610389612</v>
      </c>
      <c r="D167" s="35">
        <f>'B) D RI'!AR169</f>
        <v>59</v>
      </c>
      <c r="E167" s="295">
        <f t="shared" si="18"/>
        <v>17.225914593880699</v>
      </c>
      <c r="F167" s="81">
        <f t="shared" si="22"/>
        <v>0.36854443782391166</v>
      </c>
      <c r="G167" s="85">
        <f t="shared" si="23"/>
        <v>0</v>
      </c>
      <c r="H167" s="85">
        <f t="shared" si="24"/>
        <v>0</v>
      </c>
      <c r="I167" s="85">
        <f t="shared" si="25"/>
        <v>0</v>
      </c>
      <c r="J167" s="85">
        <f t="shared" si="26"/>
        <v>0</v>
      </c>
      <c r="K167" s="298">
        <f t="shared" si="19"/>
        <v>0</v>
      </c>
      <c r="L167" s="133">
        <f>K167*D167*'B) D RI'!S169</f>
        <v>0</v>
      </c>
      <c r="M167" s="10">
        <f>(('B) D RI'!S169*C167)-L167)/'B) D RI'!S169</f>
        <v>1016.3289610389612</v>
      </c>
      <c r="N167" s="136">
        <f t="shared" si="20"/>
        <v>17.225914593880699</v>
      </c>
      <c r="O167" s="75">
        <f t="shared" si="21"/>
        <v>0.39065405453704</v>
      </c>
    </row>
    <row r="168" spans="1:15" x14ac:dyDescent="0.25">
      <c r="A168" s="53">
        <f>'A) Base RI'!A170</f>
        <v>5669</v>
      </c>
      <c r="B168" s="54" t="str">
        <f>'A) Base RI'!B170</f>
        <v>Curtilles</v>
      </c>
      <c r="C168" s="9">
        <f>'B) D RI'!U170</f>
        <v>8279.174027777779</v>
      </c>
      <c r="D168" s="35">
        <f>'B) D RI'!AR170</f>
        <v>309</v>
      </c>
      <c r="E168" s="295">
        <f t="shared" si="18"/>
        <v>26.793443455591518</v>
      </c>
      <c r="F168" s="81">
        <f t="shared" si="22"/>
        <v>0.57323949343250358</v>
      </c>
      <c r="G168" s="85">
        <f t="shared" si="23"/>
        <v>0</v>
      </c>
      <c r="H168" s="85">
        <f t="shared" si="24"/>
        <v>0</v>
      </c>
      <c r="I168" s="85">
        <f t="shared" si="25"/>
        <v>0</v>
      </c>
      <c r="J168" s="85">
        <f t="shared" si="26"/>
        <v>0</v>
      </c>
      <c r="K168" s="298">
        <f t="shared" si="19"/>
        <v>0</v>
      </c>
      <c r="L168" s="133">
        <f>K168*D168*'B) D RI'!S170</f>
        <v>0</v>
      </c>
      <c r="M168" s="10">
        <f>(('B) D RI'!S170*C168)-L168)/'B) D RI'!S170</f>
        <v>8279.174027777779</v>
      </c>
      <c r="N168" s="136">
        <f t="shared" si="20"/>
        <v>26.793443455591518</v>
      </c>
      <c r="O168" s="75">
        <f t="shared" si="21"/>
        <v>0.60762911971327271</v>
      </c>
    </row>
    <row r="169" spans="1:15" x14ac:dyDescent="0.25">
      <c r="A169" s="53">
        <f>'A) Base RI'!A171</f>
        <v>5671</v>
      </c>
      <c r="B169" s="54" t="str">
        <f>'A) Base RI'!B171</f>
        <v>Dompierre</v>
      </c>
      <c r="C169" s="9">
        <f>'B) D RI'!U171</f>
        <v>6672.7971250000001</v>
      </c>
      <c r="D169" s="35">
        <f>'B) D RI'!AR171</f>
        <v>242</v>
      </c>
      <c r="E169" s="295">
        <f t="shared" si="18"/>
        <v>27.573541838842974</v>
      </c>
      <c r="F169" s="81">
        <f t="shared" si="22"/>
        <v>0.58992951697441065</v>
      </c>
      <c r="G169" s="85">
        <f t="shared" si="23"/>
        <v>0</v>
      </c>
      <c r="H169" s="85">
        <f t="shared" si="24"/>
        <v>0</v>
      </c>
      <c r="I169" s="85">
        <f t="shared" si="25"/>
        <v>0</v>
      </c>
      <c r="J169" s="85">
        <f t="shared" si="26"/>
        <v>0</v>
      </c>
      <c r="K169" s="298">
        <f t="shared" si="19"/>
        <v>0</v>
      </c>
      <c r="L169" s="133">
        <f>K169*D169*'B) D RI'!S171</f>
        <v>0</v>
      </c>
      <c r="M169" s="10">
        <f>(('B) D RI'!S171*C169)-L169)/'B) D RI'!S171</f>
        <v>6672.7971250000001</v>
      </c>
      <c r="N169" s="136">
        <f t="shared" si="20"/>
        <v>27.573541838842974</v>
      </c>
      <c r="O169" s="75">
        <f t="shared" si="21"/>
        <v>0.62532040656449339</v>
      </c>
    </row>
    <row r="170" spans="1:15" x14ac:dyDescent="0.25">
      <c r="A170" s="53">
        <f>'A) Base RI'!A172</f>
        <v>5672</v>
      </c>
      <c r="B170" s="54" t="str">
        <f>'A) Base RI'!B172</f>
        <v>Forel-sur-Lucens</v>
      </c>
      <c r="C170" s="9">
        <f>'B) D RI'!U172</f>
        <v>4096.3695000000007</v>
      </c>
      <c r="D170" s="35">
        <f>'B) D RI'!AR172</f>
        <v>154</v>
      </c>
      <c r="E170" s="295">
        <f t="shared" ref="E170:E225" si="27">C170/D170</f>
        <v>26.599801948051951</v>
      </c>
      <c r="F170" s="81">
        <f t="shared" si="22"/>
        <v>0.56909657839907501</v>
      </c>
      <c r="G170" s="85">
        <f t="shared" si="23"/>
        <v>0</v>
      </c>
      <c r="H170" s="85">
        <f t="shared" si="24"/>
        <v>0</v>
      </c>
      <c r="I170" s="85">
        <f t="shared" si="25"/>
        <v>0</v>
      </c>
      <c r="J170" s="85">
        <f t="shared" si="26"/>
        <v>0</v>
      </c>
      <c r="K170" s="298">
        <f t="shared" si="19"/>
        <v>0</v>
      </c>
      <c r="L170" s="133">
        <f>K170*D170*'B) D RI'!S172</f>
        <v>0</v>
      </c>
      <c r="M170" s="10">
        <f>(('B) D RI'!S172*C170)-L170)/'B) D RI'!S172</f>
        <v>4096.3695000000007</v>
      </c>
      <c r="N170" s="136">
        <f t="shared" si="20"/>
        <v>26.599801948051951</v>
      </c>
      <c r="O170" s="75">
        <f t="shared" si="21"/>
        <v>0.60323766405878632</v>
      </c>
    </row>
    <row r="171" spans="1:15" x14ac:dyDescent="0.25">
      <c r="A171" s="53">
        <f>'A) Base RI'!A173</f>
        <v>5673</v>
      </c>
      <c r="B171" s="54" t="str">
        <f>'A) Base RI'!B173</f>
        <v>Hermenches</v>
      </c>
      <c r="C171" s="9">
        <f>'B) D RI'!U173</f>
        <v>7873.3323555555571</v>
      </c>
      <c r="D171" s="35">
        <f>'B) D RI'!AR173</f>
        <v>379</v>
      </c>
      <c r="E171" s="295">
        <f t="shared" si="27"/>
        <v>20.773963998827327</v>
      </c>
      <c r="F171" s="81">
        <f t="shared" si="22"/>
        <v>0.44445412994452821</v>
      </c>
      <c r="G171" s="85">
        <f t="shared" si="23"/>
        <v>0</v>
      </c>
      <c r="H171" s="85">
        <f t="shared" si="24"/>
        <v>0</v>
      </c>
      <c r="I171" s="85">
        <f t="shared" si="25"/>
        <v>0</v>
      </c>
      <c r="J171" s="85">
        <f t="shared" si="26"/>
        <v>0</v>
      </c>
      <c r="K171" s="298">
        <f t="shared" si="19"/>
        <v>0</v>
      </c>
      <c r="L171" s="133">
        <f>K171*D171*'B) D RI'!S173</f>
        <v>0</v>
      </c>
      <c r="M171" s="10">
        <f>(('B) D RI'!S173*C171)-L171)/'B) D RI'!S173</f>
        <v>7873.3323555555571</v>
      </c>
      <c r="N171" s="136">
        <f t="shared" si="20"/>
        <v>20.773963998827327</v>
      </c>
      <c r="O171" s="75">
        <f t="shared" si="21"/>
        <v>0.47111770006286385</v>
      </c>
    </row>
    <row r="172" spans="1:15" x14ac:dyDescent="0.25">
      <c r="A172" s="53">
        <f>'A) Base RI'!A174</f>
        <v>5674</v>
      </c>
      <c r="B172" s="54" t="str">
        <f>'A) Base RI'!B174</f>
        <v>Lovatens</v>
      </c>
      <c r="C172" s="9">
        <f>'B) D RI'!U174</f>
        <v>3776.8391809523814</v>
      </c>
      <c r="D172" s="35">
        <f>'B) D RI'!AR174</f>
        <v>143</v>
      </c>
      <c r="E172" s="295">
        <f t="shared" si="27"/>
        <v>26.411462803862808</v>
      </c>
      <c r="F172" s="81">
        <f t="shared" si="22"/>
        <v>0.56506710619676404</v>
      </c>
      <c r="G172" s="85">
        <f t="shared" si="23"/>
        <v>0</v>
      </c>
      <c r="H172" s="85">
        <f t="shared" si="24"/>
        <v>0</v>
      </c>
      <c r="I172" s="85">
        <f t="shared" si="25"/>
        <v>0</v>
      </c>
      <c r="J172" s="85">
        <f t="shared" si="26"/>
        <v>0</v>
      </c>
      <c r="K172" s="298">
        <f t="shared" si="19"/>
        <v>0</v>
      </c>
      <c r="L172" s="133">
        <f>K172*D172*'B) D RI'!S174</f>
        <v>0</v>
      </c>
      <c r="M172" s="10">
        <f>(('B) D RI'!S174*C172)-L172)/'B) D RI'!S174</f>
        <v>3776.8391809523814</v>
      </c>
      <c r="N172" s="136">
        <f t="shared" si="20"/>
        <v>26.411462803862808</v>
      </c>
      <c r="O172" s="75">
        <f t="shared" si="21"/>
        <v>0.59896645686659111</v>
      </c>
    </row>
    <row r="173" spans="1:15" x14ac:dyDescent="0.25">
      <c r="A173" s="53">
        <f>'A) Base RI'!A175</f>
        <v>5675</v>
      </c>
      <c r="B173" s="54" t="str">
        <f>'A) Base RI'!B175</f>
        <v>Lucens</v>
      </c>
      <c r="C173" s="9">
        <f>'B) D RI'!U175</f>
        <v>77479.696914600558</v>
      </c>
      <c r="D173" s="35">
        <f>'B) D RI'!AR175</f>
        <v>3380</v>
      </c>
      <c r="E173" s="295">
        <f t="shared" si="27"/>
        <v>22.9229872528404</v>
      </c>
      <c r="F173" s="81">
        <f t="shared" si="22"/>
        <v>0.49043198283032585</v>
      </c>
      <c r="G173" s="85">
        <f t="shared" si="23"/>
        <v>0</v>
      </c>
      <c r="H173" s="85">
        <f t="shared" si="24"/>
        <v>0</v>
      </c>
      <c r="I173" s="85">
        <f t="shared" si="25"/>
        <v>0</v>
      </c>
      <c r="J173" s="85">
        <f t="shared" si="26"/>
        <v>0</v>
      </c>
      <c r="K173" s="298">
        <f t="shared" si="19"/>
        <v>0</v>
      </c>
      <c r="L173" s="133">
        <f>K173*D173*'B) D RI'!S175</f>
        <v>0</v>
      </c>
      <c r="M173" s="10">
        <f>(('B) D RI'!S175*C173)-L173)/'B) D RI'!S175</f>
        <v>77479.696914600558</v>
      </c>
      <c r="N173" s="136">
        <f t="shared" si="20"/>
        <v>22.9229872528404</v>
      </c>
      <c r="O173" s="75">
        <f t="shared" si="21"/>
        <v>0.51985384367365484</v>
      </c>
    </row>
    <row r="174" spans="1:15" x14ac:dyDescent="0.25">
      <c r="A174" s="53">
        <f>'A) Base RI'!A176</f>
        <v>5678</v>
      </c>
      <c r="B174" s="54" t="str">
        <f>'A) Base RI'!B176</f>
        <v>Moudon</v>
      </c>
      <c r="C174" s="9">
        <f>'B) D RI'!U176</f>
        <v>123116.47720000001</v>
      </c>
      <c r="D174" s="35">
        <f>'B) D RI'!AR176</f>
        <v>6003</v>
      </c>
      <c r="E174" s="295">
        <f t="shared" si="27"/>
        <v>20.509158287522908</v>
      </c>
      <c r="F174" s="81">
        <f t="shared" si="22"/>
        <v>0.4387886733167613</v>
      </c>
      <c r="G174" s="85">
        <f t="shared" si="23"/>
        <v>0</v>
      </c>
      <c r="H174" s="85">
        <f t="shared" si="24"/>
        <v>0</v>
      </c>
      <c r="I174" s="85">
        <f t="shared" si="25"/>
        <v>0</v>
      </c>
      <c r="J174" s="85">
        <f t="shared" si="26"/>
        <v>0</v>
      </c>
      <c r="K174" s="298">
        <f t="shared" si="19"/>
        <v>0</v>
      </c>
      <c r="L174" s="133">
        <f>K174*D174*'B) D RI'!S176</f>
        <v>0</v>
      </c>
      <c r="M174" s="10">
        <f>(('B) D RI'!S176*C174)-L174)/'B) D RI'!S176</f>
        <v>123116.47720000001</v>
      </c>
      <c r="N174" s="136">
        <f t="shared" si="20"/>
        <v>20.509158287522908</v>
      </c>
      <c r="O174" s="75">
        <f t="shared" si="21"/>
        <v>0.46511236291679531</v>
      </c>
    </row>
    <row r="175" spans="1:15" x14ac:dyDescent="0.25">
      <c r="A175" s="53">
        <f>'A) Base RI'!A177</f>
        <v>5680</v>
      </c>
      <c r="B175" s="54" t="str">
        <f>'A) Base RI'!B177</f>
        <v>Ogens</v>
      </c>
      <c r="C175" s="9">
        <f>'B) D RI'!U177</f>
        <v>8504.3488034188031</v>
      </c>
      <c r="D175" s="35">
        <f>'B) D RI'!AR177</f>
        <v>296</v>
      </c>
      <c r="E175" s="295">
        <f t="shared" si="27"/>
        <v>28.730908119658118</v>
      </c>
      <c r="F175" s="81">
        <f t="shared" si="22"/>
        <v>0.61469109947238099</v>
      </c>
      <c r="G175" s="85">
        <f t="shared" si="23"/>
        <v>0</v>
      </c>
      <c r="H175" s="85">
        <f t="shared" si="24"/>
        <v>0</v>
      </c>
      <c r="I175" s="85">
        <f t="shared" si="25"/>
        <v>0</v>
      </c>
      <c r="J175" s="85">
        <f t="shared" si="26"/>
        <v>0</v>
      </c>
      <c r="K175" s="298">
        <f t="shared" si="19"/>
        <v>0</v>
      </c>
      <c r="L175" s="133">
        <f>K175*D175*'B) D RI'!S177</f>
        <v>0</v>
      </c>
      <c r="M175" s="10">
        <f>(('B) D RI'!S177*C175)-L175)/'B) D RI'!S177</f>
        <v>8504.3488034188031</v>
      </c>
      <c r="N175" s="136">
        <f t="shared" si="20"/>
        <v>28.730908119658118</v>
      </c>
      <c r="O175" s="75">
        <f t="shared" si="21"/>
        <v>0.65156747912025215</v>
      </c>
    </row>
    <row r="176" spans="1:15" x14ac:dyDescent="0.25">
      <c r="A176" s="53">
        <f>'A) Base RI'!A178</f>
        <v>5683</v>
      </c>
      <c r="B176" s="54" t="str">
        <f>'A) Base RI'!B178</f>
        <v>Prévonloup</v>
      </c>
      <c r="C176" s="9">
        <f>'B) D RI'!U178</f>
        <v>4128.5685135135127</v>
      </c>
      <c r="D176" s="35">
        <f>'B) D RI'!AR178</f>
        <v>166</v>
      </c>
      <c r="E176" s="295">
        <f t="shared" si="27"/>
        <v>24.870894659719955</v>
      </c>
      <c r="F176" s="81">
        <f t="shared" si="22"/>
        <v>0.53210700892481733</v>
      </c>
      <c r="G176" s="85">
        <f t="shared" si="23"/>
        <v>0</v>
      </c>
      <c r="H176" s="85">
        <f t="shared" si="24"/>
        <v>0</v>
      </c>
      <c r="I176" s="85">
        <f t="shared" si="25"/>
        <v>0</v>
      </c>
      <c r="J176" s="85">
        <f t="shared" si="26"/>
        <v>0</v>
      </c>
      <c r="K176" s="298">
        <f t="shared" si="19"/>
        <v>0</v>
      </c>
      <c r="L176" s="133">
        <f>K176*D176*'B) D RI'!S178</f>
        <v>0</v>
      </c>
      <c r="M176" s="10">
        <f>(('B) D RI'!S178*C176)-L176)/'B) D RI'!S178</f>
        <v>4128.5685135135127</v>
      </c>
      <c r="N176" s="136">
        <f t="shared" si="20"/>
        <v>24.870894659719955</v>
      </c>
      <c r="O176" s="75">
        <f t="shared" si="21"/>
        <v>0.56402902648981434</v>
      </c>
    </row>
    <row r="177" spans="1:15" x14ac:dyDescent="0.25">
      <c r="A177" s="53">
        <f>'A) Base RI'!A179</f>
        <v>5684</v>
      </c>
      <c r="B177" s="54" t="str">
        <f>'A) Base RI'!B179</f>
        <v>Rossenges</v>
      </c>
      <c r="C177" s="9">
        <f>'B) D RI'!U179</f>
        <v>2119.9519999999998</v>
      </c>
      <c r="D177" s="35">
        <f>'B) D RI'!AR179</f>
        <v>60</v>
      </c>
      <c r="E177" s="295">
        <f t="shared" si="27"/>
        <v>35.33253333333333</v>
      </c>
      <c r="F177" s="81">
        <f t="shared" si="22"/>
        <v>0.75593133608439711</v>
      </c>
      <c r="G177" s="85">
        <f t="shared" si="23"/>
        <v>0</v>
      </c>
      <c r="H177" s="85">
        <f t="shared" si="24"/>
        <v>0</v>
      </c>
      <c r="I177" s="85">
        <f t="shared" si="25"/>
        <v>0</v>
      </c>
      <c r="J177" s="85">
        <f t="shared" si="26"/>
        <v>0</v>
      </c>
      <c r="K177" s="298">
        <f t="shared" si="19"/>
        <v>0</v>
      </c>
      <c r="L177" s="133">
        <f>K177*D177*'B) D RI'!S179</f>
        <v>0</v>
      </c>
      <c r="M177" s="10">
        <f>(('B) D RI'!S179*C177)-L177)/'B) D RI'!S179</f>
        <v>2119.9519999999998</v>
      </c>
      <c r="N177" s="136">
        <f t="shared" si="20"/>
        <v>35.33253333333333</v>
      </c>
      <c r="O177" s="75">
        <f t="shared" si="21"/>
        <v>0.80128096122310177</v>
      </c>
    </row>
    <row r="178" spans="1:15" x14ac:dyDescent="0.25">
      <c r="A178" s="53">
        <f>'A) Base RI'!A180</f>
        <v>5686</v>
      </c>
      <c r="B178" s="54" t="str">
        <f>'A) Base RI'!B180</f>
        <v>Sarzens</v>
      </c>
      <c r="C178" s="9">
        <f>'B) D RI'!U180</f>
        <v>1678.3095945945947</v>
      </c>
      <c r="D178" s="35">
        <f>'B) D RI'!AR180</f>
        <v>82</v>
      </c>
      <c r="E178" s="295">
        <f t="shared" si="27"/>
        <v>20.467190177982861</v>
      </c>
      <c r="F178" s="81">
        <f t="shared" si="22"/>
        <v>0.43789077537046223</v>
      </c>
      <c r="G178" s="85">
        <f t="shared" si="23"/>
        <v>0</v>
      </c>
      <c r="H178" s="85">
        <f t="shared" si="24"/>
        <v>0</v>
      </c>
      <c r="I178" s="85">
        <f t="shared" si="25"/>
        <v>0</v>
      </c>
      <c r="J178" s="85">
        <f t="shared" si="26"/>
        <v>0</v>
      </c>
      <c r="K178" s="298">
        <f t="shared" si="19"/>
        <v>0</v>
      </c>
      <c r="L178" s="133">
        <f>K178*D178*'B) D RI'!S180</f>
        <v>0</v>
      </c>
      <c r="M178" s="10">
        <f>(('B) D RI'!S180*C178)-L178)/'B) D RI'!S180</f>
        <v>1678.3095945945947</v>
      </c>
      <c r="N178" s="136">
        <f t="shared" si="20"/>
        <v>20.467190177982861</v>
      </c>
      <c r="O178" s="75">
        <f t="shared" si="21"/>
        <v>0.46416059852346098</v>
      </c>
    </row>
    <row r="179" spans="1:15" x14ac:dyDescent="0.25">
      <c r="A179" s="53">
        <f>'A) Base RI'!A181</f>
        <v>5688</v>
      </c>
      <c r="B179" s="54" t="str">
        <f>'A) Base RI'!B181</f>
        <v>Syens</v>
      </c>
      <c r="C179" s="9">
        <f>'B) D RI'!U181</f>
        <v>4845.4007936507942</v>
      </c>
      <c r="D179" s="35">
        <f>'B) D RI'!AR181</f>
        <v>145</v>
      </c>
      <c r="E179" s="295">
        <f t="shared" si="27"/>
        <v>33.416557197591686</v>
      </c>
      <c r="F179" s="81">
        <f t="shared" si="22"/>
        <v>0.71493947211209019</v>
      </c>
      <c r="G179" s="85">
        <f t="shared" si="23"/>
        <v>0</v>
      </c>
      <c r="H179" s="85">
        <f t="shared" si="24"/>
        <v>0</v>
      </c>
      <c r="I179" s="85">
        <f t="shared" si="25"/>
        <v>0</v>
      </c>
      <c r="J179" s="85">
        <f t="shared" si="26"/>
        <v>0</v>
      </c>
      <c r="K179" s="298">
        <f t="shared" si="19"/>
        <v>0</v>
      </c>
      <c r="L179" s="133">
        <f>K179*D179*'B) D RI'!S181</f>
        <v>0</v>
      </c>
      <c r="M179" s="10">
        <f>(('B) D RI'!S181*C179)-L179)/'B) D RI'!S181</f>
        <v>4845.4007936507942</v>
      </c>
      <c r="N179" s="136">
        <f t="shared" si="20"/>
        <v>33.416557197591686</v>
      </c>
      <c r="O179" s="75">
        <f t="shared" si="21"/>
        <v>0.75782992460356735</v>
      </c>
    </row>
    <row r="180" spans="1:15" x14ac:dyDescent="0.25">
      <c r="A180" s="53">
        <f>'A) Base RI'!A182</f>
        <v>5690</v>
      </c>
      <c r="B180" s="54" t="str">
        <f>'A) Base RI'!B182</f>
        <v>Villars-le-Comte</v>
      </c>
      <c r="C180" s="9">
        <f>'B) D RI'!U182</f>
        <v>3252.2851315789467</v>
      </c>
      <c r="D180" s="35">
        <f>'B) D RI'!AR182</f>
        <v>143</v>
      </c>
      <c r="E180" s="295">
        <f t="shared" si="27"/>
        <v>22.743252668384244</v>
      </c>
      <c r="F180" s="81">
        <f t="shared" si="22"/>
        <v>0.48658660318299851</v>
      </c>
      <c r="G180" s="85">
        <f t="shared" si="23"/>
        <v>0</v>
      </c>
      <c r="H180" s="85">
        <f t="shared" si="24"/>
        <v>0</v>
      </c>
      <c r="I180" s="85">
        <f t="shared" si="25"/>
        <v>0</v>
      </c>
      <c r="J180" s="85">
        <f t="shared" si="26"/>
        <v>0</v>
      </c>
      <c r="K180" s="298">
        <f t="shared" si="19"/>
        <v>0</v>
      </c>
      <c r="L180" s="133">
        <f>K180*D180*'B) D RI'!S182</f>
        <v>0</v>
      </c>
      <c r="M180" s="10">
        <f>(('B) D RI'!S182*C180)-L180)/'B) D RI'!S182</f>
        <v>3252.2851315789467</v>
      </c>
      <c r="N180" s="136">
        <f t="shared" si="20"/>
        <v>22.743252668384244</v>
      </c>
      <c r="O180" s="75">
        <f t="shared" si="21"/>
        <v>0.51577777306645067</v>
      </c>
    </row>
    <row r="181" spans="1:15" x14ac:dyDescent="0.25">
      <c r="A181" s="53">
        <f>'A) Base RI'!A183</f>
        <v>5692</v>
      </c>
      <c r="B181" s="54" t="str">
        <f>'A) Base RI'!B183</f>
        <v>Vucherens</v>
      </c>
      <c r="C181" s="9">
        <f>'B) D RI'!U183</f>
        <v>16993.232405063292</v>
      </c>
      <c r="D181" s="35">
        <f>'B) D RI'!AR183</f>
        <v>557</v>
      </c>
      <c r="E181" s="295">
        <f t="shared" si="27"/>
        <v>30.508496238892803</v>
      </c>
      <c r="F181" s="81">
        <f t="shared" si="22"/>
        <v>0.65272218400582782</v>
      </c>
      <c r="G181" s="85">
        <f t="shared" si="23"/>
        <v>0</v>
      </c>
      <c r="H181" s="85">
        <f t="shared" si="24"/>
        <v>0</v>
      </c>
      <c r="I181" s="85">
        <f t="shared" si="25"/>
        <v>0</v>
      </c>
      <c r="J181" s="85">
        <f t="shared" si="26"/>
        <v>0</v>
      </c>
      <c r="K181" s="298">
        <f t="shared" si="19"/>
        <v>0</v>
      </c>
      <c r="L181" s="133">
        <f>K181*D181*'B) D RI'!S183</f>
        <v>0</v>
      </c>
      <c r="M181" s="10">
        <f>(('B) D RI'!S183*C181)-L181)/'B) D RI'!S183</f>
        <v>16993.232405063292</v>
      </c>
      <c r="N181" s="136">
        <f t="shared" si="20"/>
        <v>30.508496238892803</v>
      </c>
      <c r="O181" s="75">
        <f t="shared" si="21"/>
        <v>0.6918801140338483</v>
      </c>
    </row>
    <row r="182" spans="1:15" x14ac:dyDescent="0.25">
      <c r="A182" s="53">
        <f>'A) Base RI'!A184</f>
        <v>5693</v>
      </c>
      <c r="B182" s="54" t="str">
        <f>'A) Base RI'!B184</f>
        <v>Montanaire</v>
      </c>
      <c r="C182" s="9">
        <f>'B) D RI'!U184</f>
        <v>63585.08152777778</v>
      </c>
      <c r="D182" s="35">
        <f>'B) D RI'!AR184</f>
        <v>2500</v>
      </c>
      <c r="E182" s="295">
        <f>C182/D182</f>
        <v>25.43403261111111</v>
      </c>
      <c r="F182" s="81">
        <f t="shared" si="22"/>
        <v>0.54415521446895077</v>
      </c>
      <c r="G182" s="85">
        <f t="shared" si="23"/>
        <v>0</v>
      </c>
      <c r="H182" s="85">
        <f t="shared" si="24"/>
        <v>0</v>
      </c>
      <c r="I182" s="85">
        <f t="shared" si="25"/>
        <v>0</v>
      </c>
      <c r="J182" s="85">
        <f t="shared" si="26"/>
        <v>0</v>
      </c>
      <c r="K182" s="298">
        <f t="shared" si="19"/>
        <v>0</v>
      </c>
      <c r="L182" s="133">
        <f>K182*D182*'B) D RI'!S184</f>
        <v>0</v>
      </c>
      <c r="M182" s="10">
        <f>(('B) D RI'!S184*C182)-L182)/'B) D RI'!S184</f>
        <v>63585.08152777778</v>
      </c>
      <c r="N182" s="136">
        <f t="shared" si="20"/>
        <v>25.43403261111111</v>
      </c>
      <c r="O182" s="75">
        <f t="shared" si="21"/>
        <v>0.57680002467256319</v>
      </c>
    </row>
    <row r="183" spans="1:15" x14ac:dyDescent="0.25">
      <c r="A183" s="53">
        <f>'A) Base RI'!A185</f>
        <v>5701</v>
      </c>
      <c r="B183" s="54" t="str">
        <f>'A) Base RI'!B185</f>
        <v>Arnex-sur-Nyon</v>
      </c>
      <c r="C183" s="9">
        <f>'B) D RI'!U185</f>
        <v>15270.610714285714</v>
      </c>
      <c r="D183" s="35">
        <f>'B) D RI'!AR185</f>
        <v>214</v>
      </c>
      <c r="E183" s="295">
        <f>C183/D183</f>
        <v>71.357993991989318</v>
      </c>
      <c r="F183" s="81">
        <f t="shared" si="22"/>
        <v>1.5266876911930141</v>
      </c>
      <c r="G183" s="85">
        <f t="shared" si="23"/>
        <v>15.269513496366251</v>
      </c>
      <c r="H183" s="85">
        <f t="shared" si="24"/>
        <v>1.2473933724604791</v>
      </c>
      <c r="I183" s="85">
        <f t="shared" si="25"/>
        <v>0</v>
      </c>
      <c r="J183" s="85">
        <f t="shared" si="26"/>
        <v>0</v>
      </c>
      <c r="K183" s="298">
        <f t="shared" si="19"/>
        <v>5.6217641959378986</v>
      </c>
      <c r="L183" s="133">
        <f>K183*D183*'B) D RI'!S185</f>
        <v>84214.027655149723</v>
      </c>
      <c r="M183" s="10">
        <f>(('B) D RI'!S185*C183)-L183)/'B) D RI'!S185</f>
        <v>14067.553176355004</v>
      </c>
      <c r="N183" s="136">
        <f t="shared" si="20"/>
        <v>65.736229796051418</v>
      </c>
      <c r="O183" s="75">
        <f t="shared" si="21"/>
        <v>1.4907843969532175</v>
      </c>
    </row>
    <row r="184" spans="1:15" x14ac:dyDescent="0.25">
      <c r="A184" s="53">
        <f>'A) Base RI'!A186</f>
        <v>5702</v>
      </c>
      <c r="B184" s="54" t="str">
        <f>'A) Base RI'!B186</f>
        <v>Arzier-Le Muids</v>
      </c>
      <c r="C184" s="9">
        <f>'B) D RI'!U186</f>
        <v>153872.87421874999</v>
      </c>
      <c r="D184" s="35">
        <f>'B) D RI'!AR186</f>
        <v>2565</v>
      </c>
      <c r="E184" s="295">
        <f t="shared" si="27"/>
        <v>59.989424646686153</v>
      </c>
      <c r="F184" s="81">
        <f t="shared" si="22"/>
        <v>1.2834597931680642</v>
      </c>
      <c r="G184" s="85">
        <f t="shared" si="23"/>
        <v>3.9009441510630865</v>
      </c>
      <c r="H184" s="85">
        <f t="shared" si="24"/>
        <v>0</v>
      </c>
      <c r="I184" s="85">
        <f t="shared" si="25"/>
        <v>0</v>
      </c>
      <c r="J184" s="85">
        <f t="shared" si="26"/>
        <v>0</v>
      </c>
      <c r="K184" s="298">
        <f t="shared" si="19"/>
        <v>1.404339894382711</v>
      </c>
      <c r="L184" s="133">
        <f>K184*D184*'B) D RI'!S186</f>
        <v>230536.43706186584</v>
      </c>
      <c r="M184" s="10">
        <f>(('B) D RI'!S186*C184)-L184)/'B) D RI'!S186</f>
        <v>150270.74238965832</v>
      </c>
      <c r="N184" s="136">
        <f t="shared" si="20"/>
        <v>58.585084752303437</v>
      </c>
      <c r="O184" s="75">
        <f t="shared" si="21"/>
        <v>1.3286087521886134</v>
      </c>
    </row>
    <row r="185" spans="1:15" x14ac:dyDescent="0.25">
      <c r="A185" s="53">
        <f>'A) Base RI'!A187</f>
        <v>5703</v>
      </c>
      <c r="B185" s="54" t="str">
        <f>'A) Base RI'!B187</f>
        <v>Bassins</v>
      </c>
      <c r="C185" s="9">
        <f>'B) D RI'!U187</f>
        <v>52372.205915492945</v>
      </c>
      <c r="D185" s="35">
        <f>'B) D RI'!AR187</f>
        <v>1311</v>
      </c>
      <c r="E185" s="295">
        <f t="shared" si="27"/>
        <v>39.948288265059453</v>
      </c>
      <c r="F185" s="81">
        <f t="shared" si="22"/>
        <v>0.85468433971592861</v>
      </c>
      <c r="G185" s="85">
        <f t="shared" si="23"/>
        <v>0</v>
      </c>
      <c r="H185" s="85">
        <f t="shared" si="24"/>
        <v>0</v>
      </c>
      <c r="I185" s="85">
        <f t="shared" si="25"/>
        <v>0</v>
      </c>
      <c r="J185" s="85">
        <f t="shared" si="26"/>
        <v>0</v>
      </c>
      <c r="K185" s="298">
        <f t="shared" si="19"/>
        <v>0</v>
      </c>
      <c r="L185" s="133">
        <f>K185*D185*'B) D RI'!S187</f>
        <v>0</v>
      </c>
      <c r="M185" s="10">
        <f>(('B) D RI'!S187*C185)-L185)/'B) D RI'!S187</f>
        <v>52372.205915492945</v>
      </c>
      <c r="N185" s="136">
        <f t="shared" si="20"/>
        <v>39.948288265059453</v>
      </c>
      <c r="O185" s="75">
        <f t="shared" si="21"/>
        <v>0.90595832793132292</v>
      </c>
    </row>
    <row r="186" spans="1:15" x14ac:dyDescent="0.25">
      <c r="A186" s="53">
        <f>'A) Base RI'!A188</f>
        <v>5704</v>
      </c>
      <c r="B186" s="54" t="str">
        <f>'A) Base RI'!B188</f>
        <v>Begnins</v>
      </c>
      <c r="C186" s="9">
        <f>'B) D RI'!U188</f>
        <v>118306.82039800995</v>
      </c>
      <c r="D186" s="35">
        <f>'B) D RI'!AR188</f>
        <v>1856</v>
      </c>
      <c r="E186" s="295">
        <f t="shared" si="27"/>
        <v>63.74289892134157</v>
      </c>
      <c r="F186" s="81">
        <f t="shared" si="22"/>
        <v>1.3637645026161653</v>
      </c>
      <c r="G186" s="85">
        <f t="shared" si="23"/>
        <v>7.6544184257185037</v>
      </c>
      <c r="H186" s="85">
        <f t="shared" si="24"/>
        <v>0</v>
      </c>
      <c r="I186" s="85">
        <f t="shared" si="25"/>
        <v>0</v>
      </c>
      <c r="J186" s="85">
        <f t="shared" si="26"/>
        <v>0</v>
      </c>
      <c r="K186" s="298">
        <f t="shared" si="19"/>
        <v>2.7555906332586613</v>
      </c>
      <c r="L186" s="133">
        <f>K186*D186*'B) D RI'!S188</f>
        <v>342663.20642698102</v>
      </c>
      <c r="M186" s="10">
        <f>(('B) D RI'!S188*C186)-L186)/'B) D RI'!S188</f>
        <v>113192.44418268188</v>
      </c>
      <c r="N186" s="136">
        <f t="shared" si="20"/>
        <v>60.987308288082907</v>
      </c>
      <c r="O186" s="75">
        <f t="shared" si="21"/>
        <v>1.383087041805231</v>
      </c>
    </row>
    <row r="187" spans="1:15" x14ac:dyDescent="0.25">
      <c r="A187" s="53">
        <f>'A) Base RI'!A189</f>
        <v>5705</v>
      </c>
      <c r="B187" s="54" t="str">
        <f>'A) Base RI'!B189</f>
        <v>Bogis-Bossey</v>
      </c>
      <c r="C187" s="9">
        <f>'B) D RI'!U189</f>
        <v>49610.676285714275</v>
      </c>
      <c r="D187" s="35">
        <f>'B) D RI'!AR189</f>
        <v>827</v>
      </c>
      <c r="E187" s="295">
        <f t="shared" si="27"/>
        <v>59.988725859388481</v>
      </c>
      <c r="F187" s="81">
        <f t="shared" si="22"/>
        <v>1.2834448427762939</v>
      </c>
      <c r="G187" s="85">
        <f t="shared" si="23"/>
        <v>3.9002453637654142</v>
      </c>
      <c r="H187" s="85">
        <f t="shared" si="24"/>
        <v>0</v>
      </c>
      <c r="I187" s="85">
        <f t="shared" si="25"/>
        <v>0</v>
      </c>
      <c r="J187" s="85">
        <f t="shared" si="26"/>
        <v>0</v>
      </c>
      <c r="K187" s="298">
        <f t="shared" si="19"/>
        <v>1.404088330955549</v>
      </c>
      <c r="L187" s="133">
        <f>K187*D187*'B) D RI'!S189</f>
        <v>81282.673479016739</v>
      </c>
      <c r="M187" s="10">
        <f>(('B) D RI'!S189*C187)-L187)/'B) D RI'!S189</f>
        <v>48449.495236014038</v>
      </c>
      <c r="N187" s="136">
        <f t="shared" si="20"/>
        <v>58.584637528432935</v>
      </c>
      <c r="O187" s="75">
        <f t="shared" si="21"/>
        <v>1.32859860992201</v>
      </c>
    </row>
    <row r="188" spans="1:15" x14ac:dyDescent="0.25">
      <c r="A188" s="53">
        <f>'A) Base RI'!A190</f>
        <v>5706</v>
      </c>
      <c r="B188" s="54" t="str">
        <f>'A) Base RI'!B190</f>
        <v>Borex</v>
      </c>
      <c r="C188" s="9">
        <f>'B) D RI'!U190</f>
        <v>68211.153151515144</v>
      </c>
      <c r="D188" s="35">
        <f>'B) D RI'!AR190</f>
        <v>1099</v>
      </c>
      <c r="E188" s="295">
        <f t="shared" si="27"/>
        <v>62.066563377174838</v>
      </c>
      <c r="F188" s="81">
        <f t="shared" si="22"/>
        <v>1.3278996933857377</v>
      </c>
      <c r="G188" s="85">
        <f t="shared" si="23"/>
        <v>5.9780828815517708</v>
      </c>
      <c r="H188" s="85">
        <f t="shared" si="24"/>
        <v>0</v>
      </c>
      <c r="I188" s="85">
        <f t="shared" si="25"/>
        <v>0</v>
      </c>
      <c r="J188" s="85">
        <f t="shared" si="26"/>
        <v>0</v>
      </c>
      <c r="K188" s="298">
        <f t="shared" si="19"/>
        <v>2.1521098373586374</v>
      </c>
      <c r="L188" s="133">
        <f>K188*D188*'B) D RI'!S190</f>
        <v>130084.27911914284</v>
      </c>
      <c r="M188" s="10">
        <f>(('B) D RI'!S190*C188)-L188)/'B) D RI'!S190</f>
        <v>65845.984440258006</v>
      </c>
      <c r="N188" s="136">
        <f t="shared" si="20"/>
        <v>59.914453539816201</v>
      </c>
      <c r="O188" s="75">
        <f t="shared" si="21"/>
        <v>1.358756545154064</v>
      </c>
    </row>
    <row r="189" spans="1:15" x14ac:dyDescent="0.25">
      <c r="A189" s="53">
        <f>'A) Base RI'!A191</f>
        <v>5707</v>
      </c>
      <c r="B189" s="54" t="str">
        <f>'A) Base RI'!B191</f>
        <v>Chavannes-de-Bogis</v>
      </c>
      <c r="C189" s="9">
        <f>'B) D RI'!U191</f>
        <v>101262.00960451979</v>
      </c>
      <c r="D189" s="35">
        <f>'B) D RI'!AR191</f>
        <v>1153</v>
      </c>
      <c r="E189" s="295">
        <f t="shared" si="27"/>
        <v>87.824813186920892</v>
      </c>
      <c r="F189" s="81">
        <f t="shared" si="22"/>
        <v>1.8789914594411108</v>
      </c>
      <c r="G189" s="85">
        <f t="shared" si="23"/>
        <v>31.736332691297825</v>
      </c>
      <c r="H189" s="85">
        <f t="shared" si="24"/>
        <v>17.714212567392053</v>
      </c>
      <c r="I189" s="85">
        <f t="shared" si="25"/>
        <v>0</v>
      </c>
      <c r="J189" s="85">
        <f t="shared" si="26"/>
        <v>0</v>
      </c>
      <c r="K189" s="298">
        <f t="shared" si="19"/>
        <v>13.196501025606423</v>
      </c>
      <c r="L189" s="133">
        <f>K189*D189*'B) D RI'!S191</f>
        <v>897718.37526892812</v>
      </c>
      <c r="M189" s="10">
        <f>(('B) D RI'!S191*C189)-L189)/'B) D RI'!S191</f>
        <v>86046.443921995582</v>
      </c>
      <c r="N189" s="136">
        <f t="shared" si="20"/>
        <v>74.628312161314469</v>
      </c>
      <c r="O189" s="75">
        <f t="shared" si="21"/>
        <v>1.692441499705911</v>
      </c>
    </row>
    <row r="190" spans="1:15" x14ac:dyDescent="0.25">
      <c r="A190" s="53">
        <f>'A) Base RI'!A192</f>
        <v>5708</v>
      </c>
      <c r="B190" s="54" t="str">
        <f>'A) Base RI'!B192</f>
        <v>Chavannes-des-Bois</v>
      </c>
      <c r="C190" s="9">
        <f>'B) D RI'!U192</f>
        <v>66077.93781420766</v>
      </c>
      <c r="D190" s="35">
        <f>'B) D RI'!AR192</f>
        <v>850</v>
      </c>
      <c r="E190" s="295">
        <f t="shared" si="27"/>
        <v>77.738750369656074</v>
      </c>
      <c r="F190" s="81">
        <f t="shared" si="22"/>
        <v>1.6632024904091851</v>
      </c>
      <c r="G190" s="85">
        <f t="shared" si="23"/>
        <v>21.650269874033008</v>
      </c>
      <c r="H190" s="85">
        <f t="shared" si="24"/>
        <v>7.6281497501272355</v>
      </c>
      <c r="I190" s="85">
        <f t="shared" si="25"/>
        <v>0</v>
      </c>
      <c r="J190" s="85">
        <f t="shared" si="26"/>
        <v>0</v>
      </c>
      <c r="K190" s="298">
        <f t="shared" si="19"/>
        <v>8.5569121296646067</v>
      </c>
      <c r="L190" s="133">
        <f>K190*D190*'B) D RI'!S192</f>
        <v>443675.89392310986</v>
      </c>
      <c r="M190" s="10">
        <f>(('B) D RI'!S192*C190)-L190)/'B) D RI'!S192</f>
        <v>58804.562503992747</v>
      </c>
      <c r="N190" s="136">
        <f t="shared" si="20"/>
        <v>69.181838239991464</v>
      </c>
      <c r="O190" s="75">
        <f t="shared" si="21"/>
        <v>1.5689248580379604</v>
      </c>
    </row>
    <row r="191" spans="1:15" x14ac:dyDescent="0.25">
      <c r="A191" s="53">
        <f>'A) Base RI'!A193</f>
        <v>5709</v>
      </c>
      <c r="B191" s="54" t="str">
        <f>'A) Base RI'!B193</f>
        <v>Chéserex</v>
      </c>
      <c r="C191" s="9">
        <f>'B) D RI'!U193</f>
        <v>141681.04461538463</v>
      </c>
      <c r="D191" s="35">
        <f>'B) D RI'!AR193</f>
        <v>1222</v>
      </c>
      <c r="E191" s="295">
        <f t="shared" si="27"/>
        <v>115.94193503713963</v>
      </c>
      <c r="F191" s="81">
        <f t="shared" si="22"/>
        <v>2.4805507443801185</v>
      </c>
      <c r="G191" s="85">
        <f t="shared" si="23"/>
        <v>59.853454541516562</v>
      </c>
      <c r="H191" s="85">
        <f t="shared" si="24"/>
        <v>45.83133441761079</v>
      </c>
      <c r="I191" s="85">
        <f t="shared" si="25"/>
        <v>22.461134211101182</v>
      </c>
      <c r="J191" s="85">
        <f t="shared" si="26"/>
        <v>0</v>
      </c>
      <c r="K191" s="298">
        <f t="shared" si="19"/>
        <v>28.376490497817162</v>
      </c>
      <c r="L191" s="133">
        <f>K191*D191*'B) D RI'!S193</f>
        <v>1803155.7121932937</v>
      </c>
      <c r="M191" s="10">
        <f>(('B) D RI'!S193*C191)-L191)/'B) D RI'!S193</f>
        <v>107004.97322705205</v>
      </c>
      <c r="N191" s="136">
        <f t="shared" si="20"/>
        <v>87.565444539322456</v>
      </c>
      <c r="O191" s="75">
        <f t="shared" si="21"/>
        <v>1.9858333652006228</v>
      </c>
    </row>
    <row r="192" spans="1:15" x14ac:dyDescent="0.25">
      <c r="A192" s="53">
        <f>'A) Base RI'!A194</f>
        <v>5710</v>
      </c>
      <c r="B192" s="54" t="str">
        <f>'A) Base RI'!B194</f>
        <v>Coinsins</v>
      </c>
      <c r="C192" s="9">
        <f>'B) D RI'!U194</f>
        <v>77522.491219512216</v>
      </c>
      <c r="D192" s="35">
        <f>'B) D RI'!AR194</f>
        <v>490</v>
      </c>
      <c r="E192" s="295">
        <f t="shared" si="27"/>
        <v>158.20916575410655</v>
      </c>
      <c r="F192" s="81">
        <f t="shared" si="22"/>
        <v>3.3848483187156964</v>
      </c>
      <c r="G192" s="85">
        <f t="shared" si="23"/>
        <v>102.12068525848349</v>
      </c>
      <c r="H192" s="85">
        <f t="shared" si="24"/>
        <v>88.098565134577711</v>
      </c>
      <c r="I192" s="85">
        <f t="shared" si="25"/>
        <v>64.728364928068103</v>
      </c>
      <c r="J192" s="85">
        <f t="shared" si="26"/>
        <v>17.987964515048873</v>
      </c>
      <c r="K192" s="298">
        <f t="shared" si="19"/>
        <v>53.844936150823528</v>
      </c>
      <c r="L192" s="133">
        <f>K192*D192*'B) D RI'!S194</f>
        <v>1081744.7672700447</v>
      </c>
      <c r="M192" s="10">
        <f>(('B) D RI'!S194*C192)-L192)/'B) D RI'!S194</f>
        <v>51138.47250560869</v>
      </c>
      <c r="N192" s="136">
        <f t="shared" si="20"/>
        <v>104.36422960328304</v>
      </c>
      <c r="O192" s="75">
        <f t="shared" si="21"/>
        <v>2.3668008581466129</v>
      </c>
    </row>
    <row r="193" spans="1:15" x14ac:dyDescent="0.25">
      <c r="A193" s="53">
        <f>'A) Base RI'!A195</f>
        <v>5711</v>
      </c>
      <c r="B193" s="54" t="str">
        <f>'A) Base RI'!B195</f>
        <v>Commugny</v>
      </c>
      <c r="C193" s="9">
        <f>'B) D RI'!U195</f>
        <v>249621.80260458836</v>
      </c>
      <c r="D193" s="35">
        <f>'B) D RI'!AR195</f>
        <v>2561</v>
      </c>
      <c r="E193" s="295">
        <f t="shared" si="27"/>
        <v>97.470442250913067</v>
      </c>
      <c r="F193" s="81">
        <f t="shared" si="22"/>
        <v>2.0853574507197274</v>
      </c>
      <c r="G193" s="85">
        <f t="shared" si="23"/>
        <v>41.38196175529</v>
      </c>
      <c r="H193" s="85">
        <f t="shared" si="24"/>
        <v>27.359841631384228</v>
      </c>
      <c r="I193" s="85">
        <f t="shared" si="25"/>
        <v>3.9896414248746197</v>
      </c>
      <c r="J193" s="85">
        <f t="shared" si="26"/>
        <v>0</v>
      </c>
      <c r="K193" s="298">
        <f t="shared" si="19"/>
        <v>18.032454537530285</v>
      </c>
      <c r="L193" s="133">
        <f>K193*D193*'B) D RI'!S195</f>
        <v>2632323.6160250586</v>
      </c>
      <c r="M193" s="10">
        <f>(('B) D RI'!S195*C193)-L193)/'B) D RI'!S195</f>
        <v>203440.68653397332</v>
      </c>
      <c r="N193" s="136">
        <f t="shared" si="20"/>
        <v>79.437987713382782</v>
      </c>
      <c r="O193" s="75">
        <f t="shared" si="21"/>
        <v>1.8015166518659378</v>
      </c>
    </row>
    <row r="194" spans="1:15" x14ac:dyDescent="0.25">
      <c r="A194" s="53">
        <f>'A) Base RI'!A196</f>
        <v>5712</v>
      </c>
      <c r="B194" s="54" t="str">
        <f>'A) Base RI'!B196</f>
        <v>Coppet</v>
      </c>
      <c r="C194" s="9">
        <f>'B) D RI'!U196</f>
        <v>316866.86955974839</v>
      </c>
      <c r="D194" s="35">
        <f>'B) D RI'!AR196</f>
        <v>2942</v>
      </c>
      <c r="E194" s="295">
        <f t="shared" si="27"/>
        <v>107.70457836837132</v>
      </c>
      <c r="F194" s="81">
        <f t="shared" si="22"/>
        <v>2.3043144135832208</v>
      </c>
      <c r="G194" s="85">
        <f t="shared" si="23"/>
        <v>51.616097872748249</v>
      </c>
      <c r="H194" s="85">
        <f t="shared" si="24"/>
        <v>37.593977748842477</v>
      </c>
      <c r="I194" s="85">
        <f t="shared" si="25"/>
        <v>14.223777542332869</v>
      </c>
      <c r="J194" s="85">
        <f t="shared" si="26"/>
        <v>0</v>
      </c>
      <c r="K194" s="298">
        <f t="shared" si="19"/>
        <v>23.763570763306905</v>
      </c>
      <c r="L194" s="133">
        <f>K194*D194*'B) D RI'!S196</f>
        <v>3705358.5348393926</v>
      </c>
      <c r="M194" s="10">
        <f>(('B) D RI'!S196*C194)-L194)/'B) D RI'!S196</f>
        <v>246954.44437409952</v>
      </c>
      <c r="N194" s="136">
        <f t="shared" si="20"/>
        <v>83.941007605064414</v>
      </c>
      <c r="O194" s="75">
        <f t="shared" si="21"/>
        <v>1.9036373821620975</v>
      </c>
    </row>
    <row r="195" spans="1:15" x14ac:dyDescent="0.25">
      <c r="A195" s="53">
        <f>'A) Base RI'!A197</f>
        <v>5713</v>
      </c>
      <c r="B195" s="54" t="str">
        <f>'A) Base RI'!B197</f>
        <v>Crans-près-Céligny</v>
      </c>
      <c r="C195" s="9">
        <f>'B) D RI'!U197</f>
        <v>229285.72754716981</v>
      </c>
      <c r="D195" s="35">
        <f>'B) D RI'!AR197</f>
        <v>2059</v>
      </c>
      <c r="E195" s="295">
        <f t="shared" si="27"/>
        <v>111.35780842504604</v>
      </c>
      <c r="F195" s="81">
        <f t="shared" si="22"/>
        <v>2.3824744212937481</v>
      </c>
      <c r="G195" s="85">
        <f t="shared" si="23"/>
        <v>55.269327929422978</v>
      </c>
      <c r="H195" s="85">
        <f t="shared" si="24"/>
        <v>41.247207805517206</v>
      </c>
      <c r="I195" s="85">
        <f t="shared" si="25"/>
        <v>17.877007599007598</v>
      </c>
      <c r="J195" s="85">
        <f t="shared" si="26"/>
        <v>0</v>
      </c>
      <c r="K195" s="298">
        <f t="shared" si="19"/>
        <v>25.809379595044753</v>
      </c>
      <c r="L195" s="133">
        <f>K195*D195*'B) D RI'!S197</f>
        <v>2816500.1670684488</v>
      </c>
      <c r="M195" s="10">
        <f>(('B) D RI'!S197*C195)-L195)/'B) D RI'!S197</f>
        <v>176144.21496097266</v>
      </c>
      <c r="N195" s="136">
        <f t="shared" si="20"/>
        <v>85.548428830001299</v>
      </c>
      <c r="O195" s="75">
        <f t="shared" si="21"/>
        <v>1.9400909251915956</v>
      </c>
    </row>
    <row r="196" spans="1:15" x14ac:dyDescent="0.25">
      <c r="A196" s="53">
        <f>'A) Base RI'!A198</f>
        <v>5714</v>
      </c>
      <c r="B196" s="54" t="str">
        <f>'A) Base RI'!B198</f>
        <v>Crassier</v>
      </c>
      <c r="C196" s="9">
        <f>'B) D RI'!U198</f>
        <v>82427.7421875</v>
      </c>
      <c r="D196" s="35">
        <f>'B) D RI'!AR198</f>
        <v>1172</v>
      </c>
      <c r="E196" s="295">
        <f t="shared" si="27"/>
        <v>70.330838043941981</v>
      </c>
      <c r="F196" s="81">
        <f t="shared" si="22"/>
        <v>1.5047119284915624</v>
      </c>
      <c r="G196" s="85">
        <f t="shared" si="23"/>
        <v>14.242357548318914</v>
      </c>
      <c r="H196" s="85">
        <f t="shared" si="24"/>
        <v>0.22023742441314198</v>
      </c>
      <c r="I196" s="85">
        <f t="shared" si="25"/>
        <v>0</v>
      </c>
      <c r="J196" s="85">
        <f t="shared" si="26"/>
        <v>0</v>
      </c>
      <c r="K196" s="298">
        <f t="shared" si="19"/>
        <v>5.1492724598361228</v>
      </c>
      <c r="L196" s="133">
        <f>K196*D196*'B) D RI'!S198</f>
        <v>386236.62866738788</v>
      </c>
      <c r="M196" s="10">
        <f>(('B) D RI'!S198*C196)-L196)/'B) D RI'!S198</f>
        <v>76392.794864572061</v>
      </c>
      <c r="N196" s="136">
        <f t="shared" si="20"/>
        <v>65.181565584105854</v>
      </c>
      <c r="O196" s="75">
        <f t="shared" si="21"/>
        <v>1.4782055685768072</v>
      </c>
    </row>
    <row r="197" spans="1:15" x14ac:dyDescent="0.25">
      <c r="A197" s="53">
        <f>'A) Base RI'!A199</f>
        <v>5715</v>
      </c>
      <c r="B197" s="54" t="str">
        <f>'A) Base RI'!B199</f>
        <v>Duillier</v>
      </c>
      <c r="C197" s="9">
        <f>'B) D RI'!U199</f>
        <v>64112.353030303027</v>
      </c>
      <c r="D197" s="35">
        <f>'B) D RI'!AR199</f>
        <v>1039</v>
      </c>
      <c r="E197" s="295">
        <f t="shared" si="27"/>
        <v>61.705825823198296</v>
      </c>
      <c r="F197" s="81">
        <f t="shared" si="22"/>
        <v>1.3201817972875249</v>
      </c>
      <c r="G197" s="85">
        <f t="shared" si="23"/>
        <v>5.6173453275752294</v>
      </c>
      <c r="H197" s="85">
        <f t="shared" si="24"/>
        <v>0</v>
      </c>
      <c r="I197" s="85">
        <f t="shared" si="25"/>
        <v>0</v>
      </c>
      <c r="J197" s="85">
        <f t="shared" si="26"/>
        <v>0</v>
      </c>
      <c r="K197" s="298">
        <f t="shared" ref="K197:K260" si="28">(G197-H197)*$G$3+(H197-I197)*$H$3+(I197-J197)*$I$3+(J197*$J$3)</f>
        <v>2.0222443179270826</v>
      </c>
      <c r="L197" s="133">
        <f>K197*D197*'B) D RI'!S199</f>
        <v>138673.38185753176</v>
      </c>
      <c r="M197" s="10">
        <f>(('B) D RI'!S199*C197)-L197)/'B) D RI'!S199</f>
        <v>62011.241183976788</v>
      </c>
      <c r="N197" s="136">
        <f t="shared" ref="N197:N260" si="29">M197/D197</f>
        <v>59.683581505271214</v>
      </c>
      <c r="O197" s="75">
        <f t="shared" ref="O197:O260" si="30">N197/N$323</f>
        <v>1.3535207653130183</v>
      </c>
    </row>
    <row r="198" spans="1:15" x14ac:dyDescent="0.25">
      <c r="A198" s="53">
        <f>'A) Base RI'!A200</f>
        <v>5716</v>
      </c>
      <c r="B198" s="54" t="str">
        <f>'A) Base RI'!B200</f>
        <v>Eysins</v>
      </c>
      <c r="C198" s="9">
        <f>'B) D RI'!U200</f>
        <v>93259.046229508182</v>
      </c>
      <c r="D198" s="35">
        <f>'B) D RI'!AR200</f>
        <v>1482</v>
      </c>
      <c r="E198" s="295">
        <f t="shared" si="27"/>
        <v>62.927831463905655</v>
      </c>
      <c r="F198" s="81">
        <f t="shared" ref="F198:F261" si="31">E198/$E$323</f>
        <v>1.3463263238621621</v>
      </c>
      <c r="G198" s="85">
        <f t="shared" ref="G198:G261" si="32">IF(E198-$G$2&lt;0,0,E198-$G$2)</f>
        <v>6.8393509682825879</v>
      </c>
      <c r="H198" s="85">
        <f t="shared" ref="H198:H261" si="33">IF(E198-$H$2&lt;0,0,E198-$H$2)</f>
        <v>0</v>
      </c>
      <c r="I198" s="85">
        <f t="shared" ref="I198:I261" si="34">IF(E198-$I$2&lt;0,0,E198-$I$2)</f>
        <v>0</v>
      </c>
      <c r="J198" s="85">
        <f t="shared" ref="J198:J261" si="35">IF(E198-$J$2&lt;0,0,E198-$J$2)</f>
        <v>0</v>
      </c>
      <c r="K198" s="298">
        <f t="shared" si="28"/>
        <v>2.4621663485817318</v>
      </c>
      <c r="L198" s="133">
        <f>K198*D198*'B) D RI'!S200</f>
        <v>222584.7622444857</v>
      </c>
      <c r="M198" s="10">
        <f>(('B) D RI'!S200*C198)-L198)/'B) D RI'!S200</f>
        <v>89610.115700910072</v>
      </c>
      <c r="N198" s="136">
        <f t="shared" si="29"/>
        <v>60.465665115323937</v>
      </c>
      <c r="O198" s="75">
        <f t="shared" si="30"/>
        <v>1.3712570736866008</v>
      </c>
    </row>
    <row r="199" spans="1:15" x14ac:dyDescent="0.25">
      <c r="A199" s="53">
        <f>'A) Base RI'!A201</f>
        <v>5717</v>
      </c>
      <c r="B199" s="54" t="str">
        <f>'A) Base RI'!B201</f>
        <v>Founex</v>
      </c>
      <c r="C199" s="9">
        <f>'B) D RI'!U201</f>
        <v>359686.500877193</v>
      </c>
      <c r="D199" s="35">
        <f>'B) D RI'!AR201</f>
        <v>3410</v>
      </c>
      <c r="E199" s="295">
        <f t="shared" si="27"/>
        <v>105.47991228070175</v>
      </c>
      <c r="F199" s="81">
        <f t="shared" si="31"/>
        <v>2.2567181998578052</v>
      </c>
      <c r="G199" s="85">
        <f t="shared" si="32"/>
        <v>49.391431785078687</v>
      </c>
      <c r="H199" s="85">
        <f t="shared" si="33"/>
        <v>35.369311661172915</v>
      </c>
      <c r="I199" s="85">
        <f t="shared" si="34"/>
        <v>11.999111454663307</v>
      </c>
      <c r="J199" s="85">
        <f t="shared" si="35"/>
        <v>0</v>
      </c>
      <c r="K199" s="298">
        <f t="shared" si="28"/>
        <v>22.517757754211949</v>
      </c>
      <c r="L199" s="133">
        <f>K199*D199*'B) D RI'!S201</f>
        <v>4376776.5746861761</v>
      </c>
      <c r="M199" s="10">
        <f>(('B) D RI'!S201*C199)-L199)/'B) D RI'!S201</f>
        <v>282900.94693533023</v>
      </c>
      <c r="N199" s="136">
        <f t="shared" si="29"/>
        <v>82.962154526489797</v>
      </c>
      <c r="O199" s="75">
        <f t="shared" si="30"/>
        <v>1.8814386813699155</v>
      </c>
    </row>
    <row r="200" spans="1:15" x14ac:dyDescent="0.25">
      <c r="A200" s="53">
        <f>'A) Base RI'!A202</f>
        <v>5718</v>
      </c>
      <c r="B200" s="54" t="str">
        <f>'A) Base RI'!B202</f>
        <v>Genolier</v>
      </c>
      <c r="C200" s="9">
        <f>'B) D RI'!U202</f>
        <v>194551.61054545455</v>
      </c>
      <c r="D200" s="35">
        <f>'B) D RI'!AR202</f>
        <v>1895</v>
      </c>
      <c r="E200" s="295">
        <f t="shared" si="27"/>
        <v>102.66575754377548</v>
      </c>
      <c r="F200" s="81">
        <f t="shared" si="31"/>
        <v>2.1965100135337869</v>
      </c>
      <c r="G200" s="85">
        <f t="shared" si="32"/>
        <v>46.577277048152418</v>
      </c>
      <c r="H200" s="85">
        <f t="shared" si="33"/>
        <v>32.555156924246646</v>
      </c>
      <c r="I200" s="85">
        <f t="shared" si="34"/>
        <v>9.1849567177370375</v>
      </c>
      <c r="J200" s="85">
        <f t="shared" si="35"/>
        <v>0</v>
      </c>
      <c r="K200" s="298">
        <f t="shared" si="28"/>
        <v>20.941831101533239</v>
      </c>
      <c r="L200" s="133">
        <f>K200*D200*'B) D RI'!S202</f>
        <v>2182662.3465573019</v>
      </c>
      <c r="M200" s="10">
        <f>(('B) D RI'!S202*C200)-L200)/'B) D RI'!S202</f>
        <v>154866.84060804904</v>
      </c>
      <c r="N200" s="136">
        <f t="shared" si="29"/>
        <v>81.723926442242231</v>
      </c>
      <c r="O200" s="75">
        <f t="shared" si="30"/>
        <v>1.8533578024756954</v>
      </c>
    </row>
    <row r="201" spans="1:15" x14ac:dyDescent="0.25">
      <c r="A201" s="53">
        <f>'A) Base RI'!A203</f>
        <v>5719</v>
      </c>
      <c r="B201" s="54" t="str">
        <f>'A) Base RI'!B203</f>
        <v>Gingins</v>
      </c>
      <c r="C201" s="9">
        <f>'B) D RI'!U203</f>
        <v>90011.711578947361</v>
      </c>
      <c r="D201" s="35">
        <f>'B) D RI'!AR203</f>
        <v>1195</v>
      </c>
      <c r="E201" s="295">
        <f t="shared" si="27"/>
        <v>75.323608015855527</v>
      </c>
      <c r="F201" s="81">
        <f t="shared" si="31"/>
        <v>1.6115310812543797</v>
      </c>
      <c r="G201" s="85">
        <f t="shared" si="32"/>
        <v>19.23512752023246</v>
      </c>
      <c r="H201" s="85">
        <f t="shared" si="33"/>
        <v>5.2130073963266881</v>
      </c>
      <c r="I201" s="85">
        <f t="shared" si="34"/>
        <v>0</v>
      </c>
      <c r="J201" s="85">
        <f t="shared" si="35"/>
        <v>0</v>
      </c>
      <c r="K201" s="298">
        <f t="shared" si="28"/>
        <v>7.4459466469163544</v>
      </c>
      <c r="L201" s="133">
        <f>K201*D201*'B) D RI'!S203</f>
        <v>507180.65585470747</v>
      </c>
      <c r="M201" s="10">
        <f>(('B) D RI'!S203*C201)-L201)/'B) D RI'!S203</f>
        <v>81113.805335882309</v>
      </c>
      <c r="N201" s="136">
        <f t="shared" si="29"/>
        <v>67.877661368939172</v>
      </c>
      <c r="O201" s="75">
        <f t="shared" si="30"/>
        <v>1.5393483743201672</v>
      </c>
    </row>
    <row r="202" spans="1:15" x14ac:dyDescent="0.25">
      <c r="A202" s="53">
        <f>'A) Base RI'!A204</f>
        <v>5720</v>
      </c>
      <c r="B202" s="54" t="str">
        <f>'A) Base RI'!B204</f>
        <v>Givrins</v>
      </c>
      <c r="C202" s="9">
        <f>'B) D RI'!U204</f>
        <v>73631.281876138426</v>
      </c>
      <c r="D202" s="35">
        <f>'B) D RI'!AR204</f>
        <v>1000</v>
      </c>
      <c r="E202" s="295">
        <f t="shared" si="27"/>
        <v>73.631281876138431</v>
      </c>
      <c r="F202" s="81">
        <f t="shared" si="31"/>
        <v>1.5753241569498608</v>
      </c>
      <c r="G202" s="85">
        <f t="shared" si="32"/>
        <v>17.542801380515364</v>
      </c>
      <c r="H202" s="85">
        <f t="shared" si="33"/>
        <v>3.520681256609592</v>
      </c>
      <c r="I202" s="85">
        <f t="shared" si="34"/>
        <v>0</v>
      </c>
      <c r="J202" s="85">
        <f t="shared" si="35"/>
        <v>0</v>
      </c>
      <c r="K202" s="298">
        <f t="shared" si="28"/>
        <v>6.6674766226464897</v>
      </c>
      <c r="L202" s="133">
        <f>K202*D202*'B) D RI'!S204</f>
        <v>406716.07398143591</v>
      </c>
      <c r="M202" s="10">
        <f>(('B) D RI'!S204*C202)-L202)/'B) D RI'!S204</f>
        <v>66963.805253491941</v>
      </c>
      <c r="N202" s="136">
        <f t="shared" si="29"/>
        <v>66.963805253491941</v>
      </c>
      <c r="O202" s="75">
        <f t="shared" si="30"/>
        <v>1.5186236926310017</v>
      </c>
    </row>
    <row r="203" spans="1:15" x14ac:dyDescent="0.25">
      <c r="A203" s="53">
        <f>'A) Base RI'!A205</f>
        <v>5721</v>
      </c>
      <c r="B203" s="54" t="str">
        <f>'A) Base RI'!B205</f>
        <v>Gland</v>
      </c>
      <c r="C203" s="9">
        <f>'B) D RI'!U205</f>
        <v>541149.08192000003</v>
      </c>
      <c r="D203" s="35">
        <f>'B) D RI'!AR205</f>
        <v>12829</v>
      </c>
      <c r="E203" s="295">
        <f t="shared" si="27"/>
        <v>42.181704101644712</v>
      </c>
      <c r="F203" s="81">
        <f t="shared" si="31"/>
        <v>0.9024677522851362</v>
      </c>
      <c r="G203" s="85">
        <f t="shared" si="32"/>
        <v>0</v>
      </c>
      <c r="H203" s="85">
        <f t="shared" si="33"/>
        <v>0</v>
      </c>
      <c r="I203" s="85">
        <f t="shared" si="34"/>
        <v>0</v>
      </c>
      <c r="J203" s="85">
        <f t="shared" si="35"/>
        <v>0</v>
      </c>
      <c r="K203" s="298">
        <f t="shared" si="28"/>
        <v>0</v>
      </c>
      <c r="L203" s="133">
        <f>K203*D203*'B) D RI'!S205</f>
        <v>0</v>
      </c>
      <c r="M203" s="10">
        <f>(('B) D RI'!S205*C203)-L203)/'B) D RI'!S205</f>
        <v>541149.08192000003</v>
      </c>
      <c r="N203" s="136">
        <f t="shared" si="29"/>
        <v>42.181704101644712</v>
      </c>
      <c r="O203" s="75">
        <f t="shared" si="30"/>
        <v>0.95660834986625165</v>
      </c>
    </row>
    <row r="204" spans="1:15" x14ac:dyDescent="0.25">
      <c r="A204" s="53">
        <f>'A) Base RI'!A206</f>
        <v>5722</v>
      </c>
      <c r="B204" s="54" t="str">
        <f>'A) Base RI'!B206</f>
        <v>Grens</v>
      </c>
      <c r="C204" s="9">
        <f>'B) D RI'!U206</f>
        <v>20499.342258064513</v>
      </c>
      <c r="D204" s="35">
        <f>'B) D RI'!AR206</f>
        <v>377</v>
      </c>
      <c r="E204" s="295">
        <f t="shared" si="27"/>
        <v>54.374913151364758</v>
      </c>
      <c r="F204" s="81">
        <f t="shared" si="31"/>
        <v>1.1633386250627624</v>
      </c>
      <c r="G204" s="85">
        <f t="shared" si="32"/>
        <v>0</v>
      </c>
      <c r="H204" s="85">
        <f t="shared" si="33"/>
        <v>0</v>
      </c>
      <c r="I204" s="85">
        <f t="shared" si="34"/>
        <v>0</v>
      </c>
      <c r="J204" s="85">
        <f t="shared" si="35"/>
        <v>0</v>
      </c>
      <c r="K204" s="298">
        <f t="shared" si="28"/>
        <v>0</v>
      </c>
      <c r="L204" s="133">
        <f>K204*D204*'B) D RI'!S206</f>
        <v>0</v>
      </c>
      <c r="M204" s="10">
        <f>(('B) D RI'!S206*C204)-L204)/'B) D RI'!S206</f>
        <v>20499.342258064513</v>
      </c>
      <c r="N204" s="136">
        <f t="shared" si="29"/>
        <v>54.374913151364758</v>
      </c>
      <c r="O204" s="75">
        <f t="shared" si="30"/>
        <v>1.2331293164094725</v>
      </c>
    </row>
    <row r="205" spans="1:15" x14ac:dyDescent="0.25">
      <c r="A205" s="53">
        <f>'A) Base RI'!A207</f>
        <v>5723</v>
      </c>
      <c r="B205" s="54" t="str">
        <f>'A) Base RI'!B207</f>
        <v>Mies</v>
      </c>
      <c r="C205" s="9">
        <f>'B) D RI'!U207</f>
        <v>621558.82755102031</v>
      </c>
      <c r="D205" s="35">
        <f>'B) D RI'!AR207</f>
        <v>1791</v>
      </c>
      <c r="E205" s="295">
        <f t="shared" si="27"/>
        <v>347.04568819152445</v>
      </c>
      <c r="F205" s="81">
        <f t="shared" si="31"/>
        <v>7.4249618130112811</v>
      </c>
      <c r="G205" s="85">
        <f t="shared" si="32"/>
        <v>290.95720769590139</v>
      </c>
      <c r="H205" s="85">
        <f t="shared" si="33"/>
        <v>276.93508757199561</v>
      </c>
      <c r="I205" s="85">
        <f t="shared" si="34"/>
        <v>253.56488736548602</v>
      </c>
      <c r="J205" s="85">
        <f t="shared" si="35"/>
        <v>206.82448695246677</v>
      </c>
      <c r="K205" s="298">
        <f t="shared" si="28"/>
        <v>178.47704095951934</v>
      </c>
      <c r="L205" s="133">
        <f>K205*D205*'B) D RI'!S207</f>
        <v>15662966.637566457</v>
      </c>
      <c r="M205" s="10">
        <f>(('B) D RI'!S207*C205)-L205)/'B) D RI'!S207</f>
        <v>301906.44719252124</v>
      </c>
      <c r="N205" s="136">
        <f t="shared" si="29"/>
        <v>168.56864723200516</v>
      </c>
      <c r="O205" s="75">
        <f t="shared" si="30"/>
        <v>3.8228463951864682</v>
      </c>
    </row>
    <row r="206" spans="1:15" x14ac:dyDescent="0.25">
      <c r="A206" s="53">
        <f>'A) Base RI'!A208</f>
        <v>5724</v>
      </c>
      <c r="B206" s="54" t="str">
        <f>'A) Base RI'!B208</f>
        <v>Nyon</v>
      </c>
      <c r="C206" s="9">
        <f>'B) D RI'!U208</f>
        <v>1418675.3806683479</v>
      </c>
      <c r="D206" s="35">
        <f>'B) D RI'!AR208</f>
        <v>20047</v>
      </c>
      <c r="E206" s="295">
        <f t="shared" si="27"/>
        <v>70.767465489517036</v>
      </c>
      <c r="F206" s="81">
        <f t="shared" si="31"/>
        <v>1.5140534711766234</v>
      </c>
      <c r="G206" s="85">
        <f t="shared" si="32"/>
        <v>14.67898499389397</v>
      </c>
      <c r="H206" s="85">
        <f t="shared" si="33"/>
        <v>0.6568648699881976</v>
      </c>
      <c r="I206" s="85">
        <f t="shared" si="34"/>
        <v>0</v>
      </c>
      <c r="J206" s="85">
        <f t="shared" si="35"/>
        <v>0</v>
      </c>
      <c r="K206" s="298">
        <f t="shared" si="28"/>
        <v>5.3501210848006489</v>
      </c>
      <c r="L206" s="133">
        <f>K206*D206*'B) D RI'!S208</f>
        <v>6542486.5206069145</v>
      </c>
      <c r="M206" s="10">
        <f>(('B) D RI'!S208*C206)-L206)/'B) D RI'!S208</f>
        <v>1311421.5032813493</v>
      </c>
      <c r="N206" s="136">
        <f t="shared" si="29"/>
        <v>65.417344404716388</v>
      </c>
      <c r="O206" s="75">
        <f t="shared" si="30"/>
        <v>1.483552625869091</v>
      </c>
    </row>
    <row r="207" spans="1:15" x14ac:dyDescent="0.25">
      <c r="A207" s="53">
        <f>'A) Base RI'!A209</f>
        <v>5725</v>
      </c>
      <c r="B207" s="54" t="str">
        <f>'A) Base RI'!B209</f>
        <v>Prangins</v>
      </c>
      <c r="C207" s="9">
        <f>'B) D RI'!U209</f>
        <v>319840.55765306117</v>
      </c>
      <c r="D207" s="35">
        <f>'B) D RI'!AR209</f>
        <v>4011</v>
      </c>
      <c r="E207" s="295">
        <f t="shared" si="27"/>
        <v>79.740852070072592</v>
      </c>
      <c r="F207" s="81">
        <f t="shared" si="31"/>
        <v>1.706036990814082</v>
      </c>
      <c r="G207" s="85">
        <f t="shared" si="32"/>
        <v>23.652371574449525</v>
      </c>
      <c r="H207" s="85">
        <f t="shared" si="33"/>
        <v>9.6302514505437529</v>
      </c>
      <c r="I207" s="85">
        <f t="shared" si="34"/>
        <v>0</v>
      </c>
      <c r="J207" s="85">
        <f t="shared" si="35"/>
        <v>0</v>
      </c>
      <c r="K207" s="298">
        <f t="shared" si="28"/>
        <v>9.4778789118562052</v>
      </c>
      <c r="L207" s="133">
        <f>K207*D207*'B) D RI'!S209</f>
        <v>2128883.2496654931</v>
      </c>
      <c r="M207" s="10">
        <f>(('B) D RI'!S209*C207)-L207)/'B) D RI'!S209</f>
        <v>281824.78533760592</v>
      </c>
      <c r="N207" s="136">
        <f t="shared" si="29"/>
        <v>70.262973158216383</v>
      </c>
      <c r="O207" s="75">
        <f t="shared" si="30"/>
        <v>1.5934431346731046</v>
      </c>
    </row>
    <row r="208" spans="1:15" x14ac:dyDescent="0.25">
      <c r="A208" s="53">
        <f>'A) Base RI'!A210</f>
        <v>5726</v>
      </c>
      <c r="B208" s="54" t="str">
        <f>'A) Base RI'!B210</f>
        <v>La Rippe</v>
      </c>
      <c r="C208" s="9">
        <f>'B) D RI'!U210</f>
        <v>62420.845692307696</v>
      </c>
      <c r="D208" s="35">
        <f>'B) D RI'!AR210</f>
        <v>1120</v>
      </c>
      <c r="E208" s="295">
        <f t="shared" si="27"/>
        <v>55.732897939560445</v>
      </c>
      <c r="F208" s="81">
        <f t="shared" si="31"/>
        <v>1.1923923938836523</v>
      </c>
      <c r="G208" s="85">
        <f t="shared" si="32"/>
        <v>0</v>
      </c>
      <c r="H208" s="85">
        <f t="shared" si="33"/>
        <v>0</v>
      </c>
      <c r="I208" s="85">
        <f t="shared" si="34"/>
        <v>0</v>
      </c>
      <c r="J208" s="85">
        <f t="shared" si="35"/>
        <v>0</v>
      </c>
      <c r="K208" s="298">
        <f t="shared" si="28"/>
        <v>0</v>
      </c>
      <c r="L208" s="133">
        <f>K208*D208*'B) D RI'!S210</f>
        <v>0</v>
      </c>
      <c r="M208" s="10">
        <f>(('B) D RI'!S210*C208)-L208)/'B) D RI'!S210</f>
        <v>62420.845692307696</v>
      </c>
      <c r="N208" s="136">
        <f t="shared" si="29"/>
        <v>55.732897939560445</v>
      </c>
      <c r="O208" s="75">
        <f t="shared" si="30"/>
        <v>1.2639260709514184</v>
      </c>
    </row>
    <row r="209" spans="1:15" x14ac:dyDescent="0.25">
      <c r="A209" s="53">
        <f>'A) Base RI'!A211</f>
        <v>5727</v>
      </c>
      <c r="B209" s="54" t="str">
        <f>'A) Base RI'!B211</f>
        <v>Saint-Cergue</v>
      </c>
      <c r="C209" s="9">
        <f>'B) D RI'!U211</f>
        <v>94126.01979797981</v>
      </c>
      <c r="D209" s="35">
        <f>'B) D RI'!AR211</f>
        <v>2481</v>
      </c>
      <c r="E209" s="295">
        <f t="shared" si="27"/>
        <v>37.938742361136562</v>
      </c>
      <c r="F209" s="81">
        <f t="shared" si="31"/>
        <v>0.81169057230774133</v>
      </c>
      <c r="G209" s="85">
        <f t="shared" si="32"/>
        <v>0</v>
      </c>
      <c r="H209" s="85">
        <f t="shared" si="33"/>
        <v>0</v>
      </c>
      <c r="I209" s="85">
        <f t="shared" si="34"/>
        <v>0</v>
      </c>
      <c r="J209" s="85">
        <f t="shared" si="35"/>
        <v>0</v>
      </c>
      <c r="K209" s="298">
        <f t="shared" si="28"/>
        <v>0</v>
      </c>
      <c r="L209" s="133">
        <f>K209*D209*'B) D RI'!S211</f>
        <v>0</v>
      </c>
      <c r="M209" s="10">
        <f>(('B) D RI'!S211*C209)-L209)/'B) D RI'!S211</f>
        <v>94126.01979797981</v>
      </c>
      <c r="N209" s="136">
        <f t="shared" si="29"/>
        <v>37.938742361136562</v>
      </c>
      <c r="O209" s="75">
        <f t="shared" si="30"/>
        <v>0.86038529023469734</v>
      </c>
    </row>
    <row r="210" spans="1:15" x14ac:dyDescent="0.25">
      <c r="A210" s="53">
        <f>'A) Base RI'!A212</f>
        <v>5728</v>
      </c>
      <c r="B210" s="54" t="str">
        <f>'A) Base RI'!B212</f>
        <v>Signy-Avenex</v>
      </c>
      <c r="C210" s="9">
        <f>'B) D RI'!U212</f>
        <v>33547.613749999997</v>
      </c>
      <c r="D210" s="35">
        <f>'B) D RI'!AR212</f>
        <v>516</v>
      </c>
      <c r="E210" s="295">
        <f t="shared" si="27"/>
        <v>65.014755329457358</v>
      </c>
      <c r="F210" s="81">
        <f t="shared" si="31"/>
        <v>1.3909755747695294</v>
      </c>
      <c r="G210" s="85">
        <f t="shared" si="32"/>
        <v>8.9262748338342917</v>
      </c>
      <c r="H210" s="85">
        <f t="shared" si="33"/>
        <v>0</v>
      </c>
      <c r="I210" s="85">
        <f t="shared" si="34"/>
        <v>0</v>
      </c>
      <c r="J210" s="85">
        <f t="shared" si="35"/>
        <v>0</v>
      </c>
      <c r="K210" s="298">
        <f t="shared" si="28"/>
        <v>3.2134589401803448</v>
      </c>
      <c r="L210" s="133">
        <f>K210*D210*'B) D RI'!S212</f>
        <v>92856.109535451236</v>
      </c>
      <c r="M210" s="10">
        <f>(('B) D RI'!S212*C210)-L210)/'B) D RI'!S212</f>
        <v>31889.468936866939</v>
      </c>
      <c r="N210" s="136">
        <f t="shared" si="29"/>
        <v>61.801296389277013</v>
      </c>
      <c r="O210" s="75">
        <f t="shared" si="30"/>
        <v>1.4015468890512719</v>
      </c>
    </row>
    <row r="211" spans="1:15" x14ac:dyDescent="0.25">
      <c r="A211" s="53">
        <f>'A) Base RI'!A213</f>
        <v>5729</v>
      </c>
      <c r="B211" s="54" t="str">
        <f>'A) Base RI'!B213</f>
        <v>Tannay</v>
      </c>
      <c r="C211" s="9">
        <f>'B) D RI'!U213</f>
        <v>141635.67650273221</v>
      </c>
      <c r="D211" s="35">
        <f>'B) D RI'!AR213</f>
        <v>1430</v>
      </c>
      <c r="E211" s="295">
        <f t="shared" si="27"/>
        <v>99.045927624288254</v>
      </c>
      <c r="F211" s="81">
        <f t="shared" si="31"/>
        <v>2.1190645939930732</v>
      </c>
      <c r="G211" s="85">
        <f t="shared" si="32"/>
        <v>42.957447128665187</v>
      </c>
      <c r="H211" s="85">
        <f t="shared" si="33"/>
        <v>28.935327004759415</v>
      </c>
      <c r="I211" s="85">
        <f t="shared" si="34"/>
        <v>5.5651267982498069</v>
      </c>
      <c r="J211" s="85">
        <f t="shared" si="35"/>
        <v>0</v>
      </c>
      <c r="K211" s="298">
        <f t="shared" si="28"/>
        <v>18.914726346620391</v>
      </c>
      <c r="L211" s="133">
        <f>K211*D211*'B) D RI'!S213</f>
        <v>1649931.5792156965</v>
      </c>
      <c r="M211" s="10">
        <f>(('B) D RI'!S213*C211)-L211)/'B) D RI'!S213</f>
        <v>114587.61782706507</v>
      </c>
      <c r="N211" s="136">
        <f t="shared" si="29"/>
        <v>80.131201277667884</v>
      </c>
      <c r="O211" s="75">
        <f t="shared" si="30"/>
        <v>1.8172375407669108</v>
      </c>
    </row>
    <row r="212" spans="1:15" x14ac:dyDescent="0.25">
      <c r="A212" s="53">
        <f>'A) Base RI'!A214</f>
        <v>5730</v>
      </c>
      <c r="B212" s="54" t="str">
        <f>'A) Base RI'!B214</f>
        <v>Trélex</v>
      </c>
      <c r="C212" s="9">
        <f>'B) D RI'!U214</f>
        <v>125167.38524366473</v>
      </c>
      <c r="D212" s="35">
        <f>'B) D RI'!AR214</f>
        <v>1414</v>
      </c>
      <c r="E212" s="295">
        <f t="shared" si="27"/>
        <v>88.520074429748746</v>
      </c>
      <c r="F212" s="81">
        <f t="shared" si="31"/>
        <v>1.8938664120877338</v>
      </c>
      <c r="G212" s="85">
        <f t="shared" si="32"/>
        <v>32.431593934125679</v>
      </c>
      <c r="H212" s="85">
        <f t="shared" si="33"/>
        <v>18.409473810219907</v>
      </c>
      <c r="I212" s="85">
        <f t="shared" si="34"/>
        <v>0</v>
      </c>
      <c r="J212" s="85">
        <f t="shared" si="35"/>
        <v>0</v>
      </c>
      <c r="K212" s="298">
        <f t="shared" si="28"/>
        <v>13.516321197307235</v>
      </c>
      <c r="L212" s="133">
        <f>K212*D212*'B) D RI'!S214</f>
        <v>1089388.4558605687</v>
      </c>
      <c r="M212" s="10">
        <f>(('B) D RI'!S214*C212)-L212)/'B) D RI'!S214</f>
        <v>106055.30707067228</v>
      </c>
      <c r="N212" s="136">
        <f t="shared" si="29"/>
        <v>75.003753232441497</v>
      </c>
      <c r="O212" s="75">
        <f t="shared" si="30"/>
        <v>1.7009558561353575</v>
      </c>
    </row>
    <row r="213" spans="1:15" x14ac:dyDescent="0.25">
      <c r="A213" s="53">
        <f>'A) Base RI'!A215</f>
        <v>5731</v>
      </c>
      <c r="B213" s="54" t="str">
        <f>'A) Base RI'!B215</f>
        <v>Le Vaud</v>
      </c>
      <c r="C213" s="9">
        <f>'B) D RI'!U215</f>
        <v>47266.974133333322</v>
      </c>
      <c r="D213" s="35">
        <f>'B) D RI'!AR215</f>
        <v>1260</v>
      </c>
      <c r="E213" s="295">
        <f t="shared" si="27"/>
        <v>37.513471534391527</v>
      </c>
      <c r="F213" s="81">
        <f t="shared" si="31"/>
        <v>0.80259200184220936</v>
      </c>
      <c r="G213" s="85">
        <f t="shared" si="32"/>
        <v>0</v>
      </c>
      <c r="H213" s="85">
        <f t="shared" si="33"/>
        <v>0</v>
      </c>
      <c r="I213" s="85">
        <f t="shared" si="34"/>
        <v>0</v>
      </c>
      <c r="J213" s="85">
        <f t="shared" si="35"/>
        <v>0</v>
      </c>
      <c r="K213" s="298">
        <f t="shared" si="28"/>
        <v>0</v>
      </c>
      <c r="L213" s="133">
        <f>K213*D213*'B) D RI'!S215</f>
        <v>0</v>
      </c>
      <c r="M213" s="10">
        <f>(('B) D RI'!S215*C213)-L213)/'B) D RI'!S215</f>
        <v>47266.974133333322</v>
      </c>
      <c r="N213" s="136">
        <f t="shared" si="29"/>
        <v>37.513471534391527</v>
      </c>
      <c r="O213" s="75">
        <f t="shared" si="30"/>
        <v>0.85074088082822763</v>
      </c>
    </row>
    <row r="214" spans="1:15" x14ac:dyDescent="0.25">
      <c r="A214" s="53">
        <f>'A) Base RI'!A216</f>
        <v>5732</v>
      </c>
      <c r="B214" s="54" t="str">
        <f>'A) Base RI'!B216</f>
        <v>Vich</v>
      </c>
      <c r="C214" s="9">
        <f>'B) D RI'!U216</f>
        <v>76343.818235294122</v>
      </c>
      <c r="D214" s="35">
        <f>'B) D RI'!AR216</f>
        <v>958</v>
      </c>
      <c r="E214" s="295">
        <f t="shared" si="27"/>
        <v>79.690833230995949</v>
      </c>
      <c r="F214" s="81">
        <f t="shared" si="31"/>
        <v>1.7049668493810892</v>
      </c>
      <c r="G214" s="85">
        <f t="shared" si="32"/>
        <v>23.602352735372882</v>
      </c>
      <c r="H214" s="85">
        <f t="shared" si="33"/>
        <v>9.5802326114671104</v>
      </c>
      <c r="I214" s="85">
        <f t="shared" si="34"/>
        <v>0</v>
      </c>
      <c r="J214" s="85">
        <f t="shared" si="35"/>
        <v>0</v>
      </c>
      <c r="K214" s="298">
        <f t="shared" si="28"/>
        <v>9.454870245880949</v>
      </c>
      <c r="L214" s="133">
        <f>K214*D214*'B) D RI'!S216</f>
        <v>615928.06729766855</v>
      </c>
      <c r="M214" s="10">
        <f>(('B) D RI'!S216*C214)-L214)/'B) D RI'!S216</f>
        <v>67286.05253974018</v>
      </c>
      <c r="N214" s="136">
        <f t="shared" si="29"/>
        <v>70.235962985115009</v>
      </c>
      <c r="O214" s="75">
        <f t="shared" si="30"/>
        <v>1.5928305904985534</v>
      </c>
    </row>
    <row r="215" spans="1:15" x14ac:dyDescent="0.25">
      <c r="A215" s="53">
        <f>'A) Base RI'!A217</f>
        <v>5741</v>
      </c>
      <c r="B215" s="54" t="str">
        <f>'A) Base RI'!B217</f>
        <v>L'Abergement</v>
      </c>
      <c r="C215" s="9">
        <f>'B) D RI'!U217</f>
        <v>6474.3855761316872</v>
      </c>
      <c r="D215" s="35">
        <f>'B) D RI'!AR217</f>
        <v>240</v>
      </c>
      <c r="E215" s="295">
        <f t="shared" si="27"/>
        <v>26.976606567215363</v>
      </c>
      <c r="F215" s="81">
        <f t="shared" si="31"/>
        <v>0.57715822562147356</v>
      </c>
      <c r="G215" s="85">
        <f t="shared" si="32"/>
        <v>0</v>
      </c>
      <c r="H215" s="85">
        <f t="shared" si="33"/>
        <v>0</v>
      </c>
      <c r="I215" s="85">
        <f t="shared" si="34"/>
        <v>0</v>
      </c>
      <c r="J215" s="85">
        <f t="shared" si="35"/>
        <v>0</v>
      </c>
      <c r="K215" s="298">
        <f t="shared" si="28"/>
        <v>0</v>
      </c>
      <c r="L215" s="133">
        <f>K215*D215*'B) D RI'!S217</f>
        <v>0</v>
      </c>
      <c r="M215" s="10">
        <f>(('B) D RI'!S217*C215)-L215)/'B) D RI'!S217</f>
        <v>6474.3855761316872</v>
      </c>
      <c r="N215" s="136">
        <f t="shared" si="29"/>
        <v>26.976606567215363</v>
      </c>
      <c r="O215" s="75">
        <f t="shared" si="30"/>
        <v>0.61178294340765549</v>
      </c>
    </row>
    <row r="216" spans="1:15" x14ac:dyDescent="0.25">
      <c r="A216" s="53">
        <f>'A) Base RI'!A218</f>
        <v>5742</v>
      </c>
      <c r="B216" s="54" t="str">
        <f>'A) Base RI'!B218</f>
        <v>Agiez</v>
      </c>
      <c r="C216" s="9">
        <f>'B) D RI'!U218</f>
        <v>8406.0221052631568</v>
      </c>
      <c r="D216" s="35">
        <f>'B) D RI'!AR218</f>
        <v>293</v>
      </c>
      <c r="E216" s="295">
        <f t="shared" si="27"/>
        <v>28.689495239805996</v>
      </c>
      <c r="F216" s="81">
        <f t="shared" si="31"/>
        <v>0.61380508053616778</v>
      </c>
      <c r="G216" s="85">
        <f t="shared" si="32"/>
        <v>0</v>
      </c>
      <c r="H216" s="85">
        <f t="shared" si="33"/>
        <v>0</v>
      </c>
      <c r="I216" s="85">
        <f t="shared" si="34"/>
        <v>0</v>
      </c>
      <c r="J216" s="85">
        <f t="shared" si="35"/>
        <v>0</v>
      </c>
      <c r="K216" s="298">
        <f t="shared" si="28"/>
        <v>0</v>
      </c>
      <c r="L216" s="133">
        <f>K216*D216*'B) D RI'!S218</f>
        <v>0</v>
      </c>
      <c r="M216" s="10">
        <f>(('B) D RI'!S218*C216)-L216)/'B) D RI'!S218</f>
        <v>8406.0221052631568</v>
      </c>
      <c r="N216" s="136">
        <f t="shared" si="29"/>
        <v>28.689495239805996</v>
      </c>
      <c r="O216" s="75">
        <f t="shared" si="30"/>
        <v>0.65062830637931479</v>
      </c>
    </row>
    <row r="217" spans="1:15" x14ac:dyDescent="0.25">
      <c r="A217" s="53">
        <f>'A) Base RI'!A219</f>
        <v>5743</v>
      </c>
      <c r="B217" s="54" t="str">
        <f>'A) Base RI'!B219</f>
        <v>Arnex-sur-Orbe</v>
      </c>
      <c r="C217" s="9">
        <f>'B) D RI'!U219</f>
        <v>16157.310890410963</v>
      </c>
      <c r="D217" s="35">
        <f>'B) D RI'!AR219</f>
        <v>632</v>
      </c>
      <c r="E217" s="295">
        <f t="shared" si="27"/>
        <v>25.565365332928739</v>
      </c>
      <c r="F217" s="81">
        <f t="shared" si="31"/>
        <v>0.54696504751824249</v>
      </c>
      <c r="G217" s="85">
        <f t="shared" si="32"/>
        <v>0</v>
      </c>
      <c r="H217" s="85">
        <f t="shared" si="33"/>
        <v>0</v>
      </c>
      <c r="I217" s="85">
        <f t="shared" si="34"/>
        <v>0</v>
      </c>
      <c r="J217" s="85">
        <f t="shared" si="35"/>
        <v>0</v>
      </c>
      <c r="K217" s="298">
        <f t="shared" si="28"/>
        <v>0</v>
      </c>
      <c r="L217" s="133">
        <f>K217*D217*'B) D RI'!S219</f>
        <v>0</v>
      </c>
      <c r="M217" s="10">
        <f>(('B) D RI'!S219*C217)-L217)/'B) D RI'!S219</f>
        <v>16157.310890410963</v>
      </c>
      <c r="N217" s="136">
        <f t="shared" si="29"/>
        <v>25.565365332928739</v>
      </c>
      <c r="O217" s="75">
        <f t="shared" si="30"/>
        <v>0.57977842445457928</v>
      </c>
    </row>
    <row r="218" spans="1:15" x14ac:dyDescent="0.25">
      <c r="A218" s="53">
        <f>'A) Base RI'!A220</f>
        <v>5744</v>
      </c>
      <c r="B218" s="54" t="str">
        <f>'A) Base RI'!B220</f>
        <v>Ballaigues</v>
      </c>
      <c r="C218" s="9">
        <f>'B) D RI'!U220</f>
        <v>67876.800151515155</v>
      </c>
      <c r="D218" s="35">
        <f>'B) D RI'!AR220</f>
        <v>1101</v>
      </c>
      <c r="E218" s="295">
        <f t="shared" si="27"/>
        <v>61.650136377397963</v>
      </c>
      <c r="F218" s="81">
        <f t="shared" si="31"/>
        <v>1.3189903345420577</v>
      </c>
      <c r="G218" s="85">
        <f t="shared" si="32"/>
        <v>5.5616558817748967</v>
      </c>
      <c r="H218" s="85">
        <f t="shared" si="33"/>
        <v>0</v>
      </c>
      <c r="I218" s="85">
        <f t="shared" si="34"/>
        <v>0</v>
      </c>
      <c r="J218" s="85">
        <f t="shared" si="35"/>
        <v>0</v>
      </c>
      <c r="K218" s="298">
        <f t="shared" si="28"/>
        <v>2.0021961174389626</v>
      </c>
      <c r="L218" s="133">
        <f>K218*D218*'B) D RI'!S220</f>
        <v>145491.58306981967</v>
      </c>
      <c r="M218" s="10">
        <f>(('B) D RI'!S220*C218)-L218)/'B) D RI'!S220</f>
        <v>65672.382226214861</v>
      </c>
      <c r="N218" s="136">
        <f t="shared" si="29"/>
        <v>59.647940259959</v>
      </c>
      <c r="O218" s="75">
        <f t="shared" si="30"/>
        <v>1.3527124832961719</v>
      </c>
    </row>
    <row r="219" spans="1:15" x14ac:dyDescent="0.25">
      <c r="A219" s="53">
        <f>'A) Base RI'!A221</f>
        <v>5745</v>
      </c>
      <c r="B219" s="54" t="str">
        <f>'A) Base RI'!B221</f>
        <v>Baulmes</v>
      </c>
      <c r="C219" s="9">
        <f>'B) D RI'!U221</f>
        <v>26708.244230769233</v>
      </c>
      <c r="D219" s="35">
        <f>'B) D RI'!AR221</f>
        <v>1055</v>
      </c>
      <c r="E219" s="295">
        <f t="shared" si="27"/>
        <v>25.315871308786001</v>
      </c>
      <c r="F219" s="81">
        <f t="shared" si="31"/>
        <v>0.54162718087743289</v>
      </c>
      <c r="G219" s="85">
        <f t="shared" si="32"/>
        <v>0</v>
      </c>
      <c r="H219" s="85">
        <f t="shared" si="33"/>
        <v>0</v>
      </c>
      <c r="I219" s="85">
        <f t="shared" si="34"/>
        <v>0</v>
      </c>
      <c r="J219" s="85">
        <f t="shared" si="35"/>
        <v>0</v>
      </c>
      <c r="K219" s="298">
        <f t="shared" si="28"/>
        <v>0</v>
      </c>
      <c r="L219" s="133">
        <f>K219*D219*'B) D RI'!S221</f>
        <v>0</v>
      </c>
      <c r="M219" s="10">
        <f>(('B) D RI'!S221*C219)-L219)/'B) D RI'!S221</f>
        <v>26708.244230769233</v>
      </c>
      <c r="N219" s="136">
        <f t="shared" si="29"/>
        <v>25.315871308786001</v>
      </c>
      <c r="O219" s="75">
        <f t="shared" si="30"/>
        <v>0.57412032998401075</v>
      </c>
    </row>
    <row r="220" spans="1:15" x14ac:dyDescent="0.25">
      <c r="A220" s="53">
        <f>'A) Base RI'!A222</f>
        <v>5746</v>
      </c>
      <c r="B220" s="54" t="str">
        <f>'A) Base RI'!B222</f>
        <v>Bavois</v>
      </c>
      <c r="C220" s="9">
        <f>'B) D RI'!U222</f>
        <v>26575.73502283105</v>
      </c>
      <c r="D220" s="35">
        <f>'B) D RI'!AR222</f>
        <v>939</v>
      </c>
      <c r="E220" s="295">
        <f t="shared" si="27"/>
        <v>28.302167223462245</v>
      </c>
      <c r="F220" s="81">
        <f t="shared" si="31"/>
        <v>0.60551828767771676</v>
      </c>
      <c r="G220" s="85">
        <f t="shared" si="32"/>
        <v>0</v>
      </c>
      <c r="H220" s="85">
        <f t="shared" si="33"/>
        <v>0</v>
      </c>
      <c r="I220" s="85">
        <f t="shared" si="34"/>
        <v>0</v>
      </c>
      <c r="J220" s="85">
        <f t="shared" si="35"/>
        <v>0</v>
      </c>
      <c r="K220" s="298">
        <f t="shared" si="28"/>
        <v>0</v>
      </c>
      <c r="L220" s="133">
        <f>K220*D220*'B) D RI'!S222</f>
        <v>0</v>
      </c>
      <c r="M220" s="10">
        <f>(('B) D RI'!S222*C220)-L220)/'B) D RI'!S222</f>
        <v>26575.73502283105</v>
      </c>
      <c r="N220" s="136">
        <f t="shared" si="29"/>
        <v>28.302167223462245</v>
      </c>
      <c r="O220" s="75">
        <f t="shared" si="30"/>
        <v>0.64184437451921916</v>
      </c>
    </row>
    <row r="221" spans="1:15" x14ac:dyDescent="0.25">
      <c r="A221" s="53">
        <f>'A) Base RI'!A223</f>
        <v>5747</v>
      </c>
      <c r="B221" s="54" t="str">
        <f>'A) Base RI'!B223</f>
        <v>Bofflens</v>
      </c>
      <c r="C221" s="9">
        <f>'B) D RI'!U223</f>
        <v>5307.8250724637683</v>
      </c>
      <c r="D221" s="35">
        <f>'B) D RI'!AR223</f>
        <v>188</v>
      </c>
      <c r="E221" s="295">
        <f t="shared" si="27"/>
        <v>28.233112087573236</v>
      </c>
      <c r="F221" s="81">
        <f t="shared" si="31"/>
        <v>0.60404086910023758</v>
      </c>
      <c r="G221" s="85">
        <f t="shared" si="32"/>
        <v>0</v>
      </c>
      <c r="H221" s="85">
        <f t="shared" si="33"/>
        <v>0</v>
      </c>
      <c r="I221" s="85">
        <f t="shared" si="34"/>
        <v>0</v>
      </c>
      <c r="J221" s="85">
        <f t="shared" si="35"/>
        <v>0</v>
      </c>
      <c r="K221" s="298">
        <f t="shared" si="28"/>
        <v>0</v>
      </c>
      <c r="L221" s="133">
        <f>K221*D221*'B) D RI'!S223</f>
        <v>0</v>
      </c>
      <c r="M221" s="10">
        <f>(('B) D RI'!S223*C221)-L221)/'B) D RI'!S223</f>
        <v>5307.8250724637683</v>
      </c>
      <c r="N221" s="136">
        <f t="shared" si="29"/>
        <v>28.233112087573236</v>
      </c>
      <c r="O221" s="75">
        <f t="shared" si="30"/>
        <v>0.64027832305213306</v>
      </c>
    </row>
    <row r="222" spans="1:15" x14ac:dyDescent="0.25">
      <c r="A222" s="53">
        <f>'A) Base RI'!A224</f>
        <v>5748</v>
      </c>
      <c r="B222" s="54" t="str">
        <f>'A) Base RI'!B224</f>
        <v>Bretonnières</v>
      </c>
      <c r="C222" s="9">
        <f>'B) D RI'!U224</f>
        <v>7260.9913888888877</v>
      </c>
      <c r="D222" s="35">
        <f>'B) D RI'!AR224</f>
        <v>258</v>
      </c>
      <c r="E222" s="295">
        <f t="shared" si="27"/>
        <v>28.143377476313518</v>
      </c>
      <c r="F222" s="81">
        <f t="shared" si="31"/>
        <v>0.60212101795504447</v>
      </c>
      <c r="G222" s="85">
        <f t="shared" si="32"/>
        <v>0</v>
      </c>
      <c r="H222" s="85">
        <f t="shared" si="33"/>
        <v>0</v>
      </c>
      <c r="I222" s="85">
        <f t="shared" si="34"/>
        <v>0</v>
      </c>
      <c r="J222" s="85">
        <f t="shared" si="35"/>
        <v>0</v>
      </c>
      <c r="K222" s="298">
        <f t="shared" si="28"/>
        <v>0</v>
      </c>
      <c r="L222" s="133">
        <f>K222*D222*'B) D RI'!S224</f>
        <v>0</v>
      </c>
      <c r="M222" s="10">
        <f>(('B) D RI'!S224*C222)-L222)/'B) D RI'!S224</f>
        <v>7260.9913888888877</v>
      </c>
      <c r="N222" s="136">
        <f t="shared" si="29"/>
        <v>28.143377476313518</v>
      </c>
      <c r="O222" s="75">
        <f t="shared" si="30"/>
        <v>0.63824329672422087</v>
      </c>
    </row>
    <row r="223" spans="1:15" x14ac:dyDescent="0.25">
      <c r="A223" s="53">
        <f>'A) Base RI'!A225</f>
        <v>5749</v>
      </c>
      <c r="B223" s="54" t="str">
        <f>'A) Base RI'!B225</f>
        <v>Chavornay</v>
      </c>
      <c r="C223" s="9">
        <f>'B) D RI'!U225</f>
        <v>119889.98763888891</v>
      </c>
      <c r="D223" s="35">
        <f>'B) D RI'!AR225</f>
        <v>4293</v>
      </c>
      <c r="E223" s="295">
        <f t="shared" si="27"/>
        <v>27.926854795921013</v>
      </c>
      <c r="F223" s="81">
        <f t="shared" si="31"/>
        <v>0.59748856554815</v>
      </c>
      <c r="G223" s="85">
        <f t="shared" si="32"/>
        <v>0</v>
      </c>
      <c r="H223" s="85">
        <f t="shared" si="33"/>
        <v>0</v>
      </c>
      <c r="I223" s="85">
        <f t="shared" si="34"/>
        <v>0</v>
      </c>
      <c r="J223" s="85">
        <f t="shared" si="35"/>
        <v>0</v>
      </c>
      <c r="K223" s="298">
        <f t="shared" si="28"/>
        <v>0</v>
      </c>
      <c r="L223" s="133">
        <f>K223*D223*'B) D RI'!S225</f>
        <v>0</v>
      </c>
      <c r="M223" s="10">
        <f>(('B) D RI'!S225*C223)-L223)/'B) D RI'!S225</f>
        <v>119889.98763888891</v>
      </c>
      <c r="N223" s="136">
        <f t="shared" si="29"/>
        <v>27.926854795921013</v>
      </c>
      <c r="O223" s="75">
        <f t="shared" si="30"/>
        <v>0.63333293550458447</v>
      </c>
    </row>
    <row r="224" spans="1:15" x14ac:dyDescent="0.25">
      <c r="A224" s="53">
        <f>'A) Base RI'!A226</f>
        <v>5750</v>
      </c>
      <c r="B224" s="54" t="str">
        <f>'A) Base RI'!B226</f>
        <v>Les Clées</v>
      </c>
      <c r="C224" s="9">
        <f>'B) D RI'!U226</f>
        <v>4790.0727916666665</v>
      </c>
      <c r="D224" s="35">
        <f>'B) D RI'!AR226</f>
        <v>176</v>
      </c>
      <c r="E224" s="295">
        <f t="shared" si="27"/>
        <v>27.216322679924243</v>
      </c>
      <c r="F224" s="81">
        <f t="shared" si="31"/>
        <v>0.58228689612045603</v>
      </c>
      <c r="G224" s="85">
        <f t="shared" si="32"/>
        <v>0</v>
      </c>
      <c r="H224" s="85">
        <f t="shared" si="33"/>
        <v>0</v>
      </c>
      <c r="I224" s="85">
        <f t="shared" si="34"/>
        <v>0</v>
      </c>
      <c r="J224" s="85">
        <f t="shared" si="35"/>
        <v>0</v>
      </c>
      <c r="K224" s="298">
        <f t="shared" si="28"/>
        <v>0</v>
      </c>
      <c r="L224" s="133">
        <f>K224*D224*'B) D RI'!S226</f>
        <v>0</v>
      </c>
      <c r="M224" s="10">
        <f>(('B) D RI'!S226*C224)-L224)/'B) D RI'!S226</f>
        <v>4790.0727916666665</v>
      </c>
      <c r="N224" s="136">
        <f t="shared" si="29"/>
        <v>27.216322679924243</v>
      </c>
      <c r="O224" s="75">
        <f t="shared" si="30"/>
        <v>0.61721929169890088</v>
      </c>
    </row>
    <row r="225" spans="1:15" x14ac:dyDescent="0.25">
      <c r="A225" s="53">
        <f>'A) Base RI'!A227</f>
        <v>5751</v>
      </c>
      <c r="B225" s="54" t="str">
        <f>'A) Base RI'!B227</f>
        <v>Corcelles-sur-Chavornay</v>
      </c>
      <c r="C225" s="9">
        <f>'B) D RI'!U227</f>
        <v>8772.6488157894728</v>
      </c>
      <c r="D225" s="35">
        <f>'B) D RI'!AR227</f>
        <v>354</v>
      </c>
      <c r="E225" s="295">
        <f t="shared" si="27"/>
        <v>24.781493829913764</v>
      </c>
      <c r="F225" s="81">
        <f t="shared" si="31"/>
        <v>0.5301942989562205</v>
      </c>
      <c r="G225" s="85">
        <f t="shared" si="32"/>
        <v>0</v>
      </c>
      <c r="H225" s="85">
        <f t="shared" si="33"/>
        <v>0</v>
      </c>
      <c r="I225" s="85">
        <f t="shared" si="34"/>
        <v>0</v>
      </c>
      <c r="J225" s="85">
        <f t="shared" si="35"/>
        <v>0</v>
      </c>
      <c r="K225" s="298">
        <f t="shared" si="28"/>
        <v>0</v>
      </c>
      <c r="L225" s="133">
        <f>K225*D225*'B) D RI'!S227</f>
        <v>0</v>
      </c>
      <c r="M225" s="10">
        <f>(('B) D RI'!S227*C225)-L225)/'B) D RI'!S227</f>
        <v>8772.6488157894728</v>
      </c>
      <c r="N225" s="136">
        <f t="shared" si="29"/>
        <v>24.781493829913764</v>
      </c>
      <c r="O225" s="75">
        <f t="shared" si="30"/>
        <v>0.56200156975000382</v>
      </c>
    </row>
    <row r="226" spans="1:15" x14ac:dyDescent="0.25">
      <c r="A226" s="53">
        <f>'A) Base RI'!A228</f>
        <v>5752</v>
      </c>
      <c r="B226" s="54" t="str">
        <f>'A) Base RI'!B228</f>
        <v>Croy</v>
      </c>
      <c r="C226" s="9">
        <f>'B) D RI'!U228</f>
        <v>9213.5061196911174</v>
      </c>
      <c r="D226" s="35">
        <f>'B) D RI'!AR228</f>
        <v>344</v>
      </c>
      <c r="E226" s="295">
        <f t="shared" ref="E226:E272" si="36">C226/D226</f>
        <v>26.783448022357899</v>
      </c>
      <c r="F226" s="81">
        <f t="shared" si="31"/>
        <v>0.57302564346234286</v>
      </c>
      <c r="G226" s="85">
        <f t="shared" si="32"/>
        <v>0</v>
      </c>
      <c r="H226" s="85">
        <f t="shared" si="33"/>
        <v>0</v>
      </c>
      <c r="I226" s="85">
        <f t="shared" si="34"/>
        <v>0</v>
      </c>
      <c r="J226" s="85">
        <f t="shared" si="35"/>
        <v>0</v>
      </c>
      <c r="K226" s="298">
        <f t="shared" si="28"/>
        <v>0</v>
      </c>
      <c r="L226" s="133">
        <f>K226*D226*'B) D RI'!S228</f>
        <v>0</v>
      </c>
      <c r="M226" s="10">
        <f>(('B) D RI'!S228*C226)-L226)/'B) D RI'!S228</f>
        <v>9213.5061196911174</v>
      </c>
      <c r="N226" s="136">
        <f t="shared" si="29"/>
        <v>26.783448022357899</v>
      </c>
      <c r="O226" s="75">
        <f t="shared" si="30"/>
        <v>0.6074024405144246</v>
      </c>
    </row>
    <row r="227" spans="1:15" x14ac:dyDescent="0.25">
      <c r="A227" s="53">
        <f>'A) Base RI'!A229</f>
        <v>5754</v>
      </c>
      <c r="B227" s="54" t="str">
        <f>'A) Base RI'!B229</f>
        <v>Juriens</v>
      </c>
      <c r="C227" s="9">
        <f>'B) D RI'!U229</f>
        <v>7202.565316455697</v>
      </c>
      <c r="D227" s="35">
        <f>'B) D RI'!AR229</f>
        <v>302</v>
      </c>
      <c r="E227" s="295">
        <f t="shared" si="36"/>
        <v>23.849554027998998</v>
      </c>
      <c r="F227" s="81">
        <f t="shared" si="31"/>
        <v>0.51025566356414576</v>
      </c>
      <c r="G227" s="85">
        <f t="shared" si="32"/>
        <v>0</v>
      </c>
      <c r="H227" s="85">
        <f t="shared" si="33"/>
        <v>0</v>
      </c>
      <c r="I227" s="85">
        <f t="shared" si="34"/>
        <v>0</v>
      </c>
      <c r="J227" s="85">
        <f t="shared" si="35"/>
        <v>0</v>
      </c>
      <c r="K227" s="298">
        <f t="shared" si="28"/>
        <v>0</v>
      </c>
      <c r="L227" s="133">
        <f>K227*D227*'B) D RI'!S229</f>
        <v>0</v>
      </c>
      <c r="M227" s="10">
        <f>(('B) D RI'!S229*C227)-L227)/'B) D RI'!S229</f>
        <v>7202.565316455697</v>
      </c>
      <c r="N227" s="136">
        <f t="shared" si="29"/>
        <v>23.849554027998998</v>
      </c>
      <c r="O227" s="75">
        <f t="shared" si="30"/>
        <v>0.54086678121855603</v>
      </c>
    </row>
    <row r="228" spans="1:15" x14ac:dyDescent="0.25">
      <c r="A228" s="53">
        <f>'A) Base RI'!A230</f>
        <v>5755</v>
      </c>
      <c r="B228" s="54" t="str">
        <f>'A) Base RI'!B230</f>
        <v>Lignerolle</v>
      </c>
      <c r="C228" s="9">
        <f>'B) D RI'!U230</f>
        <v>9116.1979107142852</v>
      </c>
      <c r="D228" s="35">
        <f>'B) D RI'!AR230</f>
        <v>405</v>
      </c>
      <c r="E228" s="295">
        <f t="shared" si="36"/>
        <v>22.509130643738974</v>
      </c>
      <c r="F228" s="81">
        <f t="shared" si="31"/>
        <v>0.48157761689754819</v>
      </c>
      <c r="G228" s="85">
        <f t="shared" si="32"/>
        <v>0</v>
      </c>
      <c r="H228" s="85">
        <f t="shared" si="33"/>
        <v>0</v>
      </c>
      <c r="I228" s="85">
        <f t="shared" si="34"/>
        <v>0</v>
      </c>
      <c r="J228" s="85">
        <f t="shared" si="35"/>
        <v>0</v>
      </c>
      <c r="K228" s="298">
        <f t="shared" si="28"/>
        <v>0</v>
      </c>
      <c r="L228" s="133">
        <f>K228*D228*'B) D RI'!S230</f>
        <v>0</v>
      </c>
      <c r="M228" s="10">
        <f>(('B) D RI'!S230*C228)-L228)/'B) D RI'!S230</f>
        <v>9116.1979107142852</v>
      </c>
      <c r="N228" s="136">
        <f t="shared" si="29"/>
        <v>22.509130643738974</v>
      </c>
      <c r="O228" s="75">
        <f t="shared" si="30"/>
        <v>0.51046828905121089</v>
      </c>
    </row>
    <row r="229" spans="1:15" x14ac:dyDescent="0.25">
      <c r="A229" s="53">
        <f>'A) Base RI'!A231</f>
        <v>5756</v>
      </c>
      <c r="B229" s="54" t="str">
        <f>'A) Base RI'!B231</f>
        <v>Montcherand</v>
      </c>
      <c r="C229" s="9">
        <f>'B) D RI'!U231</f>
        <v>14643.939999999999</v>
      </c>
      <c r="D229" s="35">
        <f>'B) D RI'!AR231</f>
        <v>469</v>
      </c>
      <c r="E229" s="295">
        <f t="shared" si="36"/>
        <v>31.2237526652452</v>
      </c>
      <c r="F229" s="81">
        <f t="shared" si="31"/>
        <v>0.66802492895520926</v>
      </c>
      <c r="G229" s="85">
        <f t="shared" si="32"/>
        <v>0</v>
      </c>
      <c r="H229" s="85">
        <f t="shared" si="33"/>
        <v>0</v>
      </c>
      <c r="I229" s="85">
        <f t="shared" si="34"/>
        <v>0</v>
      </c>
      <c r="J229" s="85">
        <f t="shared" si="35"/>
        <v>0</v>
      </c>
      <c r="K229" s="298">
        <f t="shared" si="28"/>
        <v>0</v>
      </c>
      <c r="L229" s="133">
        <f>K229*D229*'B) D RI'!S231</f>
        <v>0</v>
      </c>
      <c r="M229" s="10">
        <f>(('B) D RI'!S231*C229)-L229)/'B) D RI'!S231</f>
        <v>14643.939999999999</v>
      </c>
      <c r="N229" s="136">
        <f t="shared" si="29"/>
        <v>31.2237526652452</v>
      </c>
      <c r="O229" s="75">
        <f t="shared" si="30"/>
        <v>0.70810089705616153</v>
      </c>
    </row>
    <row r="230" spans="1:15" x14ac:dyDescent="0.25">
      <c r="A230" s="53">
        <f>'A) Base RI'!A232</f>
        <v>5757</v>
      </c>
      <c r="B230" s="54" t="str">
        <f>'A) Base RI'!B232</f>
        <v>Orbe</v>
      </c>
      <c r="C230" s="9">
        <f>'B) D RI'!U232</f>
        <v>219459.11337837842</v>
      </c>
      <c r="D230" s="35">
        <f>'B) D RI'!AR232</f>
        <v>6805</v>
      </c>
      <c r="E230" s="295">
        <f t="shared" si="36"/>
        <v>32.249686021804322</v>
      </c>
      <c r="F230" s="81">
        <f t="shared" si="31"/>
        <v>0.68997453459601488</v>
      </c>
      <c r="G230" s="85">
        <f t="shared" si="32"/>
        <v>0</v>
      </c>
      <c r="H230" s="85">
        <f t="shared" si="33"/>
        <v>0</v>
      </c>
      <c r="I230" s="85">
        <f t="shared" si="34"/>
        <v>0</v>
      </c>
      <c r="J230" s="85">
        <f t="shared" si="35"/>
        <v>0</v>
      </c>
      <c r="K230" s="298">
        <f t="shared" si="28"/>
        <v>0</v>
      </c>
      <c r="L230" s="133">
        <f>K230*D230*'B) D RI'!S232</f>
        <v>0</v>
      </c>
      <c r="M230" s="10">
        <f>(('B) D RI'!S232*C230)-L230)/'B) D RI'!S232</f>
        <v>219459.11337837842</v>
      </c>
      <c r="N230" s="136">
        <f t="shared" si="29"/>
        <v>32.249686021804322</v>
      </c>
      <c r="O230" s="75">
        <f t="shared" si="30"/>
        <v>0.73136729741129791</v>
      </c>
    </row>
    <row r="231" spans="1:15" x14ac:dyDescent="0.25">
      <c r="A231" s="53">
        <f>'A) Base RI'!A233</f>
        <v>5758</v>
      </c>
      <c r="B231" s="54" t="str">
        <f>'A) Base RI'!B233</f>
        <v>La Praz</v>
      </c>
      <c r="C231" s="9">
        <f>'B) D RI'!U233</f>
        <v>3792.6817536813919</v>
      </c>
      <c r="D231" s="35">
        <f>'B) D RI'!AR233</f>
        <v>159</v>
      </c>
      <c r="E231" s="295">
        <f t="shared" si="36"/>
        <v>23.853344362776049</v>
      </c>
      <c r="F231" s="81">
        <f t="shared" si="31"/>
        <v>0.51033675689547287</v>
      </c>
      <c r="G231" s="85">
        <f t="shared" si="32"/>
        <v>0</v>
      </c>
      <c r="H231" s="85">
        <f t="shared" si="33"/>
        <v>0</v>
      </c>
      <c r="I231" s="85">
        <f t="shared" si="34"/>
        <v>0</v>
      </c>
      <c r="J231" s="85">
        <f t="shared" si="35"/>
        <v>0</v>
      </c>
      <c r="K231" s="298">
        <f t="shared" si="28"/>
        <v>0</v>
      </c>
      <c r="L231" s="133">
        <f>K231*D231*'B) D RI'!S233</f>
        <v>0</v>
      </c>
      <c r="M231" s="10">
        <f>(('B) D RI'!S233*C231)-L231)/'B) D RI'!S233</f>
        <v>3792.6817536813919</v>
      </c>
      <c r="N231" s="136">
        <f t="shared" si="29"/>
        <v>23.853344362776049</v>
      </c>
      <c r="O231" s="75">
        <f t="shared" si="30"/>
        <v>0.54095273947874811</v>
      </c>
    </row>
    <row r="232" spans="1:15" x14ac:dyDescent="0.25">
      <c r="A232" s="53">
        <f>'A) Base RI'!A234</f>
        <v>5759</v>
      </c>
      <c r="B232" s="54" t="str">
        <f>'A) Base RI'!B234</f>
        <v>Premier</v>
      </c>
      <c r="C232" s="9">
        <f>'B) D RI'!U234</f>
        <v>4689.5245679012341</v>
      </c>
      <c r="D232" s="35">
        <f>'B) D RI'!AR234</f>
        <v>196</v>
      </c>
      <c r="E232" s="295">
        <f t="shared" si="36"/>
        <v>23.926145754598135</v>
      </c>
      <c r="F232" s="81">
        <f t="shared" si="31"/>
        <v>0.51189432574766025</v>
      </c>
      <c r="G232" s="85">
        <f t="shared" si="32"/>
        <v>0</v>
      </c>
      <c r="H232" s="85">
        <f t="shared" si="33"/>
        <v>0</v>
      </c>
      <c r="I232" s="85">
        <f t="shared" si="34"/>
        <v>0</v>
      </c>
      <c r="J232" s="85">
        <f t="shared" si="35"/>
        <v>0</v>
      </c>
      <c r="K232" s="298">
        <f t="shared" si="28"/>
        <v>0</v>
      </c>
      <c r="L232" s="133">
        <f>K232*D232*'B) D RI'!S234</f>
        <v>0</v>
      </c>
      <c r="M232" s="10">
        <f>(('B) D RI'!S234*C232)-L232)/'B) D RI'!S234</f>
        <v>4689.5245679012341</v>
      </c>
      <c r="N232" s="136">
        <f t="shared" si="29"/>
        <v>23.926145754598135</v>
      </c>
      <c r="O232" s="75">
        <f t="shared" si="30"/>
        <v>0.54260374957381385</v>
      </c>
    </row>
    <row r="233" spans="1:15" x14ac:dyDescent="0.25">
      <c r="A233" s="53">
        <f>'A) Base RI'!A235</f>
        <v>5760</v>
      </c>
      <c r="B233" s="54" t="str">
        <f>'A) Base RI'!B235</f>
        <v>Rances</v>
      </c>
      <c r="C233" s="9">
        <f>'B) D RI'!U235</f>
        <v>13227.609572649571</v>
      </c>
      <c r="D233" s="35">
        <f>'B) D RI'!AR235</f>
        <v>473</v>
      </c>
      <c r="E233" s="295">
        <f t="shared" si="36"/>
        <v>27.965347933720025</v>
      </c>
      <c r="F233" s="81">
        <f t="shared" si="31"/>
        <v>0.59831211728195777</v>
      </c>
      <c r="G233" s="85">
        <f t="shared" si="32"/>
        <v>0</v>
      </c>
      <c r="H233" s="85">
        <f t="shared" si="33"/>
        <v>0</v>
      </c>
      <c r="I233" s="85">
        <f t="shared" si="34"/>
        <v>0</v>
      </c>
      <c r="J233" s="85">
        <f t="shared" si="35"/>
        <v>0</v>
      </c>
      <c r="K233" s="298">
        <f t="shared" si="28"/>
        <v>0</v>
      </c>
      <c r="L233" s="133">
        <f>K233*D233*'B) D RI'!S235</f>
        <v>0</v>
      </c>
      <c r="M233" s="10">
        <f>(('B) D RI'!S235*C233)-L233)/'B) D RI'!S235</f>
        <v>13227.609572649571</v>
      </c>
      <c r="N233" s="136">
        <f t="shared" si="29"/>
        <v>27.965347933720025</v>
      </c>
      <c r="O233" s="75">
        <f t="shared" si="30"/>
        <v>0.63420589352786294</v>
      </c>
    </row>
    <row r="234" spans="1:15" x14ac:dyDescent="0.25">
      <c r="A234" s="53">
        <f>'A) Base RI'!A236</f>
        <v>5761</v>
      </c>
      <c r="B234" s="54" t="str">
        <f>'A) Base RI'!B236</f>
        <v>Romainmôtier-Envy</v>
      </c>
      <c r="C234" s="9">
        <f>'B) D RI'!U236</f>
        <v>12165.915592105261</v>
      </c>
      <c r="D234" s="35">
        <f>'B) D RI'!AR236</f>
        <v>546</v>
      </c>
      <c r="E234" s="295">
        <f t="shared" si="36"/>
        <v>22.281896688837474</v>
      </c>
      <c r="F234" s="81">
        <f t="shared" si="31"/>
        <v>0.47671599926283476</v>
      </c>
      <c r="G234" s="85">
        <f t="shared" si="32"/>
        <v>0</v>
      </c>
      <c r="H234" s="85">
        <f t="shared" si="33"/>
        <v>0</v>
      </c>
      <c r="I234" s="85">
        <f t="shared" si="34"/>
        <v>0</v>
      </c>
      <c r="J234" s="85">
        <f t="shared" si="35"/>
        <v>0</v>
      </c>
      <c r="K234" s="298">
        <f t="shared" si="28"/>
        <v>0</v>
      </c>
      <c r="L234" s="133">
        <f>K234*D234*'B) D RI'!S236</f>
        <v>0</v>
      </c>
      <c r="M234" s="10">
        <f>(('B) D RI'!S236*C234)-L234)/'B) D RI'!S236</f>
        <v>12165.915592105261</v>
      </c>
      <c r="N234" s="136">
        <f t="shared" si="29"/>
        <v>22.281896688837474</v>
      </c>
      <c r="O234" s="75">
        <f t="shared" si="30"/>
        <v>0.5053150145863361</v>
      </c>
    </row>
    <row r="235" spans="1:15" x14ac:dyDescent="0.25">
      <c r="A235" s="53">
        <f>'A) Base RI'!A237</f>
        <v>5762</v>
      </c>
      <c r="B235" s="54" t="str">
        <f>'A) Base RI'!B237</f>
        <v>Sergey</v>
      </c>
      <c r="C235" s="9">
        <f>'B) D RI'!U237</f>
        <v>3586.5485897435897</v>
      </c>
      <c r="D235" s="35">
        <f>'B) D RI'!AR237</f>
        <v>140</v>
      </c>
      <c r="E235" s="295">
        <f t="shared" si="36"/>
        <v>25.618204212454213</v>
      </c>
      <c r="F235" s="81">
        <f t="shared" si="31"/>
        <v>0.54809552306099707</v>
      </c>
      <c r="G235" s="85">
        <f t="shared" si="32"/>
        <v>0</v>
      </c>
      <c r="H235" s="85">
        <f t="shared" si="33"/>
        <v>0</v>
      </c>
      <c r="I235" s="85">
        <f t="shared" si="34"/>
        <v>0</v>
      </c>
      <c r="J235" s="85">
        <f t="shared" si="35"/>
        <v>0</v>
      </c>
      <c r="K235" s="298">
        <f t="shared" si="28"/>
        <v>0</v>
      </c>
      <c r="L235" s="133">
        <f>K235*D235*'B) D RI'!S237</f>
        <v>0</v>
      </c>
      <c r="M235" s="10">
        <f>(('B) D RI'!S237*C235)-L235)/'B) D RI'!S237</f>
        <v>3586.5485897435897</v>
      </c>
      <c r="N235" s="136">
        <f t="shared" si="29"/>
        <v>25.618204212454213</v>
      </c>
      <c r="O235" s="75">
        <f t="shared" si="30"/>
        <v>0.58097671917567084</v>
      </c>
    </row>
    <row r="236" spans="1:15" x14ac:dyDescent="0.25">
      <c r="A236" s="53">
        <f>'A) Base RI'!A238</f>
        <v>5763</v>
      </c>
      <c r="B236" s="54" t="str">
        <f>'A) Base RI'!B238</f>
        <v>Valeyres-sous-Rances</v>
      </c>
      <c r="C236" s="9">
        <f>'B) D RI'!U238</f>
        <v>16085.850769230768</v>
      </c>
      <c r="D236" s="35">
        <f>'B) D RI'!AR238</f>
        <v>623</v>
      </c>
      <c r="E236" s="295">
        <f t="shared" si="36"/>
        <v>25.819985183355968</v>
      </c>
      <c r="F236" s="81">
        <f t="shared" si="31"/>
        <v>0.55241258002068772</v>
      </c>
      <c r="G236" s="85">
        <f t="shared" si="32"/>
        <v>0</v>
      </c>
      <c r="H236" s="85">
        <f t="shared" si="33"/>
        <v>0</v>
      </c>
      <c r="I236" s="85">
        <f t="shared" si="34"/>
        <v>0</v>
      </c>
      <c r="J236" s="85">
        <f t="shared" si="35"/>
        <v>0</v>
      </c>
      <c r="K236" s="298">
        <f t="shared" si="28"/>
        <v>0</v>
      </c>
      <c r="L236" s="133">
        <f>K236*D236*'B) D RI'!S238</f>
        <v>0</v>
      </c>
      <c r="M236" s="10">
        <f>(('B) D RI'!S238*C236)-L236)/'B) D RI'!S238</f>
        <v>16085.850769230768</v>
      </c>
      <c r="N236" s="136">
        <f t="shared" si="29"/>
        <v>25.819985183355968</v>
      </c>
      <c r="O236" s="75">
        <f t="shared" si="30"/>
        <v>0.58555276383104105</v>
      </c>
    </row>
    <row r="237" spans="1:15" x14ac:dyDescent="0.25">
      <c r="A237" s="53">
        <f>'A) Base RI'!A239</f>
        <v>5764</v>
      </c>
      <c r="B237" s="54" t="str">
        <f>'A) Base RI'!B239</f>
        <v>Vallorbe</v>
      </c>
      <c r="C237" s="9">
        <f>'B) D RI'!U239</f>
        <v>84513.608378378369</v>
      </c>
      <c r="D237" s="35">
        <f>'B) D RI'!AR239</f>
        <v>3747</v>
      </c>
      <c r="E237" s="295">
        <f t="shared" si="36"/>
        <v>22.555006239225612</v>
      </c>
      <c r="F237" s="81">
        <f t="shared" si="31"/>
        <v>0.48255911459720974</v>
      </c>
      <c r="G237" s="85">
        <f t="shared" si="32"/>
        <v>0</v>
      </c>
      <c r="H237" s="85">
        <f t="shared" si="33"/>
        <v>0</v>
      </c>
      <c r="I237" s="85">
        <f t="shared" si="34"/>
        <v>0</v>
      </c>
      <c r="J237" s="85">
        <f t="shared" si="35"/>
        <v>0</v>
      </c>
      <c r="K237" s="298">
        <f t="shared" si="28"/>
        <v>0</v>
      </c>
      <c r="L237" s="133">
        <f>K237*D237*'B) D RI'!S239</f>
        <v>0</v>
      </c>
      <c r="M237" s="10">
        <f>(('B) D RI'!S239*C237)-L237)/'B) D RI'!S239</f>
        <v>84513.608378378369</v>
      </c>
      <c r="N237" s="136">
        <f t="shared" si="29"/>
        <v>22.555006239225612</v>
      </c>
      <c r="O237" s="75">
        <f t="shared" si="30"/>
        <v>0.51150866849135523</v>
      </c>
    </row>
    <row r="238" spans="1:15" x14ac:dyDescent="0.25">
      <c r="A238" s="53">
        <f>'A) Base RI'!A240</f>
        <v>5765</v>
      </c>
      <c r="B238" s="54" t="str">
        <f>'A) Base RI'!B240</f>
        <v>Vaulion</v>
      </c>
      <c r="C238" s="9">
        <f>'B) D RI'!U240</f>
        <v>10199.027160493826</v>
      </c>
      <c r="D238" s="35">
        <f>'B) D RI'!AR240</f>
        <v>494</v>
      </c>
      <c r="E238" s="295">
        <f t="shared" si="36"/>
        <v>20.645803968610984</v>
      </c>
      <c r="F238" s="81">
        <f t="shared" si="31"/>
        <v>0.44171217589441608</v>
      </c>
      <c r="G238" s="85">
        <f t="shared" si="32"/>
        <v>0</v>
      </c>
      <c r="H238" s="85">
        <f t="shared" si="33"/>
        <v>0</v>
      </c>
      <c r="I238" s="85">
        <f t="shared" si="34"/>
        <v>0</v>
      </c>
      <c r="J238" s="85">
        <f t="shared" si="35"/>
        <v>0</v>
      </c>
      <c r="K238" s="298">
        <f t="shared" si="28"/>
        <v>0</v>
      </c>
      <c r="L238" s="133">
        <f>K238*D238*'B) D RI'!S240</f>
        <v>0</v>
      </c>
      <c r="M238" s="10">
        <f>(('B) D RI'!S240*C238)-L238)/'B) D RI'!S240</f>
        <v>10199.027160493826</v>
      </c>
      <c r="N238" s="136">
        <f t="shared" si="29"/>
        <v>20.645803968610984</v>
      </c>
      <c r="O238" s="75">
        <f t="shared" si="30"/>
        <v>0.46821125145830678</v>
      </c>
    </row>
    <row r="239" spans="1:15" x14ac:dyDescent="0.25">
      <c r="A239" s="53">
        <f>'A) Base RI'!A241</f>
        <v>5766</v>
      </c>
      <c r="B239" s="54" t="str">
        <f>'A) Base RI'!B241</f>
        <v>Vuiteboeuf</v>
      </c>
      <c r="C239" s="9">
        <f>'B) D RI'!U241</f>
        <v>13023.960575139146</v>
      </c>
      <c r="D239" s="35">
        <f>'B) D RI'!AR241</f>
        <v>556</v>
      </c>
      <c r="E239" s="295">
        <f t="shared" si="36"/>
        <v>23.424389523631557</v>
      </c>
      <c r="F239" s="81">
        <f t="shared" si="31"/>
        <v>0.50115936784116322</v>
      </c>
      <c r="G239" s="85">
        <f t="shared" si="32"/>
        <v>0</v>
      </c>
      <c r="H239" s="85">
        <f t="shared" si="33"/>
        <v>0</v>
      </c>
      <c r="I239" s="85">
        <f t="shared" si="34"/>
        <v>0</v>
      </c>
      <c r="J239" s="85">
        <f t="shared" si="35"/>
        <v>0</v>
      </c>
      <c r="K239" s="298">
        <f t="shared" si="28"/>
        <v>0</v>
      </c>
      <c r="L239" s="133">
        <f>K239*D239*'B) D RI'!S241</f>
        <v>0</v>
      </c>
      <c r="M239" s="10">
        <f>(('B) D RI'!S241*C239)-L239)/'B) D RI'!S241</f>
        <v>13023.960575139146</v>
      </c>
      <c r="N239" s="136">
        <f t="shared" si="29"/>
        <v>23.424389523631557</v>
      </c>
      <c r="O239" s="75">
        <f t="shared" si="30"/>
        <v>0.53122478302036602</v>
      </c>
    </row>
    <row r="240" spans="1:15" x14ac:dyDescent="0.25">
      <c r="A240" s="53">
        <f>'A) Base RI'!A242</f>
        <v>5782</v>
      </c>
      <c r="B240" s="54" t="str">
        <f>'A) Base RI'!B242</f>
        <v>Carrouge</v>
      </c>
      <c r="C240" s="9">
        <f>'B) D RI'!U242</f>
        <v>32585.638421052627</v>
      </c>
      <c r="D240" s="35">
        <f>'B) D RI'!AR242</f>
        <v>1247</v>
      </c>
      <c r="E240" s="295">
        <f t="shared" si="36"/>
        <v>26.131225678470429</v>
      </c>
      <c r="F240" s="81">
        <f t="shared" si="31"/>
        <v>0.55907149805228784</v>
      </c>
      <c r="G240" s="85">
        <f t="shared" si="32"/>
        <v>0</v>
      </c>
      <c r="H240" s="85">
        <f t="shared" si="33"/>
        <v>0</v>
      </c>
      <c r="I240" s="85">
        <f t="shared" si="34"/>
        <v>0</v>
      </c>
      <c r="J240" s="85">
        <f t="shared" si="35"/>
        <v>0</v>
      </c>
      <c r="K240" s="298">
        <f t="shared" si="28"/>
        <v>0</v>
      </c>
      <c r="L240" s="133">
        <f>K240*D240*'B) D RI'!S242</f>
        <v>0</v>
      </c>
      <c r="M240" s="10">
        <f>(('B) D RI'!S242*C240)-L240)/'B) D RI'!S242</f>
        <v>32585.638421052627</v>
      </c>
      <c r="N240" s="136">
        <f t="shared" si="29"/>
        <v>26.131225678470429</v>
      </c>
      <c r="O240" s="75">
        <f t="shared" si="30"/>
        <v>0.59261116184468099</v>
      </c>
    </row>
    <row r="241" spans="1:15" x14ac:dyDescent="0.25">
      <c r="A241" s="53">
        <f>'A) Base RI'!A243</f>
        <v>5785</v>
      </c>
      <c r="B241" s="54" t="str">
        <f>'A) Base RI'!B243</f>
        <v>Corcelles-le-Jorat</v>
      </c>
      <c r="C241" s="9">
        <f>'B) D RI'!U243</f>
        <v>12275.22831168831</v>
      </c>
      <c r="D241" s="35">
        <f>'B) D RI'!AR243</f>
        <v>425</v>
      </c>
      <c r="E241" s="295">
        <f t="shared" si="36"/>
        <v>28.882890145148966</v>
      </c>
      <c r="F241" s="81">
        <f t="shared" si="31"/>
        <v>0.61794271957293356</v>
      </c>
      <c r="G241" s="85">
        <f t="shared" si="32"/>
        <v>0</v>
      </c>
      <c r="H241" s="85">
        <f t="shared" si="33"/>
        <v>0</v>
      </c>
      <c r="I241" s="85">
        <f t="shared" si="34"/>
        <v>0</v>
      </c>
      <c r="J241" s="85">
        <f t="shared" si="35"/>
        <v>0</v>
      </c>
      <c r="K241" s="298">
        <f t="shared" si="28"/>
        <v>0</v>
      </c>
      <c r="L241" s="133">
        <f>K241*D241*'B) D RI'!S243</f>
        <v>0</v>
      </c>
      <c r="M241" s="10">
        <f>(('B) D RI'!S243*C241)-L241)/'B) D RI'!S243</f>
        <v>12275.22831168831</v>
      </c>
      <c r="N241" s="136">
        <f t="shared" si="29"/>
        <v>28.882890145148966</v>
      </c>
      <c r="O241" s="75">
        <f t="shared" si="30"/>
        <v>0.65501416952099534</v>
      </c>
    </row>
    <row r="242" spans="1:15" x14ac:dyDescent="0.25">
      <c r="A242" s="53">
        <f>'A) Base RI'!A244</f>
        <v>5788</v>
      </c>
      <c r="B242" s="54" t="str">
        <f>'A) Base RI'!B244</f>
        <v>Essertes</v>
      </c>
      <c r="C242" s="9">
        <f>'B) D RI'!U244</f>
        <v>9663.2152777777756</v>
      </c>
      <c r="D242" s="35">
        <f>'B) D RI'!AR244</f>
        <v>335</v>
      </c>
      <c r="E242" s="295">
        <f t="shared" si="36"/>
        <v>28.84541873963515</v>
      </c>
      <c r="F242" s="81">
        <f t="shared" si="31"/>
        <v>0.6171410275638215</v>
      </c>
      <c r="G242" s="85">
        <f t="shared" si="32"/>
        <v>0</v>
      </c>
      <c r="H242" s="85">
        <f t="shared" si="33"/>
        <v>0</v>
      </c>
      <c r="I242" s="85">
        <f t="shared" si="34"/>
        <v>0</v>
      </c>
      <c r="J242" s="85">
        <f t="shared" si="35"/>
        <v>0</v>
      </c>
      <c r="K242" s="298">
        <f t="shared" si="28"/>
        <v>0</v>
      </c>
      <c r="L242" s="133">
        <f>K242*D242*'B) D RI'!S244</f>
        <v>0</v>
      </c>
      <c r="M242" s="10">
        <f>(('B) D RI'!S244*C242)-L242)/'B) D RI'!S244</f>
        <v>9663.2152777777756</v>
      </c>
      <c r="N242" s="136">
        <f t="shared" si="29"/>
        <v>28.84541873963515</v>
      </c>
      <c r="O242" s="75">
        <f t="shared" si="30"/>
        <v>0.65416438262501397</v>
      </c>
    </row>
    <row r="243" spans="1:15" x14ac:dyDescent="0.25">
      <c r="A243" s="53">
        <f>'A) Base RI'!A245</f>
        <v>5789</v>
      </c>
      <c r="B243" s="54" t="str">
        <f>'A) Base RI'!B245</f>
        <v>Ferlens</v>
      </c>
      <c r="C243" s="9">
        <f>'B) D RI'!U245</f>
        <v>9239.8459210526344</v>
      </c>
      <c r="D243" s="35">
        <f>'B) D RI'!AR245</f>
        <v>350</v>
      </c>
      <c r="E243" s="295">
        <f t="shared" si="36"/>
        <v>26.399559774436099</v>
      </c>
      <c r="F243" s="81">
        <f t="shared" si="31"/>
        <v>0.56481244364955585</v>
      </c>
      <c r="G243" s="85">
        <f t="shared" si="32"/>
        <v>0</v>
      </c>
      <c r="H243" s="85">
        <f t="shared" si="33"/>
        <v>0</v>
      </c>
      <c r="I243" s="85">
        <f t="shared" si="34"/>
        <v>0</v>
      </c>
      <c r="J243" s="85">
        <f t="shared" si="35"/>
        <v>0</v>
      </c>
      <c r="K243" s="298">
        <f t="shared" si="28"/>
        <v>0</v>
      </c>
      <c r="L243" s="133">
        <f>K243*D243*'B) D RI'!S245</f>
        <v>0</v>
      </c>
      <c r="M243" s="10">
        <f>(('B) D RI'!S245*C243)-L243)/'B) D RI'!S245</f>
        <v>9239.8459210526344</v>
      </c>
      <c r="N243" s="136">
        <f t="shared" si="29"/>
        <v>26.399559774436099</v>
      </c>
      <c r="O243" s="75">
        <f t="shared" si="30"/>
        <v>0.5986965166737801</v>
      </c>
    </row>
    <row r="244" spans="1:15" x14ac:dyDescent="0.25">
      <c r="A244" s="53">
        <f>'A) Base RI'!A246</f>
        <v>5790</v>
      </c>
      <c r="B244" s="54" t="str">
        <f>'A) Base RI'!B246</f>
        <v>Maracon</v>
      </c>
      <c r="C244" s="9">
        <f>'B) D RI'!U246</f>
        <v>12077.747368421051</v>
      </c>
      <c r="D244" s="35">
        <f>'B) D RI'!AR246</f>
        <v>449</v>
      </c>
      <c r="E244" s="295">
        <f t="shared" si="36"/>
        <v>26.899214629000113</v>
      </c>
      <c r="F244" s="81">
        <f t="shared" si="31"/>
        <v>0.57550244309647636</v>
      </c>
      <c r="G244" s="85">
        <f t="shared" si="32"/>
        <v>0</v>
      </c>
      <c r="H244" s="85">
        <f t="shared" si="33"/>
        <v>0</v>
      </c>
      <c r="I244" s="85">
        <f t="shared" si="34"/>
        <v>0</v>
      </c>
      <c r="J244" s="85">
        <f t="shared" si="35"/>
        <v>0</v>
      </c>
      <c r="K244" s="298">
        <f t="shared" si="28"/>
        <v>0</v>
      </c>
      <c r="L244" s="133">
        <f>K244*D244*'B) D RI'!S246</f>
        <v>0</v>
      </c>
      <c r="M244" s="10">
        <f>(('B) D RI'!S246*C244)-L244)/'B) D RI'!S246</f>
        <v>12077.747368421051</v>
      </c>
      <c r="N244" s="136">
        <f t="shared" si="29"/>
        <v>26.899214629000113</v>
      </c>
      <c r="O244" s="75">
        <f t="shared" si="30"/>
        <v>0.61002782763208974</v>
      </c>
    </row>
    <row r="245" spans="1:15" x14ac:dyDescent="0.25">
      <c r="A245" s="53">
        <f>'A) Base RI'!A247</f>
        <v>5791</v>
      </c>
      <c r="B245" s="54" t="str">
        <f>'A) Base RI'!B247</f>
        <v>Mézières</v>
      </c>
      <c r="C245" s="9">
        <f>'B) D RI'!U247</f>
        <v>47801.173157894729</v>
      </c>
      <c r="D245" s="35">
        <f>'B) D RI'!AR247</f>
        <v>1217</v>
      </c>
      <c r="E245" s="295">
        <f t="shared" si="36"/>
        <v>39.277874410759843</v>
      </c>
      <c r="F245" s="81">
        <f t="shared" si="31"/>
        <v>0.8403409911700126</v>
      </c>
      <c r="G245" s="85">
        <f t="shared" si="32"/>
        <v>0</v>
      </c>
      <c r="H245" s="85">
        <f t="shared" si="33"/>
        <v>0</v>
      </c>
      <c r="I245" s="85">
        <f t="shared" si="34"/>
        <v>0</v>
      </c>
      <c r="J245" s="85">
        <f t="shared" si="35"/>
        <v>0</v>
      </c>
      <c r="K245" s="298">
        <f t="shared" si="28"/>
        <v>0</v>
      </c>
      <c r="L245" s="133">
        <f>K245*D245*'B) D RI'!S247</f>
        <v>0</v>
      </c>
      <c r="M245" s="10">
        <f>(('B) D RI'!S247*C245)-L245)/'B) D RI'!S247</f>
        <v>47801.173157894729</v>
      </c>
      <c r="N245" s="136">
        <f t="shared" si="29"/>
        <v>39.277874410759843</v>
      </c>
      <c r="O245" s="75">
        <f t="shared" si="30"/>
        <v>0.89075449715806554</v>
      </c>
    </row>
    <row r="246" spans="1:15" x14ac:dyDescent="0.25">
      <c r="A246" s="53">
        <f>'A) Base RI'!A248</f>
        <v>5792</v>
      </c>
      <c r="B246" s="54" t="str">
        <f>'A) Base RI'!B248</f>
        <v>Montpreveyres</v>
      </c>
      <c r="C246" s="9">
        <f>'B) D RI'!U248</f>
        <v>15670.869999999999</v>
      </c>
      <c r="D246" s="35">
        <f>'B) D RI'!AR248</f>
        <v>621</v>
      </c>
      <c r="E246" s="295">
        <f t="shared" si="36"/>
        <v>25.234895330112721</v>
      </c>
      <c r="F246" s="81">
        <f t="shared" si="31"/>
        <v>0.53989471864010197</v>
      </c>
      <c r="G246" s="85">
        <f t="shared" si="32"/>
        <v>0</v>
      </c>
      <c r="H246" s="85">
        <f t="shared" si="33"/>
        <v>0</v>
      </c>
      <c r="I246" s="85">
        <f t="shared" si="34"/>
        <v>0</v>
      </c>
      <c r="J246" s="85">
        <f t="shared" si="35"/>
        <v>0</v>
      </c>
      <c r="K246" s="298">
        <f t="shared" si="28"/>
        <v>0</v>
      </c>
      <c r="L246" s="133">
        <f>K246*D246*'B) D RI'!S248</f>
        <v>0</v>
      </c>
      <c r="M246" s="10">
        <f>(('B) D RI'!S248*C246)-L246)/'B) D RI'!S248</f>
        <v>15670.869999999999</v>
      </c>
      <c r="N246" s="136">
        <f t="shared" si="29"/>
        <v>25.234895330112721</v>
      </c>
      <c r="O246" s="75">
        <f t="shared" si="30"/>
        <v>0.57228393434786495</v>
      </c>
    </row>
    <row r="247" spans="1:15" x14ac:dyDescent="0.25">
      <c r="A247" s="53">
        <f>'A) Base RI'!A249</f>
        <v>5798</v>
      </c>
      <c r="B247" s="54" t="str">
        <f>'A) Base RI'!B249</f>
        <v>Ropraz</v>
      </c>
      <c r="C247" s="9">
        <f>'B) D RI'!U249</f>
        <v>10971.989935483871</v>
      </c>
      <c r="D247" s="35">
        <f>'B) D RI'!AR249</f>
        <v>438</v>
      </c>
      <c r="E247" s="295">
        <f t="shared" si="36"/>
        <v>25.050205332154956</v>
      </c>
      <c r="F247" s="81">
        <f t="shared" si="31"/>
        <v>0.53594331907300885</v>
      </c>
      <c r="G247" s="85">
        <f t="shared" si="32"/>
        <v>0</v>
      </c>
      <c r="H247" s="85">
        <f t="shared" si="33"/>
        <v>0</v>
      </c>
      <c r="I247" s="85">
        <f t="shared" si="34"/>
        <v>0</v>
      </c>
      <c r="J247" s="85">
        <f t="shared" si="35"/>
        <v>0</v>
      </c>
      <c r="K247" s="298">
        <f t="shared" si="28"/>
        <v>0</v>
      </c>
      <c r="L247" s="133">
        <f>K247*D247*'B) D RI'!S249</f>
        <v>0</v>
      </c>
      <c r="M247" s="10">
        <f>(('B) D RI'!S249*C247)-L247)/'B) D RI'!S249</f>
        <v>10971.989935483871</v>
      </c>
      <c r="N247" s="136">
        <f t="shared" si="29"/>
        <v>25.050205332154956</v>
      </c>
      <c r="O247" s="75">
        <f t="shared" si="30"/>
        <v>0.568095483502981</v>
      </c>
    </row>
    <row r="248" spans="1:15" x14ac:dyDescent="0.25">
      <c r="A248" s="53">
        <f>'A) Base RI'!A250</f>
        <v>5799</v>
      </c>
      <c r="B248" s="54" t="str">
        <f>'A) Base RI'!B250</f>
        <v>Servion</v>
      </c>
      <c r="C248" s="9">
        <f>'B) D RI'!U250</f>
        <v>60598.657971014502</v>
      </c>
      <c r="D248" s="35">
        <f>'B) D RI'!AR250</f>
        <v>1918</v>
      </c>
      <c r="E248" s="295">
        <f t="shared" si="36"/>
        <v>31.594712185096196</v>
      </c>
      <c r="F248" s="81">
        <f t="shared" si="31"/>
        <v>0.67596152163676593</v>
      </c>
      <c r="G248" s="85">
        <f t="shared" si="32"/>
        <v>0</v>
      </c>
      <c r="H248" s="85">
        <f t="shared" si="33"/>
        <v>0</v>
      </c>
      <c r="I248" s="85">
        <f t="shared" si="34"/>
        <v>0</v>
      </c>
      <c r="J248" s="85">
        <f t="shared" si="35"/>
        <v>0</v>
      </c>
      <c r="K248" s="298">
        <f t="shared" si="28"/>
        <v>0</v>
      </c>
      <c r="L248" s="133">
        <f>K248*D248*'B) D RI'!S250</f>
        <v>0</v>
      </c>
      <c r="M248" s="10">
        <f>(('B) D RI'!S250*C248)-L248)/'B) D RI'!S250</f>
        <v>60598.657971014502</v>
      </c>
      <c r="N248" s="136">
        <f t="shared" si="29"/>
        <v>31.594712185096196</v>
      </c>
      <c r="O248" s="75">
        <f t="shared" si="30"/>
        <v>0.71651361962651405</v>
      </c>
    </row>
    <row r="249" spans="1:15" x14ac:dyDescent="0.25">
      <c r="A249" s="53">
        <f>'A) Base RI'!A251</f>
        <v>5803</v>
      </c>
      <c r="B249" s="54" t="str">
        <f>'A) Base RI'!B251</f>
        <v>Vulliens</v>
      </c>
      <c r="C249" s="9">
        <f>'B) D RI'!U251</f>
        <v>14215.08564102564</v>
      </c>
      <c r="D249" s="35">
        <f>'B) D RI'!AR251</f>
        <v>466</v>
      </c>
      <c r="E249" s="295">
        <f t="shared" si="36"/>
        <v>30.504475624518541</v>
      </c>
      <c r="F249" s="81">
        <f t="shared" si="31"/>
        <v>0.65263616389605694</v>
      </c>
      <c r="G249" s="85">
        <f t="shared" si="32"/>
        <v>0</v>
      </c>
      <c r="H249" s="85">
        <f t="shared" si="33"/>
        <v>0</v>
      </c>
      <c r="I249" s="85">
        <f t="shared" si="34"/>
        <v>0</v>
      </c>
      <c r="J249" s="85">
        <f t="shared" si="35"/>
        <v>0</v>
      </c>
      <c r="K249" s="298">
        <f t="shared" si="28"/>
        <v>0</v>
      </c>
      <c r="L249" s="133">
        <f>K249*D249*'B) D RI'!S251</f>
        <v>0</v>
      </c>
      <c r="M249" s="10">
        <f>(('B) D RI'!S251*C249)-L249)/'B) D RI'!S251</f>
        <v>14215.08564102564</v>
      </c>
      <c r="N249" s="136">
        <f t="shared" si="29"/>
        <v>30.504475624518541</v>
      </c>
      <c r="O249" s="75">
        <f t="shared" si="30"/>
        <v>0.69178893342927283</v>
      </c>
    </row>
    <row r="250" spans="1:15" x14ac:dyDescent="0.25">
      <c r="A250" s="53">
        <f>'A) Base RI'!A252</f>
        <v>5804</v>
      </c>
      <c r="B250" s="54" t="str">
        <f>'A) Base RI'!B252</f>
        <v>Jorat-Menthue</v>
      </c>
      <c r="C250" s="9">
        <f>'B) D RI'!U252</f>
        <v>48554.511111111118</v>
      </c>
      <c r="D250" s="35">
        <f>'B) D RI'!AR252</f>
        <v>1545</v>
      </c>
      <c r="E250" s="295">
        <f>C250/D250</f>
        <v>31.426868033081629</v>
      </c>
      <c r="F250" s="81">
        <f t="shared" si="31"/>
        <v>0.67237053502707878</v>
      </c>
      <c r="G250" s="85">
        <f t="shared" si="32"/>
        <v>0</v>
      </c>
      <c r="H250" s="85">
        <f t="shared" si="33"/>
        <v>0</v>
      </c>
      <c r="I250" s="85">
        <f t="shared" si="34"/>
        <v>0</v>
      </c>
      <c r="J250" s="85">
        <f t="shared" si="35"/>
        <v>0</v>
      </c>
      <c r="K250" s="298">
        <f t="shared" si="28"/>
        <v>0</v>
      </c>
      <c r="L250" s="133">
        <f>K250*D250*'B) D RI'!S252</f>
        <v>0</v>
      </c>
      <c r="M250" s="10">
        <f>(('B) D RI'!S252*C250)-L250)/'B) D RI'!S252</f>
        <v>48554.511111111118</v>
      </c>
      <c r="N250" s="136">
        <f t="shared" si="29"/>
        <v>31.426868033081629</v>
      </c>
      <c r="O250" s="75">
        <f t="shared" si="30"/>
        <v>0.71270720353420891</v>
      </c>
    </row>
    <row r="251" spans="1:15" x14ac:dyDescent="0.25">
      <c r="A251" s="53">
        <f>'A) Base RI'!A253</f>
        <v>5805</v>
      </c>
      <c r="B251" s="54" t="str">
        <f>'A) Base RI'!B253</f>
        <v>Oron</v>
      </c>
      <c r="C251" s="9">
        <f>'B) D RI'!U253</f>
        <v>147104.2625559947</v>
      </c>
      <c r="D251" s="35">
        <f>'B) D RI'!AR253</f>
        <v>5397</v>
      </c>
      <c r="E251" s="295">
        <f>C251/D251</f>
        <v>27.25667269890582</v>
      </c>
      <c r="F251" s="81">
        <f t="shared" si="31"/>
        <v>0.58315017539545211</v>
      </c>
      <c r="G251" s="85">
        <f t="shared" si="32"/>
        <v>0</v>
      </c>
      <c r="H251" s="85">
        <f t="shared" si="33"/>
        <v>0</v>
      </c>
      <c r="I251" s="85">
        <f t="shared" si="34"/>
        <v>0</v>
      </c>
      <c r="J251" s="85">
        <f t="shared" si="35"/>
        <v>0</v>
      </c>
      <c r="K251" s="298">
        <f t="shared" si="28"/>
        <v>0</v>
      </c>
      <c r="L251" s="133">
        <f>K251*D251*'B) D RI'!S253</f>
        <v>0</v>
      </c>
      <c r="M251" s="10">
        <f>(('B) D RI'!S253*C251)-L251)/'B) D RI'!S253</f>
        <v>147104.2625559947</v>
      </c>
      <c r="N251" s="136">
        <f t="shared" si="29"/>
        <v>27.25667269890582</v>
      </c>
      <c r="O251" s="75">
        <f t="shared" si="30"/>
        <v>0.61813436058710958</v>
      </c>
    </row>
    <row r="252" spans="1:15" x14ac:dyDescent="0.25">
      <c r="A252" s="53">
        <f>'A) Base RI'!A254</f>
        <v>5812</v>
      </c>
      <c r="B252" s="54" t="str">
        <f>'A) Base RI'!B254</f>
        <v>Champtauroz</v>
      </c>
      <c r="C252" s="9">
        <f>'B) D RI'!U254</f>
        <v>2326.5760389610391</v>
      </c>
      <c r="D252" s="35">
        <f>'B) D RI'!AR254</f>
        <v>130</v>
      </c>
      <c r="E252" s="295">
        <f>C252/D252</f>
        <v>17.896738761238762</v>
      </c>
      <c r="F252" s="81">
        <f t="shared" si="31"/>
        <v>0.38289656492231816</v>
      </c>
      <c r="G252" s="85">
        <f t="shared" si="32"/>
        <v>0</v>
      </c>
      <c r="H252" s="85">
        <f t="shared" si="33"/>
        <v>0</v>
      </c>
      <c r="I252" s="85">
        <f t="shared" si="34"/>
        <v>0</v>
      </c>
      <c r="J252" s="85">
        <f t="shared" si="35"/>
        <v>0</v>
      </c>
      <c r="K252" s="298">
        <f t="shared" si="28"/>
        <v>0</v>
      </c>
      <c r="L252" s="133">
        <f>K252*D252*'B) D RI'!S254</f>
        <v>0</v>
      </c>
      <c r="M252" s="10">
        <f>(('B) D RI'!S254*C252)-L252)/'B) D RI'!S254</f>
        <v>2326.5760389610391</v>
      </c>
      <c r="N252" s="136">
        <f t="shared" si="29"/>
        <v>17.896738761238762</v>
      </c>
      <c r="O252" s="75">
        <f t="shared" si="30"/>
        <v>0.40586719050329839</v>
      </c>
    </row>
    <row r="253" spans="1:15" x14ac:dyDescent="0.25">
      <c r="A253" s="53">
        <f>'A) Base RI'!A255</f>
        <v>5813</v>
      </c>
      <c r="B253" s="54" t="str">
        <f>'A) Base RI'!B255</f>
        <v>Chevroux</v>
      </c>
      <c r="C253" s="9">
        <f>'B) D RI'!U255</f>
        <v>11503.329976190478</v>
      </c>
      <c r="D253" s="35">
        <f>'B) D RI'!AR255</f>
        <v>446</v>
      </c>
      <c r="E253" s="295">
        <f t="shared" si="36"/>
        <v>25.792219677557124</v>
      </c>
      <c r="F253" s="81">
        <f t="shared" si="31"/>
        <v>0.5518185434794195</v>
      </c>
      <c r="G253" s="85">
        <f t="shared" si="32"/>
        <v>0</v>
      </c>
      <c r="H253" s="85">
        <f t="shared" si="33"/>
        <v>0</v>
      </c>
      <c r="I253" s="85">
        <f t="shared" si="34"/>
        <v>0</v>
      </c>
      <c r="J253" s="85">
        <f t="shared" si="35"/>
        <v>0</v>
      </c>
      <c r="K253" s="298">
        <f t="shared" si="28"/>
        <v>0</v>
      </c>
      <c r="L253" s="133">
        <f>K253*D253*'B) D RI'!S255</f>
        <v>0</v>
      </c>
      <c r="M253" s="10">
        <f>(('B) D RI'!S255*C253)-L253)/'B) D RI'!S255</f>
        <v>11503.329976190478</v>
      </c>
      <c r="N253" s="136">
        <f t="shared" si="29"/>
        <v>25.792219677557124</v>
      </c>
      <c r="O253" s="75">
        <f t="shared" si="30"/>
        <v>0.58492309001270903</v>
      </c>
    </row>
    <row r="254" spans="1:15" x14ac:dyDescent="0.25">
      <c r="A254" s="53">
        <f>'A) Base RI'!A256</f>
        <v>5816</v>
      </c>
      <c r="B254" s="54" t="str">
        <f>'A) Base RI'!B256</f>
        <v>Corcelles-près-Payerne</v>
      </c>
      <c r="C254" s="9">
        <f>'B) D RI'!U256</f>
        <v>56641.066845238092</v>
      </c>
      <c r="D254" s="35">
        <f>'B) D RI'!AR256</f>
        <v>2393</v>
      </c>
      <c r="E254" s="295">
        <f t="shared" si="36"/>
        <v>23.669480503651521</v>
      </c>
      <c r="F254" s="81">
        <f t="shared" si="31"/>
        <v>0.50640303237664486</v>
      </c>
      <c r="G254" s="85">
        <f t="shared" si="32"/>
        <v>0</v>
      </c>
      <c r="H254" s="85">
        <f t="shared" si="33"/>
        <v>0</v>
      </c>
      <c r="I254" s="85">
        <f t="shared" si="34"/>
        <v>0</v>
      </c>
      <c r="J254" s="85">
        <f t="shared" si="35"/>
        <v>0</v>
      </c>
      <c r="K254" s="298">
        <f t="shared" si="28"/>
        <v>0</v>
      </c>
      <c r="L254" s="133">
        <f>K254*D254*'B) D RI'!S256</f>
        <v>0</v>
      </c>
      <c r="M254" s="10">
        <f>(('B) D RI'!S256*C254)-L254)/'B) D RI'!S256</f>
        <v>56641.066845238092</v>
      </c>
      <c r="N254" s="136">
        <f t="shared" si="29"/>
        <v>23.669480503651521</v>
      </c>
      <c r="O254" s="75">
        <f t="shared" si="30"/>
        <v>0.53678302403877143</v>
      </c>
    </row>
    <row r="255" spans="1:15" x14ac:dyDescent="0.25">
      <c r="A255" s="53">
        <f>'A) Base RI'!A257</f>
        <v>5817</v>
      </c>
      <c r="B255" s="54" t="str">
        <f>'A) Base RI'!B257</f>
        <v>Grandcour</v>
      </c>
      <c r="C255" s="9">
        <f>'B) D RI'!U257</f>
        <v>20990.550314465407</v>
      </c>
      <c r="D255" s="35">
        <f>'B) D RI'!AR257</f>
        <v>885</v>
      </c>
      <c r="E255" s="295">
        <f t="shared" si="36"/>
        <v>23.718135948548483</v>
      </c>
      <c r="F255" s="81">
        <f t="shared" si="31"/>
        <v>0.50744400430814363</v>
      </c>
      <c r="G255" s="85">
        <f t="shared" si="32"/>
        <v>0</v>
      </c>
      <c r="H255" s="85">
        <f t="shared" si="33"/>
        <v>0</v>
      </c>
      <c r="I255" s="85">
        <f t="shared" si="34"/>
        <v>0</v>
      </c>
      <c r="J255" s="85">
        <f t="shared" si="35"/>
        <v>0</v>
      </c>
      <c r="K255" s="298">
        <f t="shared" si="28"/>
        <v>0</v>
      </c>
      <c r="L255" s="133">
        <f>K255*D255*'B) D RI'!S257</f>
        <v>0</v>
      </c>
      <c r="M255" s="10">
        <f>(('B) D RI'!S257*C255)-L255)/'B) D RI'!S257</f>
        <v>20990.550314465407</v>
      </c>
      <c r="N255" s="136">
        <f t="shared" si="29"/>
        <v>23.718135948548483</v>
      </c>
      <c r="O255" s="75">
        <f t="shared" si="30"/>
        <v>0.53788644567253796</v>
      </c>
    </row>
    <row r="256" spans="1:15" x14ac:dyDescent="0.25">
      <c r="A256" s="53">
        <f>'A) Base RI'!A258</f>
        <v>5819</v>
      </c>
      <c r="B256" s="54" t="str">
        <f>'A) Base RI'!B258</f>
        <v>Henniez</v>
      </c>
      <c r="C256" s="9">
        <f>'B) D RI'!U258</f>
        <v>14949.743880597016</v>
      </c>
      <c r="D256" s="35">
        <f>'B) D RI'!AR258</f>
        <v>338</v>
      </c>
      <c r="E256" s="295">
        <f t="shared" si="36"/>
        <v>44.230011481056259</v>
      </c>
      <c r="F256" s="81">
        <f t="shared" si="31"/>
        <v>0.94629081244961455</v>
      </c>
      <c r="G256" s="85">
        <f t="shared" si="32"/>
        <v>0</v>
      </c>
      <c r="H256" s="85">
        <f t="shared" si="33"/>
        <v>0</v>
      </c>
      <c r="I256" s="85">
        <f t="shared" si="34"/>
        <v>0</v>
      </c>
      <c r="J256" s="85">
        <f t="shared" si="35"/>
        <v>0</v>
      </c>
      <c r="K256" s="298">
        <f t="shared" si="28"/>
        <v>0</v>
      </c>
      <c r="L256" s="133">
        <f>K256*D256*'B) D RI'!S258</f>
        <v>0</v>
      </c>
      <c r="M256" s="10">
        <f>(('B) D RI'!S258*C256)-L256)/'B) D RI'!S258</f>
        <v>14949.743880597016</v>
      </c>
      <c r="N256" s="136">
        <f t="shared" si="29"/>
        <v>44.230011481056259</v>
      </c>
      <c r="O256" s="75">
        <f t="shared" si="30"/>
        <v>1.0030604310224833</v>
      </c>
    </row>
    <row r="257" spans="1:15" x14ac:dyDescent="0.25">
      <c r="A257" s="53">
        <f>'A) Base RI'!A259</f>
        <v>5821</v>
      </c>
      <c r="B257" s="54" t="str">
        <f>'A) Base RI'!B259</f>
        <v>Missy</v>
      </c>
      <c r="C257" s="9">
        <f>'B) D RI'!U259</f>
        <v>7776.2584722222218</v>
      </c>
      <c r="D257" s="35">
        <f>'B) D RI'!AR259</f>
        <v>361</v>
      </c>
      <c r="E257" s="295">
        <f t="shared" si="36"/>
        <v>21.540882194521391</v>
      </c>
      <c r="F257" s="81">
        <f t="shared" si="31"/>
        <v>0.46086216643795214</v>
      </c>
      <c r="G257" s="85">
        <f t="shared" si="32"/>
        <v>0</v>
      </c>
      <c r="H257" s="85">
        <f t="shared" si="33"/>
        <v>0</v>
      </c>
      <c r="I257" s="85">
        <f t="shared" si="34"/>
        <v>0</v>
      </c>
      <c r="J257" s="85">
        <f t="shared" si="35"/>
        <v>0</v>
      </c>
      <c r="K257" s="298">
        <f t="shared" si="28"/>
        <v>0</v>
      </c>
      <c r="L257" s="133">
        <f>K257*D257*'B) D RI'!S259</f>
        <v>0</v>
      </c>
      <c r="M257" s="10">
        <f>(('B) D RI'!S259*C257)-L257)/'B) D RI'!S259</f>
        <v>7776.2584722222218</v>
      </c>
      <c r="N257" s="136">
        <f t="shared" si="29"/>
        <v>21.540882194521391</v>
      </c>
      <c r="O257" s="75">
        <f t="shared" si="30"/>
        <v>0.48851008297602116</v>
      </c>
    </row>
    <row r="258" spans="1:15" x14ac:dyDescent="0.25">
      <c r="A258" s="53">
        <f>'A) Base RI'!A260</f>
        <v>5822</v>
      </c>
      <c r="B258" s="54" t="str">
        <f>'A) Base RI'!B260</f>
        <v>Payerne</v>
      </c>
      <c r="C258" s="9">
        <f>'B) D RI'!U260</f>
        <v>231493.6713333333</v>
      </c>
      <c r="D258" s="35">
        <f>'B) D RI'!AR260</f>
        <v>9301</v>
      </c>
      <c r="E258" s="295">
        <f t="shared" si="36"/>
        <v>24.889116367415689</v>
      </c>
      <c r="F258" s="81">
        <f t="shared" si="31"/>
        <v>0.53249685812453995</v>
      </c>
      <c r="G258" s="85">
        <f t="shared" si="32"/>
        <v>0</v>
      </c>
      <c r="H258" s="85">
        <f t="shared" si="33"/>
        <v>0</v>
      </c>
      <c r="I258" s="85">
        <f t="shared" si="34"/>
        <v>0</v>
      </c>
      <c r="J258" s="85">
        <f t="shared" si="35"/>
        <v>0</v>
      </c>
      <c r="K258" s="298">
        <f t="shared" si="28"/>
        <v>0</v>
      </c>
      <c r="L258" s="133">
        <f>K258*D258*'B) D RI'!S260</f>
        <v>0</v>
      </c>
      <c r="M258" s="10">
        <f>(('B) D RI'!S260*C258)-L258)/'B) D RI'!S260</f>
        <v>231493.6713333333</v>
      </c>
      <c r="N258" s="136">
        <f t="shared" si="29"/>
        <v>24.889116367415689</v>
      </c>
      <c r="O258" s="75">
        <f t="shared" si="30"/>
        <v>0.56444226341567583</v>
      </c>
    </row>
    <row r="259" spans="1:15" x14ac:dyDescent="0.25">
      <c r="A259" s="53">
        <f>'A) Base RI'!A261</f>
        <v>5827</v>
      </c>
      <c r="B259" s="54" t="str">
        <f>'A) Base RI'!B261</f>
        <v>Trey</v>
      </c>
      <c r="C259" s="9">
        <f>'B) D RI'!U261</f>
        <v>6204.9173749999991</v>
      </c>
      <c r="D259" s="35">
        <f>'B) D RI'!AR261</f>
        <v>260</v>
      </c>
      <c r="E259" s="295">
        <f t="shared" si="36"/>
        <v>23.865066826923073</v>
      </c>
      <c r="F259" s="81">
        <f t="shared" si="31"/>
        <v>0.51058755629050234</v>
      </c>
      <c r="G259" s="85">
        <f t="shared" si="32"/>
        <v>0</v>
      </c>
      <c r="H259" s="85">
        <f t="shared" si="33"/>
        <v>0</v>
      </c>
      <c r="I259" s="85">
        <f t="shared" si="34"/>
        <v>0</v>
      </c>
      <c r="J259" s="85">
        <f t="shared" si="35"/>
        <v>0</v>
      </c>
      <c r="K259" s="298">
        <f t="shared" si="28"/>
        <v>0</v>
      </c>
      <c r="L259" s="133">
        <f>K259*D259*'B) D RI'!S261</f>
        <v>0</v>
      </c>
      <c r="M259" s="10">
        <f>(('B) D RI'!S261*C259)-L259)/'B) D RI'!S261</f>
        <v>6204.9173749999991</v>
      </c>
      <c r="N259" s="136">
        <f t="shared" si="29"/>
        <v>23.865066826923073</v>
      </c>
      <c r="O259" s="75">
        <f t="shared" si="30"/>
        <v>0.54121858476221574</v>
      </c>
    </row>
    <row r="260" spans="1:15" x14ac:dyDescent="0.25">
      <c r="A260" s="53">
        <f>'A) Base RI'!A262</f>
        <v>5828</v>
      </c>
      <c r="B260" s="54" t="str">
        <f>'A) Base RI'!B262</f>
        <v>Treytorrens (Payerne)</v>
      </c>
      <c r="C260" s="9">
        <f>'B) D RI'!U262</f>
        <v>2352.5354761904764</v>
      </c>
      <c r="D260" s="35">
        <f>'B) D RI'!AR262</f>
        <v>131</v>
      </c>
      <c r="E260" s="295">
        <f t="shared" si="36"/>
        <v>17.958286077789896</v>
      </c>
      <c r="F260" s="81">
        <f t="shared" si="31"/>
        <v>0.38421335545058227</v>
      </c>
      <c r="G260" s="85">
        <f t="shared" si="32"/>
        <v>0</v>
      </c>
      <c r="H260" s="85">
        <f t="shared" si="33"/>
        <v>0</v>
      </c>
      <c r="I260" s="85">
        <f t="shared" si="34"/>
        <v>0</v>
      </c>
      <c r="J260" s="85">
        <f t="shared" si="35"/>
        <v>0</v>
      </c>
      <c r="K260" s="298">
        <f t="shared" si="28"/>
        <v>0</v>
      </c>
      <c r="L260" s="133">
        <f>K260*D260*'B) D RI'!S262</f>
        <v>0</v>
      </c>
      <c r="M260" s="10">
        <f>(('B) D RI'!S262*C260)-L260)/'B) D RI'!S262</f>
        <v>2352.5354761904764</v>
      </c>
      <c r="N260" s="136">
        <f t="shared" si="29"/>
        <v>17.958286077789896</v>
      </c>
      <c r="O260" s="75">
        <f t="shared" si="30"/>
        <v>0.40726297756734875</v>
      </c>
    </row>
    <row r="261" spans="1:15" x14ac:dyDescent="0.25">
      <c r="A261" s="53">
        <f>'A) Base RI'!A263</f>
        <v>5830</v>
      </c>
      <c r="B261" s="54" t="str">
        <f>'A) Base RI'!B263</f>
        <v>Villarzel</v>
      </c>
      <c r="C261" s="9">
        <f>'B) D RI'!U263</f>
        <v>9737.3892405063307</v>
      </c>
      <c r="D261" s="35">
        <f>'B) D RI'!AR263</f>
        <v>424</v>
      </c>
      <c r="E261" s="295">
        <f t="shared" si="36"/>
        <v>22.965540661571534</v>
      </c>
      <c r="F261" s="81">
        <f t="shared" si="31"/>
        <v>0.49134240311674005</v>
      </c>
      <c r="G261" s="85">
        <f t="shared" si="32"/>
        <v>0</v>
      </c>
      <c r="H261" s="85">
        <f t="shared" si="33"/>
        <v>0</v>
      </c>
      <c r="I261" s="85">
        <f t="shared" si="34"/>
        <v>0</v>
      </c>
      <c r="J261" s="85">
        <f t="shared" si="35"/>
        <v>0</v>
      </c>
      <c r="K261" s="298">
        <f t="shared" ref="K261:K322" si="37">(G261-H261)*$G$3+(H261-I261)*$H$3+(I261-J261)*$I$3+(J261*$J$3)</f>
        <v>0</v>
      </c>
      <c r="L261" s="133">
        <f>K261*D261*'B) D RI'!S263</f>
        <v>0</v>
      </c>
      <c r="M261" s="10">
        <f>(('B) D RI'!S263*C261)-L261)/'B) D RI'!S263</f>
        <v>9737.3892405063307</v>
      </c>
      <c r="N261" s="136">
        <f t="shared" ref="N261:N323" si="38">M261/D261</f>
        <v>22.965540661571534</v>
      </c>
      <c r="O261" s="75">
        <f t="shared" ref="O261:O316" si="39">N261/N$323</f>
        <v>0.52081888164389389</v>
      </c>
    </row>
    <row r="262" spans="1:15" x14ac:dyDescent="0.25">
      <c r="A262" s="53">
        <f>'A) Base RI'!A264</f>
        <v>5831</v>
      </c>
      <c r="B262" s="54" t="str">
        <f>'A) Base RI'!B264</f>
        <v>Valbroye</v>
      </c>
      <c r="C262" s="9">
        <f>'B) D RI'!U264</f>
        <v>75142.69210045661</v>
      </c>
      <c r="D262" s="35">
        <f>'B) D RI'!AR264</f>
        <v>2974</v>
      </c>
      <c r="E262" s="295">
        <f>C262/D262</f>
        <v>25.266540719723139</v>
      </c>
      <c r="F262" s="81">
        <f t="shared" ref="F262:F322" si="40">E262/$E$323</f>
        <v>0.54057176439347132</v>
      </c>
      <c r="G262" s="85">
        <f t="shared" ref="G262:G322" si="41">IF(E262-$G$2&lt;0,0,E262-$G$2)</f>
        <v>0</v>
      </c>
      <c r="H262" s="85">
        <f t="shared" ref="H262:H322" si="42">IF(E262-$H$2&lt;0,0,E262-$H$2)</f>
        <v>0</v>
      </c>
      <c r="I262" s="85">
        <f t="shared" ref="I262:I322" si="43">IF(E262-$I$2&lt;0,0,E262-$I$2)</f>
        <v>0</v>
      </c>
      <c r="J262" s="85">
        <f t="shared" ref="J262:J322" si="44">IF(E262-$J$2&lt;0,0,E262-$J$2)</f>
        <v>0</v>
      </c>
      <c r="K262" s="298">
        <f t="shared" si="37"/>
        <v>0</v>
      </c>
      <c r="L262" s="133">
        <f>K262*D262*'B) D RI'!S264</f>
        <v>0</v>
      </c>
      <c r="M262" s="10">
        <f>(('B) D RI'!S264*C262)-L262)/'B) D RI'!S264</f>
        <v>75142.69210045661</v>
      </c>
      <c r="N262" s="136">
        <f t="shared" si="38"/>
        <v>25.266540719723139</v>
      </c>
      <c r="O262" s="75">
        <f t="shared" si="39"/>
        <v>0.57300159724415645</v>
      </c>
    </row>
    <row r="263" spans="1:15" x14ac:dyDescent="0.25">
      <c r="A263" s="53">
        <f>'A) Base RI'!A265</f>
        <v>5841</v>
      </c>
      <c r="B263" s="54" t="str">
        <f>'A) Base RI'!B265</f>
        <v>Château-d'Oex</v>
      </c>
      <c r="C263" s="9">
        <f>'B) D RI'!U265</f>
        <v>106457.35927710844</v>
      </c>
      <c r="D263" s="35">
        <f>'B) D RI'!AR265</f>
        <v>3477</v>
      </c>
      <c r="E263" s="295">
        <f>C263/D263</f>
        <v>30.617589668423481</v>
      </c>
      <c r="F263" s="81">
        <f t="shared" si="40"/>
        <v>0.65505621256712976</v>
      </c>
      <c r="G263" s="85">
        <f t="shared" si="41"/>
        <v>0</v>
      </c>
      <c r="H263" s="85">
        <f t="shared" si="42"/>
        <v>0</v>
      </c>
      <c r="I263" s="85">
        <f t="shared" si="43"/>
        <v>0</v>
      </c>
      <c r="J263" s="85">
        <f t="shared" si="44"/>
        <v>0</v>
      </c>
      <c r="K263" s="298">
        <f t="shared" si="37"/>
        <v>0</v>
      </c>
      <c r="L263" s="133">
        <f>K263*D263*'B) D RI'!S265</f>
        <v>0</v>
      </c>
      <c r="M263" s="10">
        <f>(('B) D RI'!S265*C263)-L263)/'B) D RI'!S265</f>
        <v>106457.35927710844</v>
      </c>
      <c r="N263" s="136">
        <f t="shared" si="38"/>
        <v>30.617589668423481</v>
      </c>
      <c r="O263" s="75">
        <f t="shared" si="39"/>
        <v>0.69435416499568514</v>
      </c>
    </row>
    <row r="264" spans="1:15" x14ac:dyDescent="0.25">
      <c r="A264" s="53">
        <f>'A) Base RI'!A266</f>
        <v>5842</v>
      </c>
      <c r="B264" s="54" t="str">
        <f>'A) Base RI'!B266</f>
        <v>Rossinière</v>
      </c>
      <c r="C264" s="9">
        <f>'B) D RI'!U266</f>
        <v>13519.399629629628</v>
      </c>
      <c r="D264" s="35">
        <f>'B) D RI'!AR266</f>
        <v>546</v>
      </c>
      <c r="E264" s="295">
        <f t="shared" si="36"/>
        <v>24.760805182471845</v>
      </c>
      <c r="F264" s="81">
        <f t="shared" si="40"/>
        <v>0.52975167015417546</v>
      </c>
      <c r="G264" s="85">
        <f t="shared" si="41"/>
        <v>0</v>
      </c>
      <c r="H264" s="85">
        <f t="shared" si="42"/>
        <v>0</v>
      </c>
      <c r="I264" s="85">
        <f t="shared" si="43"/>
        <v>0</v>
      </c>
      <c r="J264" s="85">
        <f t="shared" si="44"/>
        <v>0</v>
      </c>
      <c r="K264" s="298">
        <f t="shared" si="37"/>
        <v>0</v>
      </c>
      <c r="L264" s="133">
        <f>K264*D264*'B) D RI'!S266</f>
        <v>0</v>
      </c>
      <c r="M264" s="10">
        <f>(('B) D RI'!S266*C264)-L264)/'B) D RI'!S266</f>
        <v>13519.399629629628</v>
      </c>
      <c r="N264" s="136">
        <f t="shared" si="38"/>
        <v>24.760805182471845</v>
      </c>
      <c r="O264" s="75">
        <f t="shared" si="39"/>
        <v>0.56153238688241058</v>
      </c>
    </row>
    <row r="265" spans="1:15" x14ac:dyDescent="0.25">
      <c r="A265" s="53">
        <f>'A) Base RI'!A267</f>
        <v>5843</v>
      </c>
      <c r="B265" s="54" t="str">
        <f>'A) Base RI'!B267</f>
        <v>Rougemont</v>
      </c>
      <c r="C265" s="9">
        <f>'B) D RI'!U267</f>
        <v>88213.430628019312</v>
      </c>
      <c r="D265" s="35">
        <f>'B) D RI'!AR267</f>
        <v>892</v>
      </c>
      <c r="E265" s="295">
        <f t="shared" si="36"/>
        <v>98.893980524685333</v>
      </c>
      <c r="F265" s="81">
        <f t="shared" si="40"/>
        <v>2.1158137211237729</v>
      </c>
      <c r="G265" s="85">
        <f t="shared" si="41"/>
        <v>42.805500029062266</v>
      </c>
      <c r="H265" s="85">
        <f t="shared" si="42"/>
        <v>28.783379905156494</v>
      </c>
      <c r="I265" s="85">
        <f t="shared" si="43"/>
        <v>5.4131796986468856</v>
      </c>
      <c r="J265" s="85">
        <f t="shared" si="44"/>
        <v>0</v>
      </c>
      <c r="K265" s="298">
        <f t="shared" si="37"/>
        <v>18.829635970842755</v>
      </c>
      <c r="L265" s="133">
        <f>K265*D265*'B) D RI'!S267</f>
        <v>1158926.4347334299</v>
      </c>
      <c r="M265" s="10">
        <f>(('B) D RI'!S267*C265)-L265)/'B) D RI'!S267</f>
        <v>71417.395342027579</v>
      </c>
      <c r="N265" s="136">
        <f t="shared" si="38"/>
        <v>80.064344553842574</v>
      </c>
      <c r="O265" s="75">
        <f t="shared" si="39"/>
        <v>1.8157213454965186</v>
      </c>
    </row>
    <row r="266" spans="1:15" x14ac:dyDescent="0.25">
      <c r="A266" s="53">
        <f>'A) Base RI'!A268</f>
        <v>5851</v>
      </c>
      <c r="B266" s="54" t="str">
        <f>'A) Base RI'!B268</f>
        <v>Allaman</v>
      </c>
      <c r="C266" s="9">
        <f>'B) D RI'!U268</f>
        <v>26900.629237536661</v>
      </c>
      <c r="D266" s="35">
        <f>'B) D RI'!AR268</f>
        <v>432</v>
      </c>
      <c r="E266" s="295">
        <f t="shared" si="36"/>
        <v>62.269975086890419</v>
      </c>
      <c r="F266" s="81">
        <f t="shared" si="40"/>
        <v>1.3322516396232142</v>
      </c>
      <c r="G266" s="85">
        <f t="shared" si="41"/>
        <v>6.1814945912673522</v>
      </c>
      <c r="H266" s="85">
        <f t="shared" si="42"/>
        <v>0</v>
      </c>
      <c r="I266" s="85">
        <f t="shared" si="43"/>
        <v>0</v>
      </c>
      <c r="J266" s="85">
        <f t="shared" si="44"/>
        <v>0</v>
      </c>
      <c r="K266" s="298">
        <f t="shared" si="37"/>
        <v>2.2253380528562468</v>
      </c>
      <c r="L266" s="133">
        <f>K266*D266*'B) D RI'!S268</f>
        <v>59603.454407701713</v>
      </c>
      <c r="M266" s="10">
        <f>(('B) D RI'!S268*C266)-L266)/'B) D RI'!S268</f>
        <v>25939.28319870276</v>
      </c>
      <c r="N266" s="136">
        <f t="shared" si="38"/>
        <v>60.044637034034167</v>
      </c>
      <c r="O266" s="75">
        <f t="shared" si="39"/>
        <v>1.361708882434786</v>
      </c>
    </row>
    <row r="267" spans="1:15" x14ac:dyDescent="0.25">
      <c r="A267" s="53">
        <f>'A) Base RI'!A269</f>
        <v>5852</v>
      </c>
      <c r="B267" s="54" t="str">
        <f>'A) Base RI'!B269</f>
        <v>Bursinel</v>
      </c>
      <c r="C267" s="9">
        <f>'B) D RI'!U269</f>
        <v>29922.291297709922</v>
      </c>
      <c r="D267" s="35">
        <f>'B) D RI'!AR269</f>
        <v>485</v>
      </c>
      <c r="E267" s="295">
        <f t="shared" si="36"/>
        <v>61.695445974659634</v>
      </c>
      <c r="F267" s="81">
        <f t="shared" si="40"/>
        <v>1.3199597228412872</v>
      </c>
      <c r="G267" s="85">
        <f t="shared" si="41"/>
        <v>5.6069654790365675</v>
      </c>
      <c r="H267" s="85">
        <f t="shared" si="42"/>
        <v>0</v>
      </c>
      <c r="I267" s="85">
        <f t="shared" si="43"/>
        <v>0</v>
      </c>
      <c r="J267" s="85">
        <f t="shared" si="44"/>
        <v>0</v>
      </c>
      <c r="K267" s="298">
        <f t="shared" si="37"/>
        <v>2.018507572453164</v>
      </c>
      <c r="L267" s="133">
        <f>K267*D267*'B) D RI'!S269</f>
        <v>64122.939307905886</v>
      </c>
      <c r="M267" s="10">
        <f>(('B) D RI'!S269*C267)-L267)/'B) D RI'!S269</f>
        <v>28943.315125070134</v>
      </c>
      <c r="N267" s="136">
        <f t="shared" si="38"/>
        <v>59.67693840220646</v>
      </c>
      <c r="O267" s="75">
        <f t="shared" si="39"/>
        <v>1.3533701111847392</v>
      </c>
    </row>
    <row r="268" spans="1:15" x14ac:dyDescent="0.25">
      <c r="A268" s="53">
        <f>'A) Base RI'!A270</f>
        <v>5853</v>
      </c>
      <c r="B268" s="54" t="str">
        <f>'A) Base RI'!B270</f>
        <v>Bursins</v>
      </c>
      <c r="C268" s="9">
        <f>'B) D RI'!U270</f>
        <v>40543.223380281692</v>
      </c>
      <c r="D268" s="35">
        <f>'B) D RI'!AR270</f>
        <v>766</v>
      </c>
      <c r="E268" s="295">
        <f t="shared" si="36"/>
        <v>52.928490052587065</v>
      </c>
      <c r="F268" s="81">
        <f t="shared" si="40"/>
        <v>1.1323927391482977</v>
      </c>
      <c r="G268" s="85">
        <f t="shared" si="41"/>
        <v>0</v>
      </c>
      <c r="H268" s="85">
        <f t="shared" si="42"/>
        <v>0</v>
      </c>
      <c r="I268" s="85">
        <f t="shared" si="43"/>
        <v>0</v>
      </c>
      <c r="J268" s="85">
        <f t="shared" si="44"/>
        <v>0</v>
      </c>
      <c r="K268" s="298">
        <f t="shared" si="37"/>
        <v>0</v>
      </c>
      <c r="L268" s="133">
        <f>K268*D268*'B) D RI'!S270</f>
        <v>0</v>
      </c>
      <c r="M268" s="10">
        <f>(('B) D RI'!S270*C268)-L268)/'B) D RI'!S270</f>
        <v>40543.223380281692</v>
      </c>
      <c r="N268" s="136">
        <f t="shared" si="38"/>
        <v>52.928490052587065</v>
      </c>
      <c r="O268" s="75">
        <f t="shared" si="39"/>
        <v>1.2003269334048416</v>
      </c>
    </row>
    <row r="269" spans="1:15" x14ac:dyDescent="0.25">
      <c r="A269" s="53">
        <f>'A) Base RI'!A271</f>
        <v>5854</v>
      </c>
      <c r="B269" s="54" t="str">
        <f>'A) Base RI'!B271</f>
        <v>Burtigny</v>
      </c>
      <c r="C269" s="9">
        <f>'B) D RI'!U271</f>
        <v>10577.787833333332</v>
      </c>
      <c r="D269" s="35">
        <f>'B) D RI'!AR271</f>
        <v>359</v>
      </c>
      <c r="E269" s="295">
        <f t="shared" si="36"/>
        <v>29.464590064995352</v>
      </c>
      <c r="F269" s="81">
        <f t="shared" si="40"/>
        <v>0.63038805411663079</v>
      </c>
      <c r="G269" s="85">
        <f t="shared" si="41"/>
        <v>0</v>
      </c>
      <c r="H269" s="85">
        <f t="shared" si="42"/>
        <v>0</v>
      </c>
      <c r="I269" s="85">
        <f t="shared" si="43"/>
        <v>0</v>
      </c>
      <c r="J269" s="85">
        <f t="shared" si="44"/>
        <v>0</v>
      </c>
      <c r="K269" s="298">
        <f t="shared" si="37"/>
        <v>0</v>
      </c>
      <c r="L269" s="133">
        <f>K269*D269*'B) D RI'!S271</f>
        <v>0</v>
      </c>
      <c r="M269" s="10">
        <f>(('B) D RI'!S271*C269)-L269)/'B) D RI'!S271</f>
        <v>10577.787833333332</v>
      </c>
      <c r="N269" s="136">
        <f t="shared" si="38"/>
        <v>29.464590064995352</v>
      </c>
      <c r="O269" s="75">
        <f t="shared" si="39"/>
        <v>0.66820612115719979</v>
      </c>
    </row>
    <row r="270" spans="1:15" x14ac:dyDescent="0.25">
      <c r="A270" s="53">
        <f>'A) Base RI'!A272</f>
        <v>5855</v>
      </c>
      <c r="B270" s="54" t="str">
        <f>'A) Base RI'!B272</f>
        <v>Dully</v>
      </c>
      <c r="C270" s="9">
        <f>'B) D RI'!U272</f>
        <v>79387.772653061227</v>
      </c>
      <c r="D270" s="35">
        <f>'B) D RI'!AR272</f>
        <v>633</v>
      </c>
      <c r="E270" s="295">
        <f t="shared" si="36"/>
        <v>125.41512267466229</v>
      </c>
      <c r="F270" s="81">
        <f t="shared" si="40"/>
        <v>2.6832273914309206</v>
      </c>
      <c r="G270" s="85">
        <f t="shared" si="41"/>
        <v>69.326642179039226</v>
      </c>
      <c r="H270" s="85">
        <f t="shared" si="42"/>
        <v>55.304522055133447</v>
      </c>
      <c r="I270" s="85">
        <f t="shared" si="43"/>
        <v>31.934321848623838</v>
      </c>
      <c r="J270" s="85">
        <f t="shared" si="44"/>
        <v>0</v>
      </c>
      <c r="K270" s="298">
        <f t="shared" si="37"/>
        <v>33.681475574829854</v>
      </c>
      <c r="L270" s="133">
        <f>K270*D270*'B) D RI'!S272</f>
        <v>1044698.3279044975</v>
      </c>
      <c r="M270" s="10">
        <f>(('B) D RI'!S272*C270)-L270)/'B) D RI'!S272</f>
        <v>58067.398614193939</v>
      </c>
      <c r="N270" s="136">
        <f t="shared" si="38"/>
        <v>91.733647099832453</v>
      </c>
      <c r="O270" s="75">
        <f t="shared" si="39"/>
        <v>2.0803610154754795</v>
      </c>
    </row>
    <row r="271" spans="1:15" x14ac:dyDescent="0.25">
      <c r="A271" s="53">
        <f>'A) Base RI'!A273</f>
        <v>5856</v>
      </c>
      <c r="B271" s="54" t="str">
        <f>'A) Base RI'!B273</f>
        <v>Essertines-sur-Rolle</v>
      </c>
      <c r="C271" s="9">
        <f>'B) D RI'!U273</f>
        <v>31862.802285067875</v>
      </c>
      <c r="D271" s="35">
        <f>'B) D RI'!AR273</f>
        <v>695</v>
      </c>
      <c r="E271" s="295">
        <f t="shared" si="36"/>
        <v>45.845758683550898</v>
      </c>
      <c r="F271" s="81">
        <f t="shared" si="40"/>
        <v>0.98085934819635967</v>
      </c>
      <c r="G271" s="85">
        <f t="shared" si="41"/>
        <v>0</v>
      </c>
      <c r="H271" s="85">
        <f t="shared" si="42"/>
        <v>0</v>
      </c>
      <c r="I271" s="85">
        <f t="shared" si="43"/>
        <v>0</v>
      </c>
      <c r="J271" s="85">
        <f t="shared" si="44"/>
        <v>0</v>
      </c>
      <c r="K271" s="298">
        <f t="shared" si="37"/>
        <v>0</v>
      </c>
      <c r="L271" s="133">
        <f>K271*D271*'B) D RI'!S273</f>
        <v>0</v>
      </c>
      <c r="M271" s="10">
        <f>(('B) D RI'!S273*C271)-L271)/'B) D RI'!S273</f>
        <v>31862.802285067875</v>
      </c>
      <c r="N271" s="136">
        <f t="shared" si="38"/>
        <v>45.845758683550898</v>
      </c>
      <c r="O271" s="75">
        <f t="shared" si="39"/>
        <v>1.0397027928733678</v>
      </c>
    </row>
    <row r="272" spans="1:15" x14ac:dyDescent="0.25">
      <c r="A272" s="53">
        <f>'A) Base RI'!A274</f>
        <v>5857</v>
      </c>
      <c r="B272" s="54" t="str">
        <f>'A) Base RI'!B274</f>
        <v>Gilly</v>
      </c>
      <c r="C272" s="9">
        <f>'B) D RI'!U274</f>
        <v>62540.44560606061</v>
      </c>
      <c r="D272" s="35">
        <f>'B) D RI'!AR274</f>
        <v>1230</v>
      </c>
      <c r="E272" s="295">
        <f t="shared" si="36"/>
        <v>50.845890736634644</v>
      </c>
      <c r="F272" s="81">
        <f t="shared" si="40"/>
        <v>1.0878360109741778</v>
      </c>
      <c r="G272" s="85">
        <f t="shared" si="41"/>
        <v>0</v>
      </c>
      <c r="H272" s="85">
        <f t="shared" si="42"/>
        <v>0</v>
      </c>
      <c r="I272" s="85">
        <f t="shared" si="43"/>
        <v>0</v>
      </c>
      <c r="J272" s="85">
        <f t="shared" si="44"/>
        <v>0</v>
      </c>
      <c r="K272" s="298">
        <f t="shared" si="37"/>
        <v>0</v>
      </c>
      <c r="L272" s="133">
        <f>K272*D272*'B) D RI'!S274</f>
        <v>0</v>
      </c>
      <c r="M272" s="10">
        <f>(('B) D RI'!S274*C272)-L272)/'B) D RI'!S274</f>
        <v>62540.44560606061</v>
      </c>
      <c r="N272" s="136">
        <f t="shared" si="38"/>
        <v>50.845890736634644</v>
      </c>
      <c r="O272" s="75">
        <f t="shared" si="39"/>
        <v>1.1530971702291963</v>
      </c>
    </row>
    <row r="273" spans="1:15" x14ac:dyDescent="0.25">
      <c r="A273" s="53">
        <f>'A) Base RI'!A275</f>
        <v>5858</v>
      </c>
      <c r="B273" s="54" t="str">
        <f>'A) Base RI'!B275</f>
        <v>Luins</v>
      </c>
      <c r="C273" s="9">
        <f>'B) D RI'!U275</f>
        <v>35045.301944444444</v>
      </c>
      <c r="D273" s="35">
        <f>'B) D RI'!AR275</f>
        <v>625</v>
      </c>
      <c r="E273" s="295">
        <f t="shared" ref="E273:E322" si="45">C273/D273</f>
        <v>56.072483111111111</v>
      </c>
      <c r="F273" s="81">
        <f t="shared" si="40"/>
        <v>1.1996577396776538</v>
      </c>
      <c r="G273" s="85">
        <f t="shared" si="41"/>
        <v>0</v>
      </c>
      <c r="H273" s="85">
        <f t="shared" si="42"/>
        <v>0</v>
      </c>
      <c r="I273" s="85">
        <f t="shared" si="43"/>
        <v>0</v>
      </c>
      <c r="J273" s="85">
        <f t="shared" si="44"/>
        <v>0</v>
      </c>
      <c r="K273" s="298">
        <f t="shared" si="37"/>
        <v>0</v>
      </c>
      <c r="L273" s="133">
        <f>K273*D273*'B) D RI'!S275</f>
        <v>0</v>
      </c>
      <c r="M273" s="10">
        <f>(('B) D RI'!S275*C273)-L273)/'B) D RI'!S275</f>
        <v>35045.301944444444</v>
      </c>
      <c r="N273" s="136">
        <f t="shared" si="38"/>
        <v>56.072483111111111</v>
      </c>
      <c r="O273" s="75">
        <f t="shared" si="39"/>
        <v>1.271627277375259</v>
      </c>
    </row>
    <row r="274" spans="1:15" x14ac:dyDescent="0.25">
      <c r="A274" s="53">
        <f>'A) Base RI'!A276</f>
        <v>5859</v>
      </c>
      <c r="B274" s="54" t="str">
        <f>'A) Base RI'!B276</f>
        <v>Mont-sur-Rolle</v>
      </c>
      <c r="C274" s="9">
        <f>'B) D RI'!U276</f>
        <v>130430.38093750003</v>
      </c>
      <c r="D274" s="35">
        <f>'B) D RI'!AR276</f>
        <v>2660</v>
      </c>
      <c r="E274" s="295">
        <f t="shared" si="45"/>
        <v>49.033977796052639</v>
      </c>
      <c r="F274" s="81">
        <f t="shared" si="40"/>
        <v>1.049070554868301</v>
      </c>
      <c r="G274" s="85">
        <f t="shared" si="41"/>
        <v>0</v>
      </c>
      <c r="H274" s="85">
        <f t="shared" si="42"/>
        <v>0</v>
      </c>
      <c r="I274" s="85">
        <f t="shared" si="43"/>
        <v>0</v>
      </c>
      <c r="J274" s="85">
        <f t="shared" si="44"/>
        <v>0</v>
      </c>
      <c r="K274" s="298">
        <f t="shared" si="37"/>
        <v>0</v>
      </c>
      <c r="L274" s="133">
        <f>K274*D274*'B) D RI'!S276</f>
        <v>0</v>
      </c>
      <c r="M274" s="10">
        <f>(('B) D RI'!S276*C274)-L274)/'B) D RI'!S276</f>
        <v>130430.38093750003</v>
      </c>
      <c r="N274" s="136">
        <f t="shared" si="38"/>
        <v>49.033977796052639</v>
      </c>
      <c r="O274" s="75">
        <f t="shared" si="39"/>
        <v>1.1120061075254521</v>
      </c>
    </row>
    <row r="275" spans="1:15" x14ac:dyDescent="0.25">
      <c r="A275" s="53">
        <f>'A) Base RI'!A277</f>
        <v>5860</v>
      </c>
      <c r="B275" s="54" t="str">
        <f>'A) Base RI'!B277</f>
        <v>Perroy</v>
      </c>
      <c r="C275" s="9">
        <f>'B) D RI'!U277</f>
        <v>92749.778038461533</v>
      </c>
      <c r="D275" s="35">
        <f>'B) D RI'!AR277</f>
        <v>1453</v>
      </c>
      <c r="E275" s="295">
        <f t="shared" si="45"/>
        <v>63.833295277674836</v>
      </c>
      <c r="F275" s="81">
        <f t="shared" si="40"/>
        <v>1.3656985116433555</v>
      </c>
      <c r="G275" s="85">
        <f t="shared" si="41"/>
        <v>7.744814782051769</v>
      </c>
      <c r="H275" s="85">
        <f t="shared" si="42"/>
        <v>0</v>
      </c>
      <c r="I275" s="85">
        <f t="shared" si="43"/>
        <v>0</v>
      </c>
      <c r="J275" s="85">
        <f t="shared" si="44"/>
        <v>0</v>
      </c>
      <c r="K275" s="298">
        <f t="shared" si="37"/>
        <v>2.7881333215386368</v>
      </c>
      <c r="L275" s="133">
        <f>K275*D275*'B) D RI'!S277</f>
        <v>243069.46297173837</v>
      </c>
      <c r="M275" s="10">
        <f>(('B) D RI'!S277*C275)-L275)/'B) D RI'!S277</f>
        <v>88698.620322265895</v>
      </c>
      <c r="N275" s="136">
        <f t="shared" si="38"/>
        <v>61.045161956136198</v>
      </c>
      <c r="O275" s="75">
        <f t="shared" si="39"/>
        <v>1.3843990632872651</v>
      </c>
    </row>
    <row r="276" spans="1:15" x14ac:dyDescent="0.25">
      <c r="A276" s="53">
        <f>'A) Base RI'!A278</f>
        <v>5861</v>
      </c>
      <c r="B276" s="54" t="str">
        <f>'A) Base RI'!B278</f>
        <v>Rolle</v>
      </c>
      <c r="C276" s="9">
        <f>'B) D RI'!U278</f>
        <v>834788.40991596645</v>
      </c>
      <c r="D276" s="35">
        <f>'B) D RI'!AR278</f>
        <v>6142</v>
      </c>
      <c r="E276" s="295">
        <f t="shared" si="45"/>
        <v>135.91475250992616</v>
      </c>
      <c r="F276" s="81">
        <f t="shared" si="40"/>
        <v>2.9078645306613167</v>
      </c>
      <c r="G276" s="85">
        <f t="shared" si="41"/>
        <v>79.8262720143031</v>
      </c>
      <c r="H276" s="85">
        <f t="shared" si="42"/>
        <v>65.804151890397321</v>
      </c>
      <c r="I276" s="85">
        <f t="shared" si="43"/>
        <v>42.433951683887713</v>
      </c>
      <c r="J276" s="85">
        <f t="shared" si="44"/>
        <v>0</v>
      </c>
      <c r="K276" s="298">
        <f t="shared" si="37"/>
        <v>39.561268282577622</v>
      </c>
      <c r="L276" s="133">
        <f>K276*D276*'B) D RI'!S278</f>
        <v>14457625.932599708</v>
      </c>
      <c r="M276" s="10">
        <f>(('B) D RI'!S278*C276)-L276)/'B) D RI'!S278</f>
        <v>591803.10012437461</v>
      </c>
      <c r="N276" s="136">
        <f t="shared" si="38"/>
        <v>96.353484227348517</v>
      </c>
      <c r="O276" s="75">
        <f t="shared" si="39"/>
        <v>2.1851309593486494</v>
      </c>
    </row>
    <row r="277" spans="1:15" x14ac:dyDescent="0.25">
      <c r="A277" s="53">
        <f>'A) Base RI'!A279</f>
        <v>5862</v>
      </c>
      <c r="B277" s="54" t="str">
        <f>'A) Base RI'!B279</f>
        <v>Tartegnin</v>
      </c>
      <c r="C277" s="9">
        <f>'B) D RI'!U279</f>
        <v>8301.4215873015874</v>
      </c>
      <c r="D277" s="35">
        <f>'B) D RI'!AR279</f>
        <v>236</v>
      </c>
      <c r="E277" s="295">
        <f t="shared" si="45"/>
        <v>35.175515200430453</v>
      </c>
      <c r="F277" s="81">
        <f t="shared" si="40"/>
        <v>0.7525719696366262</v>
      </c>
      <c r="G277" s="85">
        <f t="shared" si="41"/>
        <v>0</v>
      </c>
      <c r="H277" s="85">
        <f t="shared" si="42"/>
        <v>0</v>
      </c>
      <c r="I277" s="85">
        <f t="shared" si="43"/>
        <v>0</v>
      </c>
      <c r="J277" s="85">
        <f t="shared" si="44"/>
        <v>0</v>
      </c>
      <c r="K277" s="298">
        <f t="shared" si="37"/>
        <v>0</v>
      </c>
      <c r="L277" s="133">
        <f>K277*D277*'B) D RI'!S279</f>
        <v>0</v>
      </c>
      <c r="M277" s="10">
        <f>(('B) D RI'!S279*C277)-L277)/'B) D RI'!S279</f>
        <v>8301.4215873015874</v>
      </c>
      <c r="N277" s="136">
        <f t="shared" si="38"/>
        <v>35.175515200430453</v>
      </c>
      <c r="O277" s="75">
        <f t="shared" si="39"/>
        <v>0.79772006058586453</v>
      </c>
    </row>
    <row r="278" spans="1:15" x14ac:dyDescent="0.25">
      <c r="A278" s="53">
        <f>'A) Base RI'!A280</f>
        <v>5863</v>
      </c>
      <c r="B278" s="54" t="str">
        <f>'A) Base RI'!B280</f>
        <v>Vinzel</v>
      </c>
      <c r="C278" s="9">
        <f>'B) D RI'!U280</f>
        <v>24528.370999999999</v>
      </c>
      <c r="D278" s="35">
        <f>'B) D RI'!AR280</f>
        <v>352</v>
      </c>
      <c r="E278" s="295">
        <f t="shared" si="45"/>
        <v>69.682872159090905</v>
      </c>
      <c r="F278" s="81">
        <f t="shared" si="40"/>
        <v>1.4908488490329923</v>
      </c>
      <c r="G278" s="85">
        <f t="shared" si="41"/>
        <v>13.594391663467839</v>
      </c>
      <c r="H278" s="85">
        <f t="shared" si="42"/>
        <v>0</v>
      </c>
      <c r="I278" s="85">
        <f t="shared" si="43"/>
        <v>0</v>
      </c>
      <c r="J278" s="85">
        <f t="shared" si="44"/>
        <v>0</v>
      </c>
      <c r="K278" s="298">
        <f t="shared" si="37"/>
        <v>4.8939809988484217</v>
      </c>
      <c r="L278" s="133">
        <f>K278*D278*'B) D RI'!S280</f>
        <v>120587.69181162512</v>
      </c>
      <c r="M278" s="10">
        <f>(('B) D RI'!S280*C278)-L278)/'B) D RI'!S280</f>
        <v>22805.689688405353</v>
      </c>
      <c r="N278" s="136">
        <f t="shared" si="38"/>
        <v>64.788891160242486</v>
      </c>
      <c r="O278" s="75">
        <f t="shared" si="39"/>
        <v>1.4693003894085723</v>
      </c>
    </row>
    <row r="279" spans="1:15" x14ac:dyDescent="0.25">
      <c r="A279" s="53">
        <f>'A) Base RI'!A281</f>
        <v>5871</v>
      </c>
      <c r="B279" s="54" t="str">
        <f>'A) Base RI'!B281</f>
        <v>L'Abbaye</v>
      </c>
      <c r="C279" s="9">
        <f>'B) D RI'!U281</f>
        <v>41169.431926700228</v>
      </c>
      <c r="D279" s="35">
        <f>'B) D RI'!AR281</f>
        <v>1439</v>
      </c>
      <c r="E279" s="295">
        <f t="shared" si="45"/>
        <v>28.609751165184313</v>
      </c>
      <c r="F279" s="81">
        <f t="shared" si="40"/>
        <v>0.61209897459961127</v>
      </c>
      <c r="G279" s="85">
        <f t="shared" si="41"/>
        <v>0</v>
      </c>
      <c r="H279" s="85">
        <f t="shared" si="42"/>
        <v>0</v>
      </c>
      <c r="I279" s="85">
        <f t="shared" si="43"/>
        <v>0</v>
      </c>
      <c r="J279" s="85">
        <f t="shared" si="44"/>
        <v>0</v>
      </c>
      <c r="K279" s="298">
        <f t="shared" si="37"/>
        <v>0</v>
      </c>
      <c r="L279" s="133">
        <f>K279*D279*'B) D RI'!S281</f>
        <v>0</v>
      </c>
      <c r="M279" s="10">
        <f>(('B) D RI'!S281*C279)-L279)/'B) D RI'!S281</f>
        <v>41169.431926700228</v>
      </c>
      <c r="N279" s="136">
        <f t="shared" si="38"/>
        <v>28.609751165184313</v>
      </c>
      <c r="O279" s="75">
        <f t="shared" si="39"/>
        <v>0.64881984820390215</v>
      </c>
    </row>
    <row r="280" spans="1:15" x14ac:dyDescent="0.25">
      <c r="A280" s="53">
        <f>'A) Base RI'!A282</f>
        <v>5872</v>
      </c>
      <c r="B280" s="54" t="str">
        <f>'A) Base RI'!B282</f>
        <v>Le Chenit</v>
      </c>
      <c r="C280" s="9">
        <f>'B) D RI'!U282</f>
        <v>315523.99059233442</v>
      </c>
      <c r="D280" s="35">
        <f>'B) D RI'!AR282</f>
        <v>4608</v>
      </c>
      <c r="E280" s="295">
        <f t="shared" si="45"/>
        <v>68.473088236183685</v>
      </c>
      <c r="F280" s="81">
        <f t="shared" si="40"/>
        <v>1.4649658032692199</v>
      </c>
      <c r="G280" s="85">
        <f t="shared" si="41"/>
        <v>12.384607740560618</v>
      </c>
      <c r="H280" s="85">
        <f t="shared" si="42"/>
        <v>0</v>
      </c>
      <c r="I280" s="85">
        <f t="shared" si="43"/>
        <v>0</v>
      </c>
      <c r="J280" s="85">
        <f t="shared" si="44"/>
        <v>0</v>
      </c>
      <c r="K280" s="298">
        <f t="shared" si="37"/>
        <v>4.4584587866018222</v>
      </c>
      <c r="L280" s="133">
        <f>K280*D280*'B) D RI'!S282</f>
        <v>1431957.0927796855</v>
      </c>
      <c r="M280" s="10">
        <f>(('B) D RI'!S282*C280)-L280)/'B) D RI'!S282</f>
        <v>294979.41250367323</v>
      </c>
      <c r="N280" s="136">
        <f t="shared" si="38"/>
        <v>64.014629449581861</v>
      </c>
      <c r="O280" s="75">
        <f t="shared" si="39"/>
        <v>1.451741468232346</v>
      </c>
    </row>
    <row r="281" spans="1:15" x14ac:dyDescent="0.25">
      <c r="A281" s="53">
        <f>'A) Base RI'!A283</f>
        <v>5873</v>
      </c>
      <c r="B281" s="54" t="str">
        <f>'A) Base RI'!B283</f>
        <v>Le Lieu</v>
      </c>
      <c r="C281" s="9">
        <f>'B) D RI'!U283</f>
        <v>30587.067025641027</v>
      </c>
      <c r="D281" s="35">
        <f>'B) D RI'!AR283</f>
        <v>873</v>
      </c>
      <c r="E281" s="295">
        <f t="shared" si="45"/>
        <v>35.036731988134051</v>
      </c>
      <c r="F281" s="81">
        <f t="shared" si="40"/>
        <v>0.74960273507573127</v>
      </c>
      <c r="G281" s="85">
        <f t="shared" si="41"/>
        <v>0</v>
      </c>
      <c r="H281" s="85">
        <f t="shared" si="42"/>
        <v>0</v>
      </c>
      <c r="I281" s="85">
        <f t="shared" si="43"/>
        <v>0</v>
      </c>
      <c r="J281" s="85">
        <f t="shared" si="44"/>
        <v>0</v>
      </c>
      <c r="K281" s="298">
        <f t="shared" si="37"/>
        <v>0</v>
      </c>
      <c r="L281" s="133">
        <f>K281*D281*'B) D RI'!S283</f>
        <v>0</v>
      </c>
      <c r="M281" s="10">
        <f>(('B) D RI'!S283*C281)-L281)/'B) D RI'!S283</f>
        <v>30587.067025641027</v>
      </c>
      <c r="N281" s="136">
        <f t="shared" si="38"/>
        <v>35.036731988134051</v>
      </c>
      <c r="O281" s="75">
        <f t="shared" si="39"/>
        <v>0.79457269652053208</v>
      </c>
    </row>
    <row r="282" spans="1:15" x14ac:dyDescent="0.25">
      <c r="A282" s="53">
        <f>'A) Base RI'!A284</f>
        <v>5881</v>
      </c>
      <c r="B282" s="54" t="str">
        <f>'A) Base RI'!B284</f>
        <v>Blonay</v>
      </c>
      <c r="C282" s="9">
        <f>'B) D RI'!U284</f>
        <v>332407.86157142854</v>
      </c>
      <c r="D282" s="35">
        <f>'B) D RI'!AR284</f>
        <v>6116</v>
      </c>
      <c r="E282" s="295">
        <f t="shared" si="45"/>
        <v>54.350533285060258</v>
      </c>
      <c r="F282" s="81">
        <f t="shared" si="40"/>
        <v>1.1628170234913366</v>
      </c>
      <c r="G282" s="85">
        <f t="shared" si="41"/>
        <v>0</v>
      </c>
      <c r="H282" s="85">
        <f t="shared" si="42"/>
        <v>0</v>
      </c>
      <c r="I282" s="85">
        <f t="shared" si="43"/>
        <v>0</v>
      </c>
      <c r="J282" s="85">
        <f t="shared" si="44"/>
        <v>0</v>
      </c>
      <c r="K282" s="298">
        <f t="shared" si="37"/>
        <v>0</v>
      </c>
      <c r="L282" s="133">
        <f>K282*D282*'B) D RI'!S284</f>
        <v>0</v>
      </c>
      <c r="M282" s="10">
        <f>(('B) D RI'!S284*C282)-L282)/'B) D RI'!S284</f>
        <v>332407.86157142854</v>
      </c>
      <c r="N282" s="136">
        <f t="shared" si="38"/>
        <v>54.350533285060258</v>
      </c>
      <c r="O282" s="75">
        <f t="shared" si="39"/>
        <v>1.2325764230598035</v>
      </c>
    </row>
    <row r="283" spans="1:15" x14ac:dyDescent="0.25">
      <c r="A283" s="53">
        <f>'A) Base RI'!A285</f>
        <v>5882</v>
      </c>
      <c r="B283" s="54" t="str">
        <f>'A) Base RI'!B285</f>
        <v>Chardonne</v>
      </c>
      <c r="C283" s="9">
        <f>'B) D RI'!U285</f>
        <v>151089.46617647054</v>
      </c>
      <c r="D283" s="35">
        <f>'B) D RI'!AR285</f>
        <v>2916</v>
      </c>
      <c r="E283" s="295">
        <f t="shared" si="45"/>
        <v>51.813945876704572</v>
      </c>
      <c r="F283" s="81">
        <f t="shared" si="40"/>
        <v>1.1085473256295029</v>
      </c>
      <c r="G283" s="85">
        <f t="shared" si="41"/>
        <v>0</v>
      </c>
      <c r="H283" s="85">
        <f t="shared" si="42"/>
        <v>0</v>
      </c>
      <c r="I283" s="85">
        <f t="shared" si="43"/>
        <v>0</v>
      </c>
      <c r="J283" s="85">
        <f t="shared" si="44"/>
        <v>0</v>
      </c>
      <c r="K283" s="298">
        <f t="shared" si="37"/>
        <v>0</v>
      </c>
      <c r="L283" s="133">
        <f>K283*D283*'B) D RI'!S285</f>
        <v>0</v>
      </c>
      <c r="M283" s="10">
        <f>(('B) D RI'!S285*C283)-L283)/'B) D RI'!S285</f>
        <v>151089.46617647054</v>
      </c>
      <c r="N283" s="136">
        <f t="shared" si="38"/>
        <v>51.813945876704572</v>
      </c>
      <c r="O283" s="75">
        <f t="shared" si="39"/>
        <v>1.1750509923860808</v>
      </c>
    </row>
    <row r="284" spans="1:15" x14ac:dyDescent="0.25">
      <c r="A284" s="53">
        <f>'A) Base RI'!A286</f>
        <v>5883</v>
      </c>
      <c r="B284" s="54" t="str">
        <f>'A) Base RI'!B286</f>
        <v>Corseaux</v>
      </c>
      <c r="C284" s="9">
        <f>'B) D RI'!U286</f>
        <v>151117.63015625</v>
      </c>
      <c r="D284" s="35">
        <f>'B) D RI'!AR286</f>
        <v>2212</v>
      </c>
      <c r="E284" s="295">
        <f t="shared" si="45"/>
        <v>68.317192656532555</v>
      </c>
      <c r="F284" s="81">
        <f t="shared" si="40"/>
        <v>1.4616304535872837</v>
      </c>
      <c r="G284" s="85">
        <f t="shared" si="41"/>
        <v>12.228712160909488</v>
      </c>
      <c r="H284" s="85">
        <f t="shared" si="42"/>
        <v>0</v>
      </c>
      <c r="I284" s="85">
        <f t="shared" si="43"/>
        <v>0</v>
      </c>
      <c r="J284" s="85">
        <f t="shared" si="44"/>
        <v>0</v>
      </c>
      <c r="K284" s="298">
        <f t="shared" si="37"/>
        <v>4.4023363779274156</v>
      </c>
      <c r="L284" s="133">
        <f>K284*D284*'B) D RI'!S286</f>
        <v>623229.9563504284</v>
      </c>
      <c r="M284" s="10">
        <f>(('B) D RI'!S286*C284)-L284)/'B) D RI'!S286</f>
        <v>141379.66208827455</v>
      </c>
      <c r="N284" s="136">
        <f t="shared" si="38"/>
        <v>63.914856278605129</v>
      </c>
      <c r="O284" s="75">
        <f t="shared" si="39"/>
        <v>1.4494787846712696</v>
      </c>
    </row>
    <row r="285" spans="1:15" x14ac:dyDescent="0.25">
      <c r="A285" s="53">
        <f>'A) Base RI'!A287</f>
        <v>5884</v>
      </c>
      <c r="B285" s="54" t="str">
        <f>'A) Base RI'!B287</f>
        <v>Corsier-sur-Vevey</v>
      </c>
      <c r="C285" s="9">
        <f>'B) D RI'!U287</f>
        <v>116440.6211111111</v>
      </c>
      <c r="D285" s="35">
        <f>'B) D RI'!AR287</f>
        <v>3403</v>
      </c>
      <c r="E285" s="295">
        <f t="shared" si="45"/>
        <v>34.217049988572171</v>
      </c>
      <c r="F285" s="81">
        <f t="shared" si="40"/>
        <v>0.73206582926579389</v>
      </c>
      <c r="G285" s="85">
        <f t="shared" si="41"/>
        <v>0</v>
      </c>
      <c r="H285" s="85">
        <f t="shared" si="42"/>
        <v>0</v>
      </c>
      <c r="I285" s="85">
        <f t="shared" si="43"/>
        <v>0</v>
      </c>
      <c r="J285" s="85">
        <f t="shared" si="44"/>
        <v>0</v>
      </c>
      <c r="K285" s="298">
        <f t="shared" si="37"/>
        <v>0</v>
      </c>
      <c r="L285" s="133">
        <f>K285*D285*'B) D RI'!S287</f>
        <v>0</v>
      </c>
      <c r="M285" s="10">
        <f>(('B) D RI'!S287*C285)-L285)/'B) D RI'!S287</f>
        <v>116440.6211111111</v>
      </c>
      <c r="N285" s="136">
        <f t="shared" si="38"/>
        <v>34.217049988572171</v>
      </c>
      <c r="O285" s="75">
        <f t="shared" si="39"/>
        <v>0.77598372147280792</v>
      </c>
    </row>
    <row r="286" spans="1:15" x14ac:dyDescent="0.25">
      <c r="A286" s="53">
        <f>'A) Base RI'!A288</f>
        <v>5885</v>
      </c>
      <c r="B286" s="54" t="str">
        <f>'A) Base RI'!B288</f>
        <v>Jongny</v>
      </c>
      <c r="C286" s="9">
        <f>'B) D RI'!U288</f>
        <v>81843.123028169022</v>
      </c>
      <c r="D286" s="35">
        <f>'B) D RI'!AR288</f>
        <v>1488</v>
      </c>
      <c r="E286" s="295">
        <f t="shared" si="45"/>
        <v>55.002098809253376</v>
      </c>
      <c r="F286" s="81">
        <f t="shared" si="40"/>
        <v>1.1767571163967374</v>
      </c>
      <c r="G286" s="85">
        <f t="shared" si="41"/>
        <v>0</v>
      </c>
      <c r="H286" s="85">
        <f t="shared" si="42"/>
        <v>0</v>
      </c>
      <c r="I286" s="85">
        <f t="shared" si="43"/>
        <v>0</v>
      </c>
      <c r="J286" s="85">
        <f t="shared" si="44"/>
        <v>0</v>
      </c>
      <c r="K286" s="298">
        <f t="shared" si="37"/>
        <v>0</v>
      </c>
      <c r="L286" s="133">
        <f>K286*D286*'B) D RI'!S288</f>
        <v>0</v>
      </c>
      <c r="M286" s="10">
        <f>(('B) D RI'!S288*C286)-L286)/'B) D RI'!S288</f>
        <v>81843.123028169022</v>
      </c>
      <c r="N286" s="136">
        <f t="shared" si="38"/>
        <v>55.002098809253376</v>
      </c>
      <c r="O286" s="75">
        <f t="shared" si="39"/>
        <v>1.2473528061908921</v>
      </c>
    </row>
    <row r="287" spans="1:15" x14ac:dyDescent="0.25">
      <c r="A287" s="53">
        <f>'A) Base RI'!A289</f>
        <v>5886</v>
      </c>
      <c r="B287" s="54" t="str">
        <f>'A) Base RI'!B289</f>
        <v>Montreux</v>
      </c>
      <c r="C287" s="9">
        <f>'B) D RI'!U289</f>
        <v>1175239.0178974359</v>
      </c>
      <c r="D287" s="35">
        <f>'B) D RI'!AR289</f>
        <v>26402</v>
      </c>
      <c r="E287" s="295">
        <f t="shared" si="45"/>
        <v>44.513257249353686</v>
      </c>
      <c r="F287" s="81">
        <f t="shared" si="40"/>
        <v>0.95235078980955457</v>
      </c>
      <c r="G287" s="85">
        <f t="shared" si="41"/>
        <v>0</v>
      </c>
      <c r="H287" s="85">
        <f t="shared" si="42"/>
        <v>0</v>
      </c>
      <c r="I287" s="85">
        <f t="shared" si="43"/>
        <v>0</v>
      </c>
      <c r="J287" s="85">
        <f t="shared" si="44"/>
        <v>0</v>
      </c>
      <c r="K287" s="298">
        <f t="shared" si="37"/>
        <v>0</v>
      </c>
      <c r="L287" s="133">
        <f>K287*D287*'B) D RI'!S289</f>
        <v>0</v>
      </c>
      <c r="M287" s="10">
        <f>(('B) D RI'!S289*C287)-L287)/'B) D RI'!S289</f>
        <v>1175239.0178974359</v>
      </c>
      <c r="N287" s="136">
        <f t="shared" si="38"/>
        <v>44.513257249353686</v>
      </c>
      <c r="O287" s="75">
        <f t="shared" si="39"/>
        <v>1.0094839568801557</v>
      </c>
    </row>
    <row r="288" spans="1:15" x14ac:dyDescent="0.25">
      <c r="A288" s="53">
        <f>'A) Base RI'!A290</f>
        <v>5888</v>
      </c>
      <c r="B288" s="54" t="str">
        <f>'A) Base RI'!B290</f>
        <v>Saint-Légier-La Chiésaz</v>
      </c>
      <c r="C288" s="9">
        <f>'B) D RI'!U290</f>
        <v>307135.62007462693</v>
      </c>
      <c r="D288" s="35">
        <f>'B) D RI'!AR290</f>
        <v>5130</v>
      </c>
      <c r="E288" s="295">
        <f t="shared" si="45"/>
        <v>59.870491242617334</v>
      </c>
      <c r="F288" s="81">
        <f t="shared" si="40"/>
        <v>1.2809152406392481</v>
      </c>
      <c r="G288" s="85">
        <f t="shared" si="41"/>
        <v>3.782010746994267</v>
      </c>
      <c r="H288" s="85">
        <f t="shared" si="42"/>
        <v>0</v>
      </c>
      <c r="I288" s="85">
        <f t="shared" si="43"/>
        <v>0</v>
      </c>
      <c r="J288" s="85">
        <f t="shared" si="44"/>
        <v>0</v>
      </c>
      <c r="K288" s="298">
        <f t="shared" si="37"/>
        <v>1.3615238689179361</v>
      </c>
      <c r="L288" s="133">
        <f>K288*D288*'B) D RI'!S290</f>
        <v>467969.36898578383</v>
      </c>
      <c r="M288" s="10">
        <f>(('B) D RI'!S290*C288)-L288)/'B) D RI'!S290</f>
        <v>300151.00262707792</v>
      </c>
      <c r="N288" s="136">
        <f t="shared" si="38"/>
        <v>58.508967373699399</v>
      </c>
      <c r="O288" s="75">
        <f t="shared" si="39"/>
        <v>1.3268825412283569</v>
      </c>
    </row>
    <row r="289" spans="1:15" x14ac:dyDescent="0.25">
      <c r="A289" s="53">
        <f>'A) Base RI'!A291</f>
        <v>5889</v>
      </c>
      <c r="B289" s="54" t="str">
        <f>'A) Base RI'!B291</f>
        <v>La Tour-de-Peilz</v>
      </c>
      <c r="C289" s="9">
        <f>'B) D RI'!U291</f>
        <v>618611.02559895837</v>
      </c>
      <c r="D289" s="35">
        <f>'B) D RI'!AR291</f>
        <v>11637</v>
      </c>
      <c r="E289" s="295">
        <f t="shared" si="45"/>
        <v>53.158977880807626</v>
      </c>
      <c r="F289" s="81">
        <f t="shared" si="40"/>
        <v>1.1373239726461681</v>
      </c>
      <c r="G289" s="85">
        <f t="shared" si="41"/>
        <v>0</v>
      </c>
      <c r="H289" s="85">
        <f t="shared" si="42"/>
        <v>0</v>
      </c>
      <c r="I289" s="85">
        <f t="shared" si="43"/>
        <v>0</v>
      </c>
      <c r="J289" s="85">
        <f t="shared" si="44"/>
        <v>0</v>
      </c>
      <c r="K289" s="298">
        <f t="shared" si="37"/>
        <v>0</v>
      </c>
      <c r="L289" s="133">
        <f>K289*D289*'B) D RI'!S291</f>
        <v>0</v>
      </c>
      <c r="M289" s="10">
        <f>(('B) D RI'!S291*C289)-L289)/'B) D RI'!S291</f>
        <v>618611.02559895837</v>
      </c>
      <c r="N289" s="136">
        <f t="shared" si="38"/>
        <v>53.158977880807626</v>
      </c>
      <c r="O289" s="75">
        <f t="shared" si="39"/>
        <v>1.2055540001086198</v>
      </c>
    </row>
    <row r="290" spans="1:15" x14ac:dyDescent="0.25">
      <c r="A290" s="53">
        <f>'A) Base RI'!A292</f>
        <v>5890</v>
      </c>
      <c r="B290" s="54" t="str">
        <f>'A) Base RI'!B292</f>
        <v>Vevey</v>
      </c>
      <c r="C290" s="9">
        <f>'B) D RI'!U292</f>
        <v>909212.90865296812</v>
      </c>
      <c r="D290" s="35">
        <f>'B) D RI'!AR292</f>
        <v>19605</v>
      </c>
      <c r="E290" s="295">
        <f t="shared" si="45"/>
        <v>46.376582945828517</v>
      </c>
      <c r="F290" s="81">
        <f t="shared" si="40"/>
        <v>0.99221620987462988</v>
      </c>
      <c r="G290" s="85">
        <f t="shared" si="41"/>
        <v>0</v>
      </c>
      <c r="H290" s="85">
        <f t="shared" si="42"/>
        <v>0</v>
      </c>
      <c r="I290" s="85">
        <f t="shared" si="43"/>
        <v>0</v>
      </c>
      <c r="J290" s="85">
        <f t="shared" si="44"/>
        <v>0</v>
      </c>
      <c r="K290" s="298">
        <f t="shared" si="37"/>
        <v>0</v>
      </c>
      <c r="L290" s="133">
        <f>K290*D290*'B) D RI'!S292</f>
        <v>0</v>
      </c>
      <c r="M290" s="10">
        <f>(('B) D RI'!S292*C290)-L290)/'B) D RI'!S292</f>
        <v>909212.90865296812</v>
      </c>
      <c r="N290" s="136">
        <f t="shared" si="38"/>
        <v>46.376582945828517</v>
      </c>
      <c r="O290" s="75">
        <f t="shared" si="39"/>
        <v>1.0517409722788926</v>
      </c>
    </row>
    <row r="291" spans="1:15" x14ac:dyDescent="0.25">
      <c r="A291" s="53">
        <f>'A) Base RI'!A293</f>
        <v>5891</v>
      </c>
      <c r="B291" s="54" t="str">
        <f>'A) Base RI'!B293</f>
        <v>Veytaux</v>
      </c>
      <c r="C291" s="9">
        <f>'B) D RI'!U293</f>
        <v>39510.481835748789</v>
      </c>
      <c r="D291" s="35">
        <f>'B) D RI'!AR293</f>
        <v>850</v>
      </c>
      <c r="E291" s="295">
        <f t="shared" si="45"/>
        <v>46.482919806763284</v>
      </c>
      <c r="F291" s="81">
        <f t="shared" si="40"/>
        <v>0.99449126229170648</v>
      </c>
      <c r="G291" s="85">
        <f t="shared" si="41"/>
        <v>0</v>
      </c>
      <c r="H291" s="85">
        <f t="shared" si="42"/>
        <v>0</v>
      </c>
      <c r="I291" s="85">
        <f t="shared" si="43"/>
        <v>0</v>
      </c>
      <c r="J291" s="85">
        <f t="shared" si="44"/>
        <v>0</v>
      </c>
      <c r="K291" s="298">
        <f t="shared" si="37"/>
        <v>0</v>
      </c>
      <c r="L291" s="133">
        <f>K291*D291*'B) D RI'!S293</f>
        <v>0</v>
      </c>
      <c r="M291" s="10">
        <f>(('B) D RI'!S293*C291)-L291)/'B) D RI'!S293</f>
        <v>39510.481835748789</v>
      </c>
      <c r="N291" s="136">
        <f t="shared" si="38"/>
        <v>46.482919806763284</v>
      </c>
      <c r="O291" s="75">
        <f t="shared" si="39"/>
        <v>1.0541525090158543</v>
      </c>
    </row>
    <row r="292" spans="1:15" x14ac:dyDescent="0.25">
      <c r="A292" s="53">
        <f>'A) Base RI'!A294</f>
        <v>5902</v>
      </c>
      <c r="B292" s="54" t="str">
        <f>'A) Base RI'!B294</f>
        <v>Belmont-sur-Yverdon</v>
      </c>
      <c r="C292" s="9">
        <f>'B) D RI'!U294</f>
        <v>9227.1448684210518</v>
      </c>
      <c r="D292" s="35">
        <f>'B) D RI'!AR294</f>
        <v>368</v>
      </c>
      <c r="E292" s="295">
        <f t="shared" si="45"/>
        <v>25.073763229405031</v>
      </c>
      <c r="F292" s="81">
        <f t="shared" si="40"/>
        <v>0.53644733480761764</v>
      </c>
      <c r="G292" s="85">
        <f t="shared" si="41"/>
        <v>0</v>
      </c>
      <c r="H292" s="85">
        <f t="shared" si="42"/>
        <v>0</v>
      </c>
      <c r="I292" s="85">
        <f t="shared" si="43"/>
        <v>0</v>
      </c>
      <c r="J292" s="85">
        <f t="shared" si="44"/>
        <v>0</v>
      </c>
      <c r="K292" s="298">
        <f t="shared" si="37"/>
        <v>0</v>
      </c>
      <c r="L292" s="133">
        <f>K292*D292*'B) D RI'!S294</f>
        <v>0</v>
      </c>
      <c r="M292" s="10">
        <f>(('B) D RI'!S294*C292)-L292)/'B) D RI'!S294</f>
        <v>9227.1448684210518</v>
      </c>
      <c r="N292" s="136">
        <f t="shared" si="38"/>
        <v>25.073763229405031</v>
      </c>
      <c r="O292" s="75">
        <f t="shared" si="39"/>
        <v>0.56862973601113975</v>
      </c>
    </row>
    <row r="293" spans="1:15" x14ac:dyDescent="0.25">
      <c r="A293" s="53">
        <f>'A) Base RI'!A295</f>
        <v>5903</v>
      </c>
      <c r="B293" s="54" t="str">
        <f>'A) Base RI'!B295</f>
        <v>Bioley-Magnoux</v>
      </c>
      <c r="C293" s="9">
        <f>'B) D RI'!U295</f>
        <v>5953.911158301159</v>
      </c>
      <c r="D293" s="35">
        <f>'B) D RI'!AR295</f>
        <v>230</v>
      </c>
      <c r="E293" s="295">
        <f t="shared" si="45"/>
        <v>25.886570253483299</v>
      </c>
      <c r="F293" s="81">
        <f t="shared" si="40"/>
        <v>0.55383715211546991</v>
      </c>
      <c r="G293" s="85">
        <f t="shared" si="41"/>
        <v>0</v>
      </c>
      <c r="H293" s="85">
        <f t="shared" si="42"/>
        <v>0</v>
      </c>
      <c r="I293" s="85">
        <f t="shared" si="43"/>
        <v>0</v>
      </c>
      <c r="J293" s="85">
        <f t="shared" si="44"/>
        <v>0</v>
      </c>
      <c r="K293" s="298">
        <f t="shared" si="37"/>
        <v>0</v>
      </c>
      <c r="L293" s="133">
        <f>K293*D293*'B) D RI'!S295</f>
        <v>0</v>
      </c>
      <c r="M293" s="10">
        <f>(('B) D RI'!S295*C293)-L293)/'B) D RI'!S295</f>
        <v>5953.911158301159</v>
      </c>
      <c r="N293" s="136">
        <f t="shared" si="38"/>
        <v>25.886570253483299</v>
      </c>
      <c r="O293" s="75">
        <f t="shared" si="39"/>
        <v>0.58706279846375164</v>
      </c>
    </row>
    <row r="294" spans="1:15" x14ac:dyDescent="0.25">
      <c r="A294" s="53">
        <f>'A) Base RI'!A296</f>
        <v>5904</v>
      </c>
      <c r="B294" s="54" t="str">
        <f>'A) Base RI'!B296</f>
        <v>Chamblon</v>
      </c>
      <c r="C294" s="9">
        <f>'B) D RI'!U296</f>
        <v>22914.009848484849</v>
      </c>
      <c r="D294" s="35">
        <f>'B) D RI'!AR296</f>
        <v>548</v>
      </c>
      <c r="E294" s="295">
        <f t="shared" si="45"/>
        <v>41.813886584826371</v>
      </c>
      <c r="F294" s="81">
        <f t="shared" si="40"/>
        <v>0.89459838202796815</v>
      </c>
      <c r="G294" s="85">
        <f t="shared" si="41"/>
        <v>0</v>
      </c>
      <c r="H294" s="85">
        <f t="shared" si="42"/>
        <v>0</v>
      </c>
      <c r="I294" s="85">
        <f t="shared" si="43"/>
        <v>0</v>
      </c>
      <c r="J294" s="85">
        <f t="shared" si="44"/>
        <v>0</v>
      </c>
      <c r="K294" s="298">
        <f t="shared" si="37"/>
        <v>0</v>
      </c>
      <c r="L294" s="133">
        <f>K294*D294*'B) D RI'!S296</f>
        <v>0</v>
      </c>
      <c r="M294" s="10">
        <f>(('B) D RI'!S296*C294)-L294)/'B) D RI'!S296</f>
        <v>22914.009848484849</v>
      </c>
      <c r="N294" s="136">
        <f t="shared" si="38"/>
        <v>41.813886584826371</v>
      </c>
      <c r="O294" s="75">
        <f t="shared" si="39"/>
        <v>0.94826688250951263</v>
      </c>
    </row>
    <row r="295" spans="1:15" x14ac:dyDescent="0.25">
      <c r="A295" s="53">
        <f>'A) Base RI'!A297</f>
        <v>5905</v>
      </c>
      <c r="B295" s="54" t="str">
        <f>'A) Base RI'!B297</f>
        <v>Champvent</v>
      </c>
      <c r="C295" s="9">
        <f>'B) D RI'!U297</f>
        <v>21038.740140845071</v>
      </c>
      <c r="D295" s="35">
        <f>'B) D RI'!AR297</f>
        <v>652</v>
      </c>
      <c r="E295" s="295">
        <f t="shared" si="45"/>
        <v>32.268006350989374</v>
      </c>
      <c r="F295" s="81">
        <f t="shared" si="40"/>
        <v>0.69036649377957271</v>
      </c>
      <c r="G295" s="85">
        <f t="shared" si="41"/>
        <v>0</v>
      </c>
      <c r="H295" s="85">
        <f t="shared" si="42"/>
        <v>0</v>
      </c>
      <c r="I295" s="85">
        <f t="shared" si="43"/>
        <v>0</v>
      </c>
      <c r="J295" s="85">
        <f t="shared" si="44"/>
        <v>0</v>
      </c>
      <c r="K295" s="298">
        <f t="shared" si="37"/>
        <v>0</v>
      </c>
      <c r="L295" s="133">
        <f>K295*D295*'B) D RI'!S297</f>
        <v>0</v>
      </c>
      <c r="M295" s="10">
        <f>(('B) D RI'!S297*C295)-L295)/'B) D RI'!S297</f>
        <v>21038.740140845071</v>
      </c>
      <c r="N295" s="136">
        <f t="shared" si="38"/>
        <v>32.268006350989374</v>
      </c>
      <c r="O295" s="75">
        <f t="shared" si="39"/>
        <v>0.73178277090256538</v>
      </c>
    </row>
    <row r="296" spans="1:15" x14ac:dyDescent="0.25">
      <c r="A296" s="53">
        <f>'A) Base RI'!A298</f>
        <v>5907</v>
      </c>
      <c r="B296" s="54" t="str">
        <f>'A) Base RI'!B298</f>
        <v>Chavannes-le-Chêne</v>
      </c>
      <c r="C296" s="9">
        <f>'B) D RI'!U298</f>
        <v>8819.3566666666684</v>
      </c>
      <c r="D296" s="35">
        <f>'B) D RI'!AR298</f>
        <v>300</v>
      </c>
      <c r="E296" s="295">
        <f t="shared" si="45"/>
        <v>29.397855555555562</v>
      </c>
      <c r="F296" s="81">
        <f t="shared" si="40"/>
        <v>0.62896028480250221</v>
      </c>
      <c r="G296" s="85">
        <f t="shared" si="41"/>
        <v>0</v>
      </c>
      <c r="H296" s="85">
        <f t="shared" si="42"/>
        <v>0</v>
      </c>
      <c r="I296" s="85">
        <f t="shared" si="43"/>
        <v>0</v>
      </c>
      <c r="J296" s="85">
        <f t="shared" si="44"/>
        <v>0</v>
      </c>
      <c r="K296" s="298">
        <f t="shared" si="37"/>
        <v>0</v>
      </c>
      <c r="L296" s="133">
        <f>K296*D296*'B) D RI'!S298</f>
        <v>0</v>
      </c>
      <c r="M296" s="10">
        <f>(('B) D RI'!S298*C296)-L296)/'B) D RI'!S298</f>
        <v>8819.3566666666684</v>
      </c>
      <c r="N296" s="136">
        <f t="shared" si="38"/>
        <v>29.397855555555562</v>
      </c>
      <c r="O296" s="75">
        <f t="shared" si="39"/>
        <v>0.66669269749843763</v>
      </c>
    </row>
    <row r="297" spans="1:15" x14ac:dyDescent="0.25">
      <c r="A297" s="53">
        <f>'A) Base RI'!A299</f>
        <v>5908</v>
      </c>
      <c r="B297" s="54" t="str">
        <f>'A) Base RI'!B299</f>
        <v>Chêne-Pâquier</v>
      </c>
      <c r="C297" s="9">
        <f>'B) D RI'!U299</f>
        <v>2915.1287341772154</v>
      </c>
      <c r="D297" s="35">
        <f>'B) D RI'!AR299</f>
        <v>140</v>
      </c>
      <c r="E297" s="295">
        <f t="shared" si="45"/>
        <v>20.822348101265824</v>
      </c>
      <c r="F297" s="81">
        <f t="shared" si="40"/>
        <v>0.44548929656721337</v>
      </c>
      <c r="G297" s="85">
        <f t="shared" si="41"/>
        <v>0</v>
      </c>
      <c r="H297" s="85">
        <f t="shared" si="42"/>
        <v>0</v>
      </c>
      <c r="I297" s="85">
        <f t="shared" si="43"/>
        <v>0</v>
      </c>
      <c r="J297" s="85">
        <f t="shared" si="44"/>
        <v>0</v>
      </c>
      <c r="K297" s="298">
        <f t="shared" si="37"/>
        <v>0</v>
      </c>
      <c r="L297" s="133">
        <f>K297*D297*'B) D RI'!S299</f>
        <v>0</v>
      </c>
      <c r="M297" s="10">
        <f>(('B) D RI'!S299*C297)-L297)/'B) D RI'!S299</f>
        <v>2915.1287341772154</v>
      </c>
      <c r="N297" s="136">
        <f t="shared" si="38"/>
        <v>20.822348101265824</v>
      </c>
      <c r="O297" s="75">
        <f t="shared" si="39"/>
        <v>0.47221496811732461</v>
      </c>
    </row>
    <row r="298" spans="1:15" x14ac:dyDescent="0.25">
      <c r="A298" s="53">
        <f>'A) Base RI'!A300</f>
        <v>5909</v>
      </c>
      <c r="B298" s="54" t="str">
        <f>'A) Base RI'!B300</f>
        <v>Cheseaux-Noréaz</v>
      </c>
      <c r="C298" s="9">
        <f>'B) D RI'!U300</f>
        <v>24771.110857142852</v>
      </c>
      <c r="D298" s="35">
        <f>'B) D RI'!AR300</f>
        <v>670</v>
      </c>
      <c r="E298" s="295">
        <f t="shared" si="45"/>
        <v>36.971807249466941</v>
      </c>
      <c r="F298" s="81">
        <f t="shared" si="40"/>
        <v>0.79100322039964155</v>
      </c>
      <c r="G298" s="85">
        <f t="shared" si="41"/>
        <v>0</v>
      </c>
      <c r="H298" s="85">
        <f t="shared" si="42"/>
        <v>0</v>
      </c>
      <c r="I298" s="85">
        <f t="shared" si="43"/>
        <v>0</v>
      </c>
      <c r="J298" s="85">
        <f t="shared" si="44"/>
        <v>0</v>
      </c>
      <c r="K298" s="298">
        <f t="shared" si="37"/>
        <v>0</v>
      </c>
      <c r="L298" s="133">
        <f>K298*D298*'B) D RI'!S300</f>
        <v>0</v>
      </c>
      <c r="M298" s="10">
        <f>(('B) D RI'!S300*C298)-L298)/'B) D RI'!S300</f>
        <v>24771.110857142852</v>
      </c>
      <c r="N298" s="136">
        <f t="shared" si="38"/>
        <v>36.971807249466941</v>
      </c>
      <c r="O298" s="75">
        <f t="shared" si="39"/>
        <v>0.8384568683915895</v>
      </c>
    </row>
    <row r="299" spans="1:15" x14ac:dyDescent="0.25">
      <c r="A299" s="53">
        <f>'A) Base RI'!A301</f>
        <v>5910</v>
      </c>
      <c r="B299" s="54" t="str">
        <f>'A) Base RI'!B301</f>
        <v>Cronay</v>
      </c>
      <c r="C299" s="9">
        <f>'B) D RI'!U301</f>
        <v>10097.267848101266</v>
      </c>
      <c r="D299" s="35">
        <f>'B) D RI'!AR301</f>
        <v>380</v>
      </c>
      <c r="E299" s="295">
        <f t="shared" si="45"/>
        <v>26.571757495003332</v>
      </c>
      <c r="F299" s="81">
        <f t="shared" si="40"/>
        <v>0.56849657384625119</v>
      </c>
      <c r="G299" s="85">
        <f t="shared" si="41"/>
        <v>0</v>
      </c>
      <c r="H299" s="85">
        <f t="shared" si="42"/>
        <v>0</v>
      </c>
      <c r="I299" s="85">
        <f t="shared" si="43"/>
        <v>0</v>
      </c>
      <c r="J299" s="85">
        <f t="shared" si="44"/>
        <v>0</v>
      </c>
      <c r="K299" s="298">
        <f t="shared" si="37"/>
        <v>0</v>
      </c>
      <c r="L299" s="133">
        <f>K299*D299*'B) D RI'!S301</f>
        <v>0</v>
      </c>
      <c r="M299" s="10">
        <f>(('B) D RI'!S301*C299)-L299)/'B) D RI'!S301</f>
        <v>10097.267848101266</v>
      </c>
      <c r="N299" s="136">
        <f t="shared" si="38"/>
        <v>26.571757495003332</v>
      </c>
      <c r="O299" s="75">
        <f t="shared" si="39"/>
        <v>0.60260166419758843</v>
      </c>
    </row>
    <row r="300" spans="1:15" x14ac:dyDescent="0.25">
      <c r="A300" s="53">
        <f>'A) Base RI'!A302</f>
        <v>5911</v>
      </c>
      <c r="B300" s="54" t="str">
        <f>'A) Base RI'!B302</f>
        <v>Cuarny</v>
      </c>
      <c r="C300" s="9">
        <f>'B) D RI'!U302</f>
        <v>7741.5774683544305</v>
      </c>
      <c r="D300" s="35">
        <f>'B) D RI'!AR302</f>
        <v>237</v>
      </c>
      <c r="E300" s="295">
        <f t="shared" si="45"/>
        <v>32.664883832719113</v>
      </c>
      <c r="F300" s="81">
        <f t="shared" si="40"/>
        <v>0.69885759522976898</v>
      </c>
      <c r="G300" s="85">
        <f t="shared" si="41"/>
        <v>0</v>
      </c>
      <c r="H300" s="85">
        <f t="shared" si="42"/>
        <v>0</v>
      </c>
      <c r="I300" s="85">
        <f t="shared" si="43"/>
        <v>0</v>
      </c>
      <c r="J300" s="85">
        <f t="shared" si="44"/>
        <v>0</v>
      </c>
      <c r="K300" s="298">
        <f t="shared" si="37"/>
        <v>0</v>
      </c>
      <c r="L300" s="133">
        <f>K300*D300*'B) D RI'!S302</f>
        <v>0</v>
      </c>
      <c r="M300" s="10">
        <f>(('B) D RI'!S302*C300)-L300)/'B) D RI'!S302</f>
        <v>7741.5774683544305</v>
      </c>
      <c r="N300" s="136">
        <f t="shared" si="38"/>
        <v>32.664883832719113</v>
      </c>
      <c r="O300" s="75">
        <f t="shared" si="39"/>
        <v>0.74078326817933982</v>
      </c>
    </row>
    <row r="301" spans="1:15" x14ac:dyDescent="0.25">
      <c r="A301" s="53">
        <f>'A) Base RI'!A303</f>
        <v>5912</v>
      </c>
      <c r="B301" s="54" t="str">
        <f>'A) Base RI'!B303</f>
        <v>Démoret</v>
      </c>
      <c r="C301" s="9">
        <f>'B) D RI'!U303</f>
        <v>2761.8208641975311</v>
      </c>
      <c r="D301" s="35">
        <f>'B) D RI'!AR303</f>
        <v>126</v>
      </c>
      <c r="E301" s="295">
        <f t="shared" si="45"/>
        <v>21.919213207916915</v>
      </c>
      <c r="F301" s="81">
        <f t="shared" si="40"/>
        <v>0.46895647051007006</v>
      </c>
      <c r="G301" s="85">
        <f t="shared" si="41"/>
        <v>0</v>
      </c>
      <c r="H301" s="85">
        <f t="shared" si="42"/>
        <v>0</v>
      </c>
      <c r="I301" s="85">
        <f t="shared" si="43"/>
        <v>0</v>
      </c>
      <c r="J301" s="85">
        <f t="shared" si="44"/>
        <v>0</v>
      </c>
      <c r="K301" s="298">
        <f t="shared" si="37"/>
        <v>0</v>
      </c>
      <c r="L301" s="133">
        <f>K301*D301*'B) D RI'!S303</f>
        <v>0</v>
      </c>
      <c r="M301" s="10">
        <f>(('B) D RI'!S303*C301)-L301)/'B) D RI'!S303</f>
        <v>2761.8208641975311</v>
      </c>
      <c r="N301" s="136">
        <f t="shared" si="38"/>
        <v>21.919213207916915</v>
      </c>
      <c r="O301" s="75">
        <f t="shared" si="39"/>
        <v>0.49708997831537061</v>
      </c>
    </row>
    <row r="302" spans="1:15" x14ac:dyDescent="0.25">
      <c r="A302" s="53">
        <f>'A) Base RI'!A304</f>
        <v>5913</v>
      </c>
      <c r="B302" s="54" t="str">
        <f>'A) Base RI'!B304</f>
        <v>Donneloye</v>
      </c>
      <c r="C302" s="9">
        <f>'B) D RI'!U304</f>
        <v>21023.999589041094</v>
      </c>
      <c r="D302" s="35">
        <f>'B) D RI'!AR304</f>
        <v>779</v>
      </c>
      <c r="E302" s="295">
        <f t="shared" si="45"/>
        <v>26.988446199025795</v>
      </c>
      <c r="F302" s="81">
        <f t="shared" si="40"/>
        <v>0.57741153179142091</v>
      </c>
      <c r="G302" s="85">
        <f t="shared" si="41"/>
        <v>0</v>
      </c>
      <c r="H302" s="85">
        <f t="shared" si="42"/>
        <v>0</v>
      </c>
      <c r="I302" s="85">
        <f t="shared" si="43"/>
        <v>0</v>
      </c>
      <c r="J302" s="85">
        <f t="shared" si="44"/>
        <v>0</v>
      </c>
      <c r="K302" s="298">
        <f t="shared" si="37"/>
        <v>0</v>
      </c>
      <c r="L302" s="133">
        <f>K302*D302*'B) D RI'!S304</f>
        <v>0</v>
      </c>
      <c r="M302" s="10">
        <f>(('B) D RI'!S304*C302)-L302)/'B) D RI'!S304</f>
        <v>21023.999589041094</v>
      </c>
      <c r="N302" s="136">
        <f t="shared" si="38"/>
        <v>26.988446199025795</v>
      </c>
      <c r="O302" s="75">
        <f t="shared" si="39"/>
        <v>0.61205144585179361</v>
      </c>
    </row>
    <row r="303" spans="1:15" x14ac:dyDescent="0.25">
      <c r="A303" s="53">
        <f>'A) Base RI'!A305</f>
        <v>5914</v>
      </c>
      <c r="B303" s="54" t="str">
        <f>'A) Base RI'!B305</f>
        <v>Ependes</v>
      </c>
      <c r="C303" s="9">
        <f>'B) D RI'!U305</f>
        <v>8838.0616000000009</v>
      </c>
      <c r="D303" s="35">
        <f>'B) D RI'!AR305</f>
        <v>350</v>
      </c>
      <c r="E303" s="295">
        <f t="shared" si="45"/>
        <v>25.251604571428572</v>
      </c>
      <c r="F303" s="81">
        <f t="shared" si="40"/>
        <v>0.54025220897326565</v>
      </c>
      <c r="G303" s="85">
        <f t="shared" si="41"/>
        <v>0</v>
      </c>
      <c r="H303" s="85">
        <f t="shared" si="42"/>
        <v>0</v>
      </c>
      <c r="I303" s="85">
        <f t="shared" si="43"/>
        <v>0</v>
      </c>
      <c r="J303" s="85">
        <f t="shared" si="44"/>
        <v>0</v>
      </c>
      <c r="K303" s="298">
        <f t="shared" si="37"/>
        <v>0</v>
      </c>
      <c r="L303" s="133">
        <f>K303*D303*'B) D RI'!S305</f>
        <v>0</v>
      </c>
      <c r="M303" s="10">
        <f>(('B) D RI'!S305*C303)-L303)/'B) D RI'!S305</f>
        <v>8838.0616000000009</v>
      </c>
      <c r="N303" s="136">
        <f t="shared" si="38"/>
        <v>25.251604571428572</v>
      </c>
      <c r="O303" s="75">
        <f t="shared" si="39"/>
        <v>0.57266287114293035</v>
      </c>
    </row>
    <row r="304" spans="1:15" x14ac:dyDescent="0.25">
      <c r="A304" s="53">
        <f>'A) Base RI'!A306</f>
        <v>5915</v>
      </c>
      <c r="B304" s="54" t="str">
        <f>'A) Base RI'!B306</f>
        <v>Essert-Pittet</v>
      </c>
      <c r="C304" s="9">
        <f>'B) D RI'!U306</f>
        <v>3860.3839529411766</v>
      </c>
      <c r="D304" s="35">
        <f>'B) D RI'!AR306</f>
        <v>170</v>
      </c>
      <c r="E304" s="295">
        <f t="shared" si="45"/>
        <v>22.70814089965398</v>
      </c>
      <c r="F304" s="81">
        <f t="shared" si="40"/>
        <v>0.48583539505427042</v>
      </c>
      <c r="G304" s="85">
        <f t="shared" si="41"/>
        <v>0</v>
      </c>
      <c r="H304" s="85">
        <f t="shared" si="42"/>
        <v>0</v>
      </c>
      <c r="I304" s="85">
        <f t="shared" si="43"/>
        <v>0</v>
      </c>
      <c r="J304" s="85">
        <f t="shared" si="44"/>
        <v>0</v>
      </c>
      <c r="K304" s="298">
        <f t="shared" si="37"/>
        <v>0</v>
      </c>
      <c r="L304" s="133">
        <f>K304*D304*'B) D RI'!S306</f>
        <v>0</v>
      </c>
      <c r="M304" s="10">
        <f>(('B) D RI'!S306*C304)-L304)/'B) D RI'!S306</f>
        <v>3860.3839529411766</v>
      </c>
      <c r="N304" s="136">
        <f t="shared" si="38"/>
        <v>22.70814089965398</v>
      </c>
      <c r="O304" s="75">
        <f t="shared" si="39"/>
        <v>0.51498149866594267</v>
      </c>
    </row>
    <row r="305" spans="1:15" x14ac:dyDescent="0.25">
      <c r="A305" s="53">
        <f>'A) Base RI'!A307</f>
        <v>5919</v>
      </c>
      <c r="B305" s="54" t="str">
        <f>'A) Base RI'!B307</f>
        <v>Mathod</v>
      </c>
      <c r="C305" s="9">
        <f>'B) D RI'!U307</f>
        <v>16883.878828828827</v>
      </c>
      <c r="D305" s="35">
        <f>'B) D RI'!AR307</f>
        <v>614</v>
      </c>
      <c r="E305" s="295">
        <f t="shared" si="45"/>
        <v>27.498173988320566</v>
      </c>
      <c r="F305" s="81">
        <f t="shared" si="40"/>
        <v>0.58831703933501467</v>
      </c>
      <c r="G305" s="85">
        <f t="shared" si="41"/>
        <v>0</v>
      </c>
      <c r="H305" s="85">
        <f t="shared" si="42"/>
        <v>0</v>
      </c>
      <c r="I305" s="85">
        <f t="shared" si="43"/>
        <v>0</v>
      </c>
      <c r="J305" s="85">
        <f t="shared" si="44"/>
        <v>0</v>
      </c>
      <c r="K305" s="298">
        <f t="shared" si="37"/>
        <v>0</v>
      </c>
      <c r="L305" s="133">
        <f>K305*D305*'B) D RI'!S307</f>
        <v>0</v>
      </c>
      <c r="M305" s="10">
        <f>(('B) D RI'!S307*C305)-L305)/'B) D RI'!S307</f>
        <v>16883.878828828827</v>
      </c>
      <c r="N305" s="136">
        <f t="shared" si="38"/>
        <v>27.498173988320566</v>
      </c>
      <c r="O305" s="75">
        <f t="shared" si="39"/>
        <v>0.62361119360933459</v>
      </c>
    </row>
    <row r="306" spans="1:15" x14ac:dyDescent="0.25">
      <c r="A306" s="53">
        <f>'A) Base RI'!A308</f>
        <v>5921</v>
      </c>
      <c r="B306" s="54" t="str">
        <f>'A) Base RI'!B308</f>
        <v>Molondin</v>
      </c>
      <c r="C306" s="9">
        <f>'B) D RI'!U308</f>
        <v>5518.0840740740732</v>
      </c>
      <c r="D306" s="35">
        <f>'B) D RI'!AR308</f>
        <v>218</v>
      </c>
      <c r="E306" s="295">
        <f t="shared" si="45"/>
        <v>25.31231226639483</v>
      </c>
      <c r="F306" s="81">
        <f t="shared" si="40"/>
        <v>0.54155103599292775</v>
      </c>
      <c r="G306" s="85">
        <f t="shared" si="41"/>
        <v>0</v>
      </c>
      <c r="H306" s="85">
        <f t="shared" si="42"/>
        <v>0</v>
      </c>
      <c r="I306" s="85">
        <f t="shared" si="43"/>
        <v>0</v>
      </c>
      <c r="J306" s="85">
        <f t="shared" si="44"/>
        <v>0</v>
      </c>
      <c r="K306" s="298">
        <f t="shared" si="37"/>
        <v>0</v>
      </c>
      <c r="L306" s="133">
        <f>K306*D306*'B) D RI'!S308</f>
        <v>0</v>
      </c>
      <c r="M306" s="10">
        <f>(('B) D RI'!S308*C306)-L306)/'B) D RI'!S308</f>
        <v>5518.0840740740732</v>
      </c>
      <c r="N306" s="136">
        <f t="shared" si="38"/>
        <v>25.31231226639483</v>
      </c>
      <c r="O306" s="75">
        <f t="shared" si="39"/>
        <v>0.57403961703650352</v>
      </c>
    </row>
    <row r="307" spans="1:15" x14ac:dyDescent="0.25">
      <c r="A307" s="53">
        <f>'A) Base RI'!A309</f>
        <v>5922</v>
      </c>
      <c r="B307" s="54" t="str">
        <f>'A) Base RI'!B309</f>
        <v>Montagny-près-Yverdon</v>
      </c>
      <c r="C307" s="9">
        <f>'B) D RI'!U309</f>
        <v>45028.443278688515</v>
      </c>
      <c r="D307" s="35">
        <f>'B) D RI'!AR309</f>
        <v>733</v>
      </c>
      <c r="E307" s="295">
        <f t="shared" si="45"/>
        <v>61.430345537092109</v>
      </c>
      <c r="F307" s="81">
        <f t="shared" si="40"/>
        <v>1.3142879606136428</v>
      </c>
      <c r="G307" s="85">
        <f t="shared" si="41"/>
        <v>5.3418650414690418</v>
      </c>
      <c r="H307" s="85">
        <f t="shared" si="42"/>
        <v>0</v>
      </c>
      <c r="I307" s="85">
        <f t="shared" si="43"/>
        <v>0</v>
      </c>
      <c r="J307" s="85">
        <f t="shared" si="44"/>
        <v>0</v>
      </c>
      <c r="K307" s="298">
        <f t="shared" si="37"/>
        <v>1.923071414928855</v>
      </c>
      <c r="L307" s="133">
        <f>K307*D307*'B) D RI'!S309</f>
        <v>85986.292175713897</v>
      </c>
      <c r="M307" s="10">
        <f>(('B) D RI'!S309*C307)-L307)/'B) D RI'!S309</f>
        <v>43618.831931545668</v>
      </c>
      <c r="N307" s="136">
        <f t="shared" si="38"/>
        <v>59.50727412216326</v>
      </c>
      <c r="O307" s="75">
        <f t="shared" si="39"/>
        <v>1.3495224177256917</v>
      </c>
    </row>
    <row r="308" spans="1:15" x14ac:dyDescent="0.25">
      <c r="A308" s="53">
        <f>'A) Base RI'!A310</f>
        <v>5923</v>
      </c>
      <c r="B308" s="54" t="str">
        <f>'A) Base RI'!B310</f>
        <v>Oppens</v>
      </c>
      <c r="C308" s="9">
        <f>'B) D RI'!U310</f>
        <v>4881.0219753086412</v>
      </c>
      <c r="D308" s="35">
        <f>'B) D RI'!AR310</f>
        <v>182</v>
      </c>
      <c r="E308" s="295">
        <f t="shared" si="45"/>
        <v>26.81880206213539</v>
      </c>
      <c r="F308" s="81">
        <f t="shared" si="40"/>
        <v>0.57378203492379998</v>
      </c>
      <c r="G308" s="85">
        <f t="shared" si="41"/>
        <v>0</v>
      </c>
      <c r="H308" s="85">
        <f t="shared" si="42"/>
        <v>0</v>
      </c>
      <c r="I308" s="85">
        <f t="shared" si="43"/>
        <v>0</v>
      </c>
      <c r="J308" s="85">
        <f t="shared" si="44"/>
        <v>0</v>
      </c>
      <c r="K308" s="298">
        <f t="shared" si="37"/>
        <v>0</v>
      </c>
      <c r="L308" s="133">
        <f>K308*D308*'B) D RI'!S310</f>
        <v>0</v>
      </c>
      <c r="M308" s="10">
        <f>(('B) D RI'!S310*C308)-L308)/'B) D RI'!S310</f>
        <v>4881.0219753086412</v>
      </c>
      <c r="N308" s="136">
        <f t="shared" si="38"/>
        <v>26.81880206213539</v>
      </c>
      <c r="O308" s="75">
        <f t="shared" si="39"/>
        <v>0.60820420920473528</v>
      </c>
    </row>
    <row r="309" spans="1:15" x14ac:dyDescent="0.25">
      <c r="A309" s="53">
        <f>'A) Base RI'!A311</f>
        <v>5924</v>
      </c>
      <c r="B309" s="54" t="str">
        <f>'A) Base RI'!B311</f>
        <v>Orges</v>
      </c>
      <c r="C309" s="9">
        <f>'B) D RI'!U311</f>
        <v>9476.448378378378</v>
      </c>
      <c r="D309" s="35">
        <f>'B) D RI'!AR311</f>
        <v>292</v>
      </c>
      <c r="E309" s="295">
        <f t="shared" si="45"/>
        <v>32.453590336912256</v>
      </c>
      <c r="F309" s="81">
        <f t="shared" si="40"/>
        <v>0.69433702001133324</v>
      </c>
      <c r="G309" s="85">
        <f t="shared" si="41"/>
        <v>0</v>
      </c>
      <c r="H309" s="85">
        <f t="shared" si="42"/>
        <v>0</v>
      </c>
      <c r="I309" s="85">
        <f t="shared" si="43"/>
        <v>0</v>
      </c>
      <c r="J309" s="85">
        <f t="shared" si="44"/>
        <v>0</v>
      </c>
      <c r="K309" s="298">
        <f t="shared" si="37"/>
        <v>0</v>
      </c>
      <c r="L309" s="133">
        <f>K309*D309*'B) D RI'!S311</f>
        <v>0</v>
      </c>
      <c r="M309" s="10">
        <f>(('B) D RI'!S311*C309)-L309)/'B) D RI'!S311</f>
        <v>9476.448378378378</v>
      </c>
      <c r="N309" s="136">
        <f t="shared" si="38"/>
        <v>32.453590336912256</v>
      </c>
      <c r="O309" s="75">
        <f t="shared" si="39"/>
        <v>0.73599149585373125</v>
      </c>
    </row>
    <row r="310" spans="1:15" x14ac:dyDescent="0.25">
      <c r="A310" s="53">
        <f>'A) Base RI'!A312</f>
        <v>5925</v>
      </c>
      <c r="B310" s="54" t="str">
        <f>'A) Base RI'!B312</f>
        <v>Orzens</v>
      </c>
      <c r="C310" s="9">
        <f>'B) D RI'!U312</f>
        <v>4875.4426582278484</v>
      </c>
      <c r="D310" s="35">
        <f>'B) D RI'!AR312</f>
        <v>200</v>
      </c>
      <c r="E310" s="295">
        <f t="shared" si="45"/>
        <v>24.377213291139242</v>
      </c>
      <c r="F310" s="81">
        <f t="shared" si="40"/>
        <v>0.52154481082171333</v>
      </c>
      <c r="G310" s="85">
        <f t="shared" si="41"/>
        <v>0</v>
      </c>
      <c r="H310" s="85">
        <f t="shared" si="42"/>
        <v>0</v>
      </c>
      <c r="I310" s="85">
        <f t="shared" si="43"/>
        <v>0</v>
      </c>
      <c r="J310" s="85">
        <f t="shared" si="44"/>
        <v>0</v>
      </c>
      <c r="K310" s="298">
        <f t="shared" si="37"/>
        <v>0</v>
      </c>
      <c r="L310" s="133">
        <f>K310*D310*'B) D RI'!S312</f>
        <v>0</v>
      </c>
      <c r="M310" s="10">
        <f>(('B) D RI'!S312*C310)-L310)/'B) D RI'!S312</f>
        <v>4875.4426582278484</v>
      </c>
      <c r="N310" s="136">
        <f t="shared" si="38"/>
        <v>24.377213291139242</v>
      </c>
      <c r="O310" s="75">
        <f t="shared" si="39"/>
        <v>0.5528331838984456</v>
      </c>
    </row>
    <row r="311" spans="1:15" x14ac:dyDescent="0.25">
      <c r="A311" s="53">
        <f>'A) Base RI'!A313</f>
        <v>5926</v>
      </c>
      <c r="B311" s="54" t="str">
        <f>'A) Base RI'!B313</f>
        <v>Pomy</v>
      </c>
      <c r="C311" s="9">
        <f>'B) D RI'!U313</f>
        <v>22774.42661971831</v>
      </c>
      <c r="D311" s="35">
        <f>'B) D RI'!AR313</f>
        <v>760</v>
      </c>
      <c r="E311" s="295">
        <f t="shared" si="45"/>
        <v>29.966350815418828</v>
      </c>
      <c r="F311" s="81">
        <f t="shared" si="40"/>
        <v>0.64112310871585731</v>
      </c>
      <c r="G311" s="85">
        <f t="shared" si="41"/>
        <v>0</v>
      </c>
      <c r="H311" s="85">
        <f t="shared" si="42"/>
        <v>0</v>
      </c>
      <c r="I311" s="85">
        <f t="shared" si="43"/>
        <v>0</v>
      </c>
      <c r="J311" s="85">
        <f t="shared" si="44"/>
        <v>0</v>
      </c>
      <c r="K311" s="298">
        <f t="shared" si="37"/>
        <v>0</v>
      </c>
      <c r="L311" s="133">
        <f>K311*D311*'B) D RI'!S313</f>
        <v>0</v>
      </c>
      <c r="M311" s="10">
        <f>(('B) D RI'!S313*C311)-L311)/'B) D RI'!S313</f>
        <v>22774.42661971831</v>
      </c>
      <c r="N311" s="136">
        <f t="shared" si="38"/>
        <v>29.966350815418828</v>
      </c>
      <c r="O311" s="75">
        <f t="shared" si="39"/>
        <v>0.67958519020414088</v>
      </c>
    </row>
    <row r="312" spans="1:15" x14ac:dyDescent="0.25">
      <c r="A312" s="53">
        <f>'A) Base RI'!A314</f>
        <v>5928</v>
      </c>
      <c r="B312" s="54" t="str">
        <f>'A) Base RI'!B314</f>
        <v>Rovray</v>
      </c>
      <c r="C312" s="9">
        <f>'B) D RI'!U314</f>
        <v>4451.7282191780823</v>
      </c>
      <c r="D312" s="35">
        <f>'B) D RI'!AR314</f>
        <v>172</v>
      </c>
      <c r="E312" s="295">
        <f t="shared" si="45"/>
        <v>25.882140809174896</v>
      </c>
      <c r="F312" s="81">
        <f t="shared" si="40"/>
        <v>0.55374238518430829</v>
      </c>
      <c r="G312" s="85">
        <f t="shared" si="41"/>
        <v>0</v>
      </c>
      <c r="H312" s="85">
        <f t="shared" si="42"/>
        <v>0</v>
      </c>
      <c r="I312" s="85">
        <f t="shared" si="43"/>
        <v>0</v>
      </c>
      <c r="J312" s="85">
        <f t="shared" si="44"/>
        <v>0</v>
      </c>
      <c r="K312" s="298">
        <f t="shared" si="37"/>
        <v>0</v>
      </c>
      <c r="L312" s="133">
        <f>K312*D312*'B) D RI'!S314</f>
        <v>0</v>
      </c>
      <c r="M312" s="10">
        <f>(('B) D RI'!S314*C312)-L312)/'B) D RI'!S314</f>
        <v>4451.7282191780823</v>
      </c>
      <c r="N312" s="136">
        <f t="shared" si="38"/>
        <v>25.882140809174896</v>
      </c>
      <c r="O312" s="75">
        <f t="shared" si="39"/>
        <v>0.58696234630087851</v>
      </c>
    </row>
    <row r="313" spans="1:15" x14ac:dyDescent="0.25">
      <c r="A313" s="53">
        <f>'A) Base RI'!A315</f>
        <v>5929</v>
      </c>
      <c r="B313" s="54" t="str">
        <f>'A) Base RI'!B315</f>
        <v>Suchy</v>
      </c>
      <c r="C313" s="9">
        <f>'B) D RI'!U315</f>
        <v>16583.788428571432</v>
      </c>
      <c r="D313" s="35">
        <f>'B) D RI'!AR315</f>
        <v>606</v>
      </c>
      <c r="E313" s="295">
        <f t="shared" si="45"/>
        <v>27.36598750589345</v>
      </c>
      <c r="F313" s="81">
        <f t="shared" si="40"/>
        <v>0.58548894027597675</v>
      </c>
      <c r="G313" s="85">
        <f t="shared" si="41"/>
        <v>0</v>
      </c>
      <c r="H313" s="85">
        <f t="shared" si="42"/>
        <v>0</v>
      </c>
      <c r="I313" s="85">
        <f t="shared" si="43"/>
        <v>0</v>
      </c>
      <c r="J313" s="85">
        <f t="shared" si="44"/>
        <v>0</v>
      </c>
      <c r="K313" s="298">
        <f t="shared" si="37"/>
        <v>0</v>
      </c>
      <c r="L313" s="133">
        <f>K313*D313*'B) D RI'!S315</f>
        <v>0</v>
      </c>
      <c r="M313" s="10">
        <f>(('B) D RI'!S315*C313)-L313)/'B) D RI'!S315</f>
        <v>16583.788428571432</v>
      </c>
      <c r="N313" s="136">
        <f t="shared" si="38"/>
        <v>27.36598750589345</v>
      </c>
      <c r="O313" s="75">
        <f t="shared" si="39"/>
        <v>0.62061343200813135</v>
      </c>
    </row>
    <row r="314" spans="1:15" x14ac:dyDescent="0.25">
      <c r="A314" s="53">
        <f>'A) Base RI'!A316</f>
        <v>5930</v>
      </c>
      <c r="B314" s="54" t="str">
        <f>'A) Base RI'!B316</f>
        <v>Suscévaz</v>
      </c>
      <c r="C314" s="9">
        <f>'B) D RI'!U316</f>
        <v>4886.5228787878787</v>
      </c>
      <c r="D314" s="35">
        <f>'B) D RI'!AR316</f>
        <v>202</v>
      </c>
      <c r="E314" s="295">
        <f t="shared" si="45"/>
        <v>24.190707320732074</v>
      </c>
      <c r="F314" s="81">
        <f t="shared" si="40"/>
        <v>0.5175545589462669</v>
      </c>
      <c r="G314" s="85">
        <f t="shared" si="41"/>
        <v>0</v>
      </c>
      <c r="H314" s="85">
        <f t="shared" si="42"/>
        <v>0</v>
      </c>
      <c r="I314" s="85">
        <f t="shared" si="43"/>
        <v>0</v>
      </c>
      <c r="J314" s="85">
        <f t="shared" si="44"/>
        <v>0</v>
      </c>
      <c r="K314" s="298">
        <f t="shared" si="37"/>
        <v>0</v>
      </c>
      <c r="L314" s="133">
        <f>K314*D314*'B) D RI'!S316</f>
        <v>0</v>
      </c>
      <c r="M314" s="10">
        <f>(('B) D RI'!S316*C314)-L314)/'B) D RI'!S316</f>
        <v>4886.5228787878787</v>
      </c>
      <c r="N314" s="136">
        <f t="shared" si="38"/>
        <v>24.190707320732074</v>
      </c>
      <c r="O314" s="75">
        <f t="shared" si="39"/>
        <v>0.54860354992819427</v>
      </c>
    </row>
    <row r="315" spans="1:15" x14ac:dyDescent="0.25">
      <c r="A315" s="53">
        <f>'A) Base RI'!A317</f>
        <v>5931</v>
      </c>
      <c r="B315" s="54" t="str">
        <f>'A) Base RI'!B317</f>
        <v>Treycovagnes</v>
      </c>
      <c r="C315" s="9">
        <f>'B) D RI'!U317</f>
        <v>16368.774155844154</v>
      </c>
      <c r="D315" s="35">
        <f>'B) D RI'!AR317</f>
        <v>446</v>
      </c>
      <c r="E315" s="295">
        <f t="shared" si="45"/>
        <v>36.701287344942052</v>
      </c>
      <c r="F315" s="81">
        <f t="shared" si="40"/>
        <v>0.78521550993643507</v>
      </c>
      <c r="G315" s="85">
        <f t="shared" si="41"/>
        <v>0</v>
      </c>
      <c r="H315" s="85">
        <f t="shared" si="42"/>
        <v>0</v>
      </c>
      <c r="I315" s="85">
        <f t="shared" si="43"/>
        <v>0</v>
      </c>
      <c r="J315" s="85">
        <f t="shared" si="44"/>
        <v>0</v>
      </c>
      <c r="K315" s="298">
        <f t="shared" si="37"/>
        <v>0</v>
      </c>
      <c r="L315" s="133">
        <f>K315*D315*'B) D RI'!S317</f>
        <v>0</v>
      </c>
      <c r="M315" s="10">
        <f>(('B) D RI'!S317*C315)-L315)/'B) D RI'!S317</f>
        <v>16368.774155844154</v>
      </c>
      <c r="N315" s="136">
        <f t="shared" si="38"/>
        <v>36.701287344942052</v>
      </c>
      <c r="O315" s="75">
        <f t="shared" si="39"/>
        <v>0.83232194319155617</v>
      </c>
    </row>
    <row r="316" spans="1:15" x14ac:dyDescent="0.25">
      <c r="A316" s="53">
        <f>'A) Base RI'!A318</f>
        <v>5932</v>
      </c>
      <c r="B316" s="54" t="str">
        <f>'A) Base RI'!B318</f>
        <v>Ursins</v>
      </c>
      <c r="C316" s="9">
        <f>'B) D RI'!U318</f>
        <v>6366.2738461538456</v>
      </c>
      <c r="D316" s="35">
        <f>'B) D RI'!AR318</f>
        <v>210</v>
      </c>
      <c r="E316" s="295">
        <f t="shared" si="45"/>
        <v>30.31558974358974</v>
      </c>
      <c r="F316" s="81">
        <f t="shared" si="40"/>
        <v>0.64859499438831369</v>
      </c>
      <c r="G316" s="85">
        <f t="shared" si="41"/>
        <v>0</v>
      </c>
      <c r="H316" s="85">
        <f t="shared" si="42"/>
        <v>0</v>
      </c>
      <c r="I316" s="85">
        <f t="shared" si="43"/>
        <v>0</v>
      </c>
      <c r="J316" s="85">
        <f t="shared" si="44"/>
        <v>0</v>
      </c>
      <c r="K316" s="298">
        <f t="shared" si="37"/>
        <v>0</v>
      </c>
      <c r="L316" s="133">
        <f>K316*D316*'B) D RI'!S318</f>
        <v>0</v>
      </c>
      <c r="M316" s="10">
        <f>(('B) D RI'!S318*C316)-L316)/'B) D RI'!S318</f>
        <v>6366.2738461538456</v>
      </c>
      <c r="N316" s="136">
        <f t="shared" si="38"/>
        <v>30.31558974358974</v>
      </c>
      <c r="O316" s="75">
        <f t="shared" si="39"/>
        <v>0.68750532719010982</v>
      </c>
    </row>
    <row r="317" spans="1:15" x14ac:dyDescent="0.25">
      <c r="A317" s="53">
        <f>'A) Base RI'!A319</f>
        <v>5933</v>
      </c>
      <c r="B317" s="54" t="str">
        <f>'A) Base RI'!B319</f>
        <v>Valeyres-sous-Montagny</v>
      </c>
      <c r="C317" s="9">
        <f>'B) D RI'!U319</f>
        <v>19578.46263888889</v>
      </c>
      <c r="D317" s="35">
        <f>'B) D RI'!AR319</f>
        <v>689</v>
      </c>
      <c r="E317" s="295">
        <f t="shared" si="45"/>
        <v>28.415765803902598</v>
      </c>
      <c r="F317" s="81">
        <f t="shared" si="40"/>
        <v>0.60794870289531322</v>
      </c>
      <c r="G317" s="85">
        <f t="shared" si="41"/>
        <v>0</v>
      </c>
      <c r="H317" s="85">
        <f t="shared" si="42"/>
        <v>0</v>
      </c>
      <c r="I317" s="85">
        <f t="shared" si="43"/>
        <v>0</v>
      </c>
      <c r="J317" s="85">
        <f t="shared" si="44"/>
        <v>0</v>
      </c>
      <c r="K317" s="298">
        <f t="shared" si="37"/>
        <v>0</v>
      </c>
      <c r="L317" s="133">
        <f>K317*D317*'B) D RI'!S319</f>
        <v>0</v>
      </c>
      <c r="M317" s="10">
        <f>(('B) D RI'!S319*C317)-L317)/'B) D RI'!S319</f>
        <v>19578.46263888889</v>
      </c>
      <c r="N317" s="136">
        <f t="shared" si="38"/>
        <v>28.415765803902598</v>
      </c>
      <c r="O317" s="75">
        <f t="shared" ref="O317:O322" si="46">N317/N$323</f>
        <v>0.64442059453916756</v>
      </c>
    </row>
    <row r="318" spans="1:15" x14ac:dyDescent="0.25">
      <c r="A318" s="53">
        <f>'A) Base RI'!A320</f>
        <v>5934</v>
      </c>
      <c r="B318" s="54" t="str">
        <f>'A) Base RI'!B320</f>
        <v>Valeyres-sous-Ursins</v>
      </c>
      <c r="C318" s="9">
        <f>'B) D RI'!U320</f>
        <v>6856.0722784810141</v>
      </c>
      <c r="D318" s="35">
        <f>'B) D RI'!AR320</f>
        <v>247</v>
      </c>
      <c r="E318" s="295">
        <f t="shared" si="45"/>
        <v>27.757377645672122</v>
      </c>
      <c r="F318" s="81">
        <f t="shared" si="40"/>
        <v>0.59386264132090083</v>
      </c>
      <c r="G318" s="85">
        <f t="shared" si="41"/>
        <v>0</v>
      </c>
      <c r="H318" s="85">
        <f t="shared" si="42"/>
        <v>0</v>
      </c>
      <c r="I318" s="85">
        <f t="shared" si="43"/>
        <v>0</v>
      </c>
      <c r="J318" s="85">
        <f t="shared" si="44"/>
        <v>0</v>
      </c>
      <c r="K318" s="298">
        <f t="shared" si="37"/>
        <v>0</v>
      </c>
      <c r="L318" s="133">
        <f>K318*D318*'B) D RI'!S320</f>
        <v>0</v>
      </c>
      <c r="M318" s="10">
        <f>(('B) D RI'!S320*C318)-L318)/'B) D RI'!S320</f>
        <v>6856.0722784810141</v>
      </c>
      <c r="N318" s="136">
        <f t="shared" si="38"/>
        <v>27.757377645672122</v>
      </c>
      <c r="O318" s="75">
        <f t="shared" si="46"/>
        <v>0.62948948582675823</v>
      </c>
    </row>
    <row r="319" spans="1:15" x14ac:dyDescent="0.25">
      <c r="A319" s="53">
        <f>'A) Base RI'!A321</f>
        <v>5935</v>
      </c>
      <c r="B319" s="54" t="str">
        <f>'A) Base RI'!B321</f>
        <v>Villars-Epeney</v>
      </c>
      <c r="C319" s="9">
        <f>'B) D RI'!U321</f>
        <v>4252.6353333333336</v>
      </c>
      <c r="D319" s="35">
        <f>'B) D RI'!AR321</f>
        <v>105</v>
      </c>
      <c r="E319" s="295">
        <f t="shared" si="45"/>
        <v>40.501288888888894</v>
      </c>
      <c r="F319" s="81">
        <f t="shared" si="40"/>
        <v>0.86651565949374132</v>
      </c>
      <c r="G319" s="85">
        <f t="shared" si="41"/>
        <v>0</v>
      </c>
      <c r="H319" s="85">
        <f t="shared" si="42"/>
        <v>0</v>
      </c>
      <c r="I319" s="85">
        <f t="shared" si="43"/>
        <v>0</v>
      </c>
      <c r="J319" s="85">
        <f t="shared" si="44"/>
        <v>0</v>
      </c>
      <c r="K319" s="298">
        <f t="shared" si="37"/>
        <v>0</v>
      </c>
      <c r="L319" s="133">
        <f>K319*D319*'B) D RI'!S321</f>
        <v>0</v>
      </c>
      <c r="M319" s="10">
        <f>(('B) D RI'!S321*C319)-L319)/'B) D RI'!S321</f>
        <v>4252.6353333333336</v>
      </c>
      <c r="N319" s="136">
        <f t="shared" si="38"/>
        <v>40.501288888888894</v>
      </c>
      <c r="O319" s="75">
        <f t="shared" si="46"/>
        <v>0.9184994289964139</v>
      </c>
    </row>
    <row r="320" spans="1:15" x14ac:dyDescent="0.25">
      <c r="A320" s="53">
        <f>'A) Base RI'!A322</f>
        <v>5937</v>
      </c>
      <c r="B320" s="54" t="str">
        <f>'A) Base RI'!B322</f>
        <v>Vugelles-La Mothe</v>
      </c>
      <c r="C320" s="9">
        <f>'B) D RI'!U322</f>
        <v>2272.9823469387752</v>
      </c>
      <c r="D320" s="35">
        <f>'B) D RI'!AR322</f>
        <v>134</v>
      </c>
      <c r="E320" s="295">
        <f t="shared" si="45"/>
        <v>16.962554827901307</v>
      </c>
      <c r="F320" s="81">
        <f t="shared" si="40"/>
        <v>0.36290991686020091</v>
      </c>
      <c r="G320" s="85">
        <f t="shared" si="41"/>
        <v>0</v>
      </c>
      <c r="H320" s="85">
        <f t="shared" si="42"/>
        <v>0</v>
      </c>
      <c r="I320" s="85">
        <f t="shared" si="43"/>
        <v>0</v>
      </c>
      <c r="J320" s="85">
        <f t="shared" si="44"/>
        <v>0</v>
      </c>
      <c r="K320" s="298">
        <f t="shared" si="37"/>
        <v>0</v>
      </c>
      <c r="L320" s="133">
        <f>K320*D320*'B) D RI'!S322</f>
        <v>0</v>
      </c>
      <c r="M320" s="10">
        <f>(('B) D RI'!S322*C320)-L320)/'B) D RI'!S322</f>
        <v>2272.9823469387752</v>
      </c>
      <c r="N320" s="136">
        <f t="shared" si="38"/>
        <v>16.962554827901307</v>
      </c>
      <c r="O320" s="75">
        <f t="shared" si="46"/>
        <v>0.38468150893889086</v>
      </c>
    </row>
    <row r="321" spans="1:15" x14ac:dyDescent="0.25">
      <c r="A321" s="53">
        <f>'A) Base RI'!A323</f>
        <v>5938</v>
      </c>
      <c r="B321" s="54" t="str">
        <f>'A) Base RI'!B323</f>
        <v>Yverdon-les-Bains</v>
      </c>
      <c r="C321" s="9">
        <f>'B) D RI'!U323</f>
        <v>809245.0162091502</v>
      </c>
      <c r="D321" s="35">
        <f>'B) D RI'!AR323</f>
        <v>29570</v>
      </c>
      <c r="E321" s="295">
        <f t="shared" si="45"/>
        <v>27.367095576907346</v>
      </c>
      <c r="F321" s="81">
        <f t="shared" si="40"/>
        <v>0.5855126471976998</v>
      </c>
      <c r="G321" s="85">
        <f t="shared" si="41"/>
        <v>0</v>
      </c>
      <c r="H321" s="85">
        <f t="shared" si="42"/>
        <v>0</v>
      </c>
      <c r="I321" s="85">
        <f t="shared" si="43"/>
        <v>0</v>
      </c>
      <c r="J321" s="85">
        <f t="shared" si="44"/>
        <v>0</v>
      </c>
      <c r="K321" s="298">
        <f t="shared" si="37"/>
        <v>0</v>
      </c>
      <c r="L321" s="133">
        <f>K321*D321*'B) D RI'!S323</f>
        <v>0</v>
      </c>
      <c r="M321" s="10">
        <f>(('B) D RI'!S323*C321)-L321)/'B) D RI'!S323</f>
        <v>809245.0162091502</v>
      </c>
      <c r="N321" s="136">
        <f t="shared" si="38"/>
        <v>27.367095576907346</v>
      </c>
      <c r="O321" s="75">
        <f t="shared" si="46"/>
        <v>0.62063856114899252</v>
      </c>
    </row>
    <row r="322" spans="1:15" x14ac:dyDescent="0.25">
      <c r="A322" s="55">
        <f>'A) Base RI'!A324</f>
        <v>5939</v>
      </c>
      <c r="B322" s="58" t="str">
        <f>'A) Base RI'!B324</f>
        <v>Yvonand</v>
      </c>
      <c r="C322" s="122">
        <f>'B) D RI'!U324</f>
        <v>88261.067808219188</v>
      </c>
      <c r="D322" s="56">
        <f>'B) D RI'!AR324</f>
        <v>3236</v>
      </c>
      <c r="E322" s="296">
        <f t="shared" si="45"/>
        <v>27.274742833195052</v>
      </c>
      <c r="F322" s="82">
        <f t="shared" si="40"/>
        <v>0.58353678171738244</v>
      </c>
      <c r="G322" s="86">
        <f t="shared" si="41"/>
        <v>0</v>
      </c>
      <c r="H322" s="86">
        <f t="shared" si="42"/>
        <v>0</v>
      </c>
      <c r="I322" s="86">
        <f t="shared" si="43"/>
        <v>0</v>
      </c>
      <c r="J322" s="86">
        <f t="shared" si="44"/>
        <v>0</v>
      </c>
      <c r="K322" s="298">
        <f t="shared" si="37"/>
        <v>0</v>
      </c>
      <c r="L322" s="134">
        <f>K322*D322*'B) D RI'!S324</f>
        <v>0</v>
      </c>
      <c r="M322" s="20">
        <f>(('B) D RI'!S324*C322)-L322)/'B) D RI'!S324</f>
        <v>88261.067808219188</v>
      </c>
      <c r="N322" s="137">
        <f t="shared" si="38"/>
        <v>27.274742833195052</v>
      </c>
      <c r="O322" s="73">
        <f t="shared" si="46"/>
        <v>0.61854416008934465</v>
      </c>
    </row>
    <row r="323" spans="1:15" x14ac:dyDescent="0.25">
      <c r="A323" s="69"/>
      <c r="B323" s="68">
        <f>COUNTA(B5:B322)</f>
        <v>318</v>
      </c>
      <c r="C323" s="56">
        <f>SUM(C5:C322)</f>
        <v>36375763.361832626</v>
      </c>
      <c r="D323" s="56">
        <f>SUM(D5:D322)</f>
        <v>778251</v>
      </c>
      <c r="E323" s="76">
        <f>C323/D323</f>
        <v>46.740400413019223</v>
      </c>
      <c r="F323" s="73">
        <v>1</v>
      </c>
      <c r="G323" s="83"/>
      <c r="H323" s="83"/>
      <c r="I323" s="83"/>
      <c r="J323" s="83"/>
      <c r="K323" s="33"/>
      <c r="L323" s="141">
        <f>SUM(L5:L322)</f>
        <v>113838849.30813636</v>
      </c>
      <c r="M323" s="20">
        <f>SUM(M5:M322)</f>
        <v>34317025.774862766</v>
      </c>
      <c r="N323" s="138">
        <f t="shared" si="38"/>
        <v>44.095061586638202</v>
      </c>
      <c r="O323" s="77">
        <v>1</v>
      </c>
    </row>
    <row r="324" spans="1:15" x14ac:dyDescent="0.25">
      <c r="L324" s="14"/>
      <c r="M324" s="31"/>
    </row>
    <row r="326" spans="1:15" x14ac:dyDescent="0.25">
      <c r="F326" s="16"/>
    </row>
    <row r="327" spans="1:15" x14ac:dyDescent="0.25">
      <c r="F327" s="16"/>
    </row>
    <row r="328" spans="1:15" x14ac:dyDescent="0.25">
      <c r="F328" s="16"/>
      <c r="G328" s="19"/>
    </row>
    <row r="329" spans="1:15" x14ac:dyDescent="0.25">
      <c r="E329" s="31"/>
    </row>
  </sheetData>
  <mergeCells count="9">
    <mergeCell ref="A3:A4"/>
    <mergeCell ref="B3:B4"/>
    <mergeCell ref="F3:F4"/>
    <mergeCell ref="C3:E3"/>
    <mergeCell ref="O3:O4"/>
    <mergeCell ref="N3:N4"/>
    <mergeCell ref="M3:M4"/>
    <mergeCell ref="L3:L4"/>
    <mergeCell ref="K3:K4"/>
  </mergeCells>
  <phoneticPr fontId="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341"/>
  <sheetViews>
    <sheetView workbookViewId="0"/>
  </sheetViews>
  <sheetFormatPr baseColWidth="10" defaultColWidth="10.75" defaultRowHeight="15" x14ac:dyDescent="0.25"/>
  <cols>
    <col min="1" max="1" width="7.25" style="14" customWidth="1"/>
    <col min="2" max="2" width="18" style="14" customWidth="1"/>
    <col min="3" max="3" width="10.375" style="14" customWidth="1"/>
    <col min="4" max="4" width="12.75" style="14" customWidth="1"/>
    <col min="5" max="5" width="10.75" style="14" bestFit="1" customWidth="1"/>
    <col min="6" max="6" width="15.125" style="14" customWidth="1"/>
    <col min="7" max="7" width="12.125" style="14" customWidth="1"/>
    <col min="8" max="8" width="9.25" style="14" customWidth="1"/>
    <col min="9" max="10" width="12.125" style="14" customWidth="1"/>
    <col min="11" max="12" width="9.25" style="14" customWidth="1"/>
    <col min="13" max="13" width="12.125" style="14" customWidth="1"/>
    <col min="14" max="14" width="14" style="14" customWidth="1"/>
    <col min="15" max="20" width="12.125" style="14" customWidth="1"/>
    <col min="21" max="23" width="8.125" style="14" customWidth="1"/>
    <col min="24" max="31" width="11" style="14" customWidth="1"/>
    <col min="32" max="32" width="9.25" style="14" customWidth="1"/>
    <col min="33" max="33" width="11" style="14" customWidth="1"/>
    <col min="34" max="16384" width="10.75" style="14"/>
  </cols>
  <sheetData>
    <row r="1" spans="1:33" s="46" customFormat="1" ht="20.25" customHeight="1" x14ac:dyDescent="0.25">
      <c r="A1" s="57" t="s">
        <v>117</v>
      </c>
      <c r="B1" s="45"/>
      <c r="C1" s="92"/>
      <c r="D1" s="92"/>
      <c r="E1" s="92"/>
      <c r="F1" s="92"/>
      <c r="G1" s="92"/>
      <c r="H1" s="92"/>
      <c r="I1" s="92"/>
      <c r="J1" s="92"/>
      <c r="K1" s="14"/>
      <c r="L1" s="14"/>
      <c r="M1" s="92"/>
      <c r="N1" s="14"/>
      <c r="O1" s="14"/>
      <c r="P1" s="14"/>
      <c r="Q1" s="14"/>
      <c r="R1" s="14"/>
      <c r="S1" s="14"/>
      <c r="T1" s="14"/>
      <c r="U1" s="14"/>
      <c r="V1" s="14"/>
      <c r="W1" s="14"/>
      <c r="X1" s="14"/>
      <c r="Y1" s="14"/>
      <c r="Z1" s="14"/>
      <c r="AA1" s="14"/>
      <c r="AB1" s="14"/>
      <c r="AC1" s="14"/>
      <c r="AD1" s="14"/>
      <c r="AE1" s="14"/>
      <c r="AF1" s="14"/>
      <c r="AG1" s="14"/>
    </row>
    <row r="2" spans="1:33" s="60" customFormat="1" x14ac:dyDescent="0.25">
      <c r="A2" s="30"/>
      <c r="D2" s="14"/>
      <c r="E2" s="14"/>
      <c r="F2" s="14"/>
      <c r="G2" s="14"/>
      <c r="K2" s="14"/>
      <c r="L2" s="14"/>
      <c r="N2" s="14"/>
      <c r="O2" s="14"/>
      <c r="P2" s="14"/>
      <c r="Q2" s="14"/>
      <c r="R2" s="14"/>
      <c r="S2" s="14"/>
      <c r="T2" s="14"/>
      <c r="U2" s="14"/>
      <c r="V2" s="14"/>
      <c r="W2" s="14"/>
      <c r="X2" s="14"/>
      <c r="Y2" s="14"/>
      <c r="Z2" s="14"/>
      <c r="AA2" s="14"/>
      <c r="AB2" s="14"/>
      <c r="AC2" s="14"/>
      <c r="AD2" s="14"/>
      <c r="AE2" s="14"/>
      <c r="AF2" s="14"/>
      <c r="AG2" s="14"/>
    </row>
    <row r="3" spans="1:33" s="60" customFormat="1" ht="30" x14ac:dyDescent="0.25">
      <c r="A3" s="576" t="s">
        <v>116</v>
      </c>
      <c r="B3" s="577"/>
      <c r="C3" s="578"/>
      <c r="D3" s="78" t="s">
        <v>2</v>
      </c>
      <c r="E3" s="88" t="s">
        <v>1</v>
      </c>
      <c r="F3" s="14"/>
      <c r="G3" s="14"/>
      <c r="K3" s="14"/>
      <c r="L3" s="14"/>
      <c r="N3" s="14"/>
      <c r="O3" s="14"/>
      <c r="P3" s="14"/>
      <c r="Q3" s="14"/>
      <c r="R3" s="14"/>
      <c r="S3" s="14"/>
      <c r="T3" s="14"/>
      <c r="U3" s="14"/>
      <c r="V3" s="14"/>
      <c r="W3" s="14"/>
      <c r="X3" s="14"/>
      <c r="Y3" s="14"/>
      <c r="Z3" s="14"/>
      <c r="AA3" s="14"/>
      <c r="AB3" s="14"/>
      <c r="AC3" s="14"/>
      <c r="AD3" s="14"/>
      <c r="AE3" s="14"/>
      <c r="AF3" s="14"/>
      <c r="AG3" s="14"/>
    </row>
    <row r="4" spans="1:33" s="60" customFormat="1" x14ac:dyDescent="0.25">
      <c r="A4" s="107" t="s">
        <v>451</v>
      </c>
      <c r="B4" s="108"/>
      <c r="C4" s="121">
        <f>+Paramètres!B53</f>
        <v>740601543</v>
      </c>
      <c r="D4" s="119">
        <f>C4/$E$4</f>
        <v>21.581169296509689</v>
      </c>
      <c r="E4" s="124">
        <f>'D) Ecrêtage'!M323</f>
        <v>34317025.774862766</v>
      </c>
      <c r="F4" s="14"/>
      <c r="G4" s="14"/>
      <c r="K4" s="14"/>
      <c r="L4" s="14"/>
      <c r="N4" s="14"/>
      <c r="O4" s="14"/>
      <c r="P4" s="14"/>
      <c r="Q4" s="14"/>
      <c r="R4" s="14"/>
      <c r="S4" s="14"/>
      <c r="T4" s="14"/>
      <c r="U4" s="14"/>
      <c r="V4" s="14"/>
      <c r="W4" s="14"/>
      <c r="X4" s="14"/>
      <c r="Y4" s="14"/>
      <c r="Z4" s="14"/>
      <c r="AA4" s="14"/>
      <c r="AB4" s="14"/>
      <c r="AC4" s="14"/>
      <c r="AD4" s="14"/>
      <c r="AE4" s="14"/>
      <c r="AF4" s="14"/>
      <c r="AG4" s="14"/>
    </row>
    <row r="5" spans="1:33" s="60" customFormat="1" x14ac:dyDescent="0.25">
      <c r="A5" s="109" t="s">
        <v>420</v>
      </c>
      <c r="B5" s="110"/>
      <c r="C5" s="9">
        <f>-'C) Prél. conj.'!H323</f>
        <v>-123522825.06500004</v>
      </c>
      <c r="D5" s="36">
        <f>C5/$E$4</f>
        <v>-3.5994618495021373</v>
      </c>
      <c r="E5" s="100"/>
      <c r="F5" s="14"/>
      <c r="G5" s="14"/>
      <c r="K5" s="14"/>
      <c r="L5" s="14"/>
      <c r="N5" s="14"/>
      <c r="O5" s="14"/>
      <c r="P5" s="14"/>
      <c r="Q5" s="14"/>
      <c r="R5" s="14"/>
      <c r="S5" s="14"/>
      <c r="T5" s="14"/>
      <c r="U5" s="14"/>
      <c r="V5" s="14"/>
      <c r="W5" s="14"/>
      <c r="X5" s="14"/>
      <c r="Y5" s="14"/>
      <c r="Z5" s="14"/>
      <c r="AA5" s="14"/>
      <c r="AB5" s="14"/>
      <c r="AC5" s="14"/>
      <c r="AD5" s="14"/>
      <c r="AE5" s="14"/>
      <c r="AF5" s="14"/>
      <c r="AG5" s="14"/>
    </row>
    <row r="6" spans="1:33" s="60" customFormat="1" x14ac:dyDescent="0.25">
      <c r="A6" s="111" t="s">
        <v>421</v>
      </c>
      <c r="B6" s="112"/>
      <c r="C6" s="122">
        <f>-'D) Ecrêtage'!L323</f>
        <v>-113838849.30813636</v>
      </c>
      <c r="D6" s="36">
        <f>C6/$E$4</f>
        <v>-3.3172702685534992</v>
      </c>
      <c r="E6" s="100"/>
      <c r="F6" s="14"/>
      <c r="G6" s="14"/>
      <c r="K6" s="14"/>
      <c r="L6" s="14"/>
      <c r="N6" s="14"/>
      <c r="O6" s="14"/>
      <c r="P6" s="14"/>
      <c r="Q6" s="14"/>
      <c r="R6" s="14"/>
      <c r="S6" s="14"/>
      <c r="T6" s="14"/>
      <c r="U6" s="14"/>
      <c r="V6" s="14"/>
      <c r="W6" s="14"/>
      <c r="X6" s="14"/>
      <c r="Y6" s="14"/>
      <c r="Z6" s="14"/>
      <c r="AA6" s="14"/>
      <c r="AB6" s="14"/>
      <c r="AC6" s="14"/>
      <c r="AD6" s="14"/>
      <c r="AE6" s="14"/>
      <c r="AF6" s="14"/>
      <c r="AG6" s="14"/>
    </row>
    <row r="7" spans="1:33" s="60" customFormat="1" x14ac:dyDescent="0.25">
      <c r="A7" s="103" t="s">
        <v>332</v>
      </c>
      <c r="B7" s="105"/>
      <c r="C7" s="123">
        <f>C4+C6+C5</f>
        <v>503239868.6268636</v>
      </c>
      <c r="D7" s="21">
        <f>C7/$E$4</f>
        <v>14.664437178454055</v>
      </c>
      <c r="E7" s="100"/>
      <c r="F7" s="14"/>
      <c r="G7" s="14"/>
      <c r="K7" s="14"/>
      <c r="L7" s="14"/>
      <c r="N7" s="14"/>
      <c r="O7" s="14"/>
      <c r="P7" s="14"/>
      <c r="Q7" s="14"/>
      <c r="R7" s="14"/>
      <c r="S7" s="14"/>
      <c r="T7" s="14"/>
      <c r="U7" s="14"/>
      <c r="V7" s="14"/>
      <c r="W7" s="14"/>
      <c r="X7" s="14"/>
      <c r="Y7" s="14"/>
      <c r="Z7" s="14"/>
      <c r="AA7" s="14"/>
      <c r="AB7" s="14"/>
      <c r="AC7" s="14"/>
      <c r="AD7" s="14"/>
      <c r="AE7" s="14"/>
      <c r="AF7" s="14"/>
      <c r="AG7" s="14"/>
    </row>
    <row r="8" spans="1:33" s="60" customFormat="1" x14ac:dyDescent="0.25">
      <c r="A8" s="30"/>
      <c r="D8" s="14"/>
      <c r="E8" s="14"/>
      <c r="F8" s="14"/>
      <c r="G8" s="14"/>
      <c r="K8" s="14"/>
      <c r="L8" s="14"/>
      <c r="N8" s="14"/>
      <c r="O8" s="14"/>
      <c r="P8" s="14"/>
      <c r="Q8" s="14"/>
      <c r="R8" s="14"/>
      <c r="S8" s="14"/>
      <c r="T8" s="14"/>
      <c r="U8" s="14"/>
      <c r="V8" s="14"/>
      <c r="W8" s="14"/>
      <c r="X8" s="14"/>
      <c r="Y8" s="14"/>
      <c r="Z8" s="14"/>
      <c r="AA8" s="14"/>
      <c r="AB8" s="14"/>
      <c r="AC8" s="14"/>
      <c r="AD8" s="14"/>
      <c r="AE8" s="14"/>
      <c r="AF8" s="14"/>
      <c r="AG8" s="14"/>
    </row>
    <row r="9" spans="1:33" ht="38.25" customHeight="1" x14ac:dyDescent="0.25">
      <c r="A9" s="551" t="s">
        <v>50</v>
      </c>
      <c r="B9" s="551" t="s">
        <v>120</v>
      </c>
      <c r="C9" s="551" t="s">
        <v>347</v>
      </c>
      <c r="D9" s="551" t="s">
        <v>494</v>
      </c>
      <c r="E9" s="581" t="s">
        <v>536</v>
      </c>
      <c r="F9" s="78" t="s">
        <v>495</v>
      </c>
      <c r="G9" s="579" t="s">
        <v>450</v>
      </c>
    </row>
    <row r="10" spans="1:33" x14ac:dyDescent="0.25">
      <c r="A10" s="555"/>
      <c r="B10" s="552"/>
      <c r="C10" s="555"/>
      <c r="D10" s="552"/>
      <c r="E10" s="582"/>
      <c r="F10" s="114">
        <f>D7</f>
        <v>14.664437178454055</v>
      </c>
      <c r="G10" s="580"/>
    </row>
    <row r="11" spans="1:33" x14ac:dyDescent="0.25">
      <c r="A11" s="49">
        <f>'A) Base RI'!A7</f>
        <v>5401</v>
      </c>
      <c r="B11" s="115" t="str">
        <f>'A) Base RI'!B7</f>
        <v>Aigle</v>
      </c>
      <c r="C11" s="61">
        <f>'A) Base RI'!AN7</f>
        <v>9740</v>
      </c>
      <c r="D11" s="118">
        <f>'C) Prél. conj.'!H5</f>
        <v>1439996.0249999999</v>
      </c>
      <c r="E11" s="94">
        <f>'D) Ecrêtage'!L5</f>
        <v>0</v>
      </c>
      <c r="F11" s="44">
        <f>$F$10*'D) Ecrêtage'!M5</f>
        <v>4021049.7844816311</v>
      </c>
      <c r="G11" s="140">
        <f>D11+F11+E11</f>
        <v>5461045.809481631</v>
      </c>
    </row>
    <row r="12" spans="1:33" x14ac:dyDescent="0.25">
      <c r="A12" s="53">
        <f>'A) Base RI'!A8</f>
        <v>5402</v>
      </c>
      <c r="B12" s="116" t="str">
        <f>'A) Base RI'!B8</f>
        <v>Bex</v>
      </c>
      <c r="C12" s="10">
        <f>'A) Base RI'!AN8</f>
        <v>7424</v>
      </c>
      <c r="D12" s="34">
        <f>'C) Prél. conj.'!H6</f>
        <v>603754.78</v>
      </c>
      <c r="E12" s="15">
        <f>'D) Ecrêtage'!L6</f>
        <v>0</v>
      </c>
      <c r="F12" s="44">
        <f>$F$10*'D) Ecrêtage'!M6</f>
        <v>2472697.6227602824</v>
      </c>
      <c r="G12" s="67">
        <f t="shared" ref="G12:G67" si="0">D12+F12+E12</f>
        <v>3076452.4027602822</v>
      </c>
    </row>
    <row r="13" spans="1:33" x14ac:dyDescent="0.25">
      <c r="A13" s="53">
        <f>'A) Base RI'!A9</f>
        <v>5403</v>
      </c>
      <c r="B13" s="116" t="str">
        <f>'A) Base RI'!B9</f>
        <v>Chessel</v>
      </c>
      <c r="C13" s="10">
        <f>'A) Base RI'!AN9</f>
        <v>395</v>
      </c>
      <c r="D13" s="34">
        <f>'C) Prél. conj.'!H7</f>
        <v>26661.52</v>
      </c>
      <c r="E13" s="15">
        <f>'D) Ecrêtage'!L7</f>
        <v>0</v>
      </c>
      <c r="F13" s="44">
        <f>$F$10*'D) Ecrêtage'!M7</f>
        <v>122255.31921541113</v>
      </c>
      <c r="G13" s="67">
        <f t="shared" si="0"/>
        <v>148916.83921541114</v>
      </c>
    </row>
    <row r="14" spans="1:33" x14ac:dyDescent="0.25">
      <c r="A14" s="53">
        <f>'A) Base RI'!A10</f>
        <v>5404</v>
      </c>
      <c r="B14" s="116" t="str">
        <f>'A) Base RI'!B10</f>
        <v>Corbeyrier</v>
      </c>
      <c r="C14" s="10">
        <f>'A) Base RI'!AN10</f>
        <v>440</v>
      </c>
      <c r="D14" s="34">
        <f>'C) Prél. conj.'!H8</f>
        <v>44821.285000000003</v>
      </c>
      <c r="E14" s="15">
        <f>'D) Ecrêtage'!L8</f>
        <v>447614.6203563828</v>
      </c>
      <c r="F14" s="44">
        <f>$F$10*'D) Ecrêtage'!M8</f>
        <v>491651.04060341185</v>
      </c>
      <c r="G14" s="67">
        <f t="shared" si="0"/>
        <v>984086.94595979468</v>
      </c>
    </row>
    <row r="15" spans="1:33" x14ac:dyDescent="0.25">
      <c r="A15" s="53">
        <f>'A) Base RI'!A11</f>
        <v>5405</v>
      </c>
      <c r="B15" s="116" t="str">
        <f>'A) Base RI'!B11</f>
        <v>Gryon</v>
      </c>
      <c r="C15" s="10">
        <f>'A) Base RI'!AN11</f>
        <v>1342</v>
      </c>
      <c r="D15" s="34">
        <f>'C) Prél. conj.'!H9</f>
        <v>303645.7</v>
      </c>
      <c r="E15" s="15">
        <f>'D) Ecrêtage'!L9</f>
        <v>0</v>
      </c>
      <c r="F15" s="44">
        <f>$F$10*'D) Ecrêtage'!M9</f>
        <v>951208.01238393225</v>
      </c>
      <c r="G15" s="67">
        <f t="shared" si="0"/>
        <v>1254853.7123839322</v>
      </c>
    </row>
    <row r="16" spans="1:33" x14ac:dyDescent="0.25">
      <c r="A16" s="53">
        <f>'A) Base RI'!A12</f>
        <v>5406</v>
      </c>
      <c r="B16" s="116" t="str">
        <f>'A) Base RI'!B12</f>
        <v>Lavey-Morcles</v>
      </c>
      <c r="C16" s="10">
        <f>'A) Base RI'!AN12</f>
        <v>922</v>
      </c>
      <c r="D16" s="34">
        <f>'C) Prél. conj.'!H10</f>
        <v>13359.924999999999</v>
      </c>
      <c r="E16" s="15">
        <f>'D) Ecrêtage'!L10</f>
        <v>0</v>
      </c>
      <c r="F16" s="44">
        <f>$F$10*'D) Ecrêtage'!M10</f>
        <v>296938.52989932545</v>
      </c>
      <c r="G16" s="67">
        <f t="shared" si="0"/>
        <v>310298.45489932544</v>
      </c>
    </row>
    <row r="17" spans="1:7" x14ac:dyDescent="0.25">
      <c r="A17" s="53">
        <f>'A) Base RI'!A13</f>
        <v>5407</v>
      </c>
      <c r="B17" s="116" t="str">
        <f>'A) Base RI'!B13</f>
        <v>Leysin</v>
      </c>
      <c r="C17" s="10">
        <f>'A) Base RI'!AN13</f>
        <v>4088</v>
      </c>
      <c r="D17" s="34">
        <f>'C) Prél. conj.'!H11</f>
        <v>266163.33500000002</v>
      </c>
      <c r="E17" s="15">
        <f>'D) Ecrêtage'!L11</f>
        <v>0</v>
      </c>
      <c r="F17" s="44">
        <f>$F$10*'D) Ecrêtage'!M11</f>
        <v>1211443.4493782262</v>
      </c>
      <c r="G17" s="67">
        <f t="shared" si="0"/>
        <v>1477606.7843782261</v>
      </c>
    </row>
    <row r="18" spans="1:7" x14ac:dyDescent="0.25">
      <c r="A18" s="53">
        <f>'A) Base RI'!A14</f>
        <v>5408</v>
      </c>
      <c r="B18" s="116" t="str">
        <f>'A) Base RI'!B14</f>
        <v>Noville</v>
      </c>
      <c r="C18" s="10">
        <f>'A) Base RI'!AN14</f>
        <v>1056</v>
      </c>
      <c r="D18" s="34">
        <f>'C) Prél. conj.'!H12</f>
        <v>142819.77499999999</v>
      </c>
      <c r="E18" s="15">
        <f>'D) Ecrêtage'!L12</f>
        <v>0</v>
      </c>
      <c r="F18" s="44">
        <f>$F$10*'D) Ecrêtage'!M12</f>
        <v>490079.04313312576</v>
      </c>
      <c r="G18" s="67">
        <f t="shared" si="0"/>
        <v>632898.81813312578</v>
      </c>
    </row>
    <row r="19" spans="1:7" x14ac:dyDescent="0.25">
      <c r="A19" s="53">
        <f>'A) Base RI'!A15</f>
        <v>5409</v>
      </c>
      <c r="B19" s="116" t="str">
        <f>'A) Base RI'!B15</f>
        <v>Ollon</v>
      </c>
      <c r="C19" s="10">
        <f>'A) Base RI'!AN15</f>
        <v>7473</v>
      </c>
      <c r="D19" s="34">
        <f>'C) Prél. conj.'!H13</f>
        <v>1951427.4650000001</v>
      </c>
      <c r="E19" s="15">
        <f>'D) Ecrêtage'!L13</f>
        <v>0</v>
      </c>
      <c r="F19" s="44">
        <f>$F$10*'D) Ecrêtage'!M13</f>
        <v>5367693.4407379618</v>
      </c>
      <c r="G19" s="67">
        <f t="shared" si="0"/>
        <v>7319120.9057379616</v>
      </c>
    </row>
    <row r="20" spans="1:7" x14ac:dyDescent="0.25">
      <c r="A20" s="53">
        <f>'A) Base RI'!A16</f>
        <v>5410</v>
      </c>
      <c r="B20" s="116" t="str">
        <f>'A) Base RI'!B16</f>
        <v>Ormont-Dessous</v>
      </c>
      <c r="C20" s="10">
        <f>'A) Base RI'!AN16</f>
        <v>1105</v>
      </c>
      <c r="D20" s="34">
        <f>'C) Prél. conj.'!H14</f>
        <v>118118.04999999999</v>
      </c>
      <c r="E20" s="15">
        <f>'D) Ecrêtage'!L14</f>
        <v>0</v>
      </c>
      <c r="F20" s="44">
        <f>$F$10*'D) Ecrêtage'!M14</f>
        <v>534551.14760832395</v>
      </c>
      <c r="G20" s="67">
        <f t="shared" si="0"/>
        <v>652669.197608324</v>
      </c>
    </row>
    <row r="21" spans="1:7" x14ac:dyDescent="0.25">
      <c r="A21" s="53">
        <f>'A) Base RI'!A17</f>
        <v>5411</v>
      </c>
      <c r="B21" s="116" t="str">
        <f>'A) Base RI'!B17</f>
        <v>Ormont-Dessus</v>
      </c>
      <c r="C21" s="10">
        <f>'A) Base RI'!AN17</f>
        <v>1479</v>
      </c>
      <c r="D21" s="34">
        <f>'C) Prél. conj.'!H15</f>
        <v>235350.47500000001</v>
      </c>
      <c r="E21" s="15">
        <f>'D) Ecrêtage'!L15</f>
        <v>0</v>
      </c>
      <c r="F21" s="44">
        <f>$F$10*'D) Ecrêtage'!M15</f>
        <v>1085871.1424278461</v>
      </c>
      <c r="G21" s="67">
        <f t="shared" si="0"/>
        <v>1321221.6174278462</v>
      </c>
    </row>
    <row r="22" spans="1:7" x14ac:dyDescent="0.25">
      <c r="A22" s="53">
        <f>'A) Base RI'!A18</f>
        <v>5412</v>
      </c>
      <c r="B22" s="116" t="str">
        <f>'A) Base RI'!B18</f>
        <v>Rennaz</v>
      </c>
      <c r="C22" s="10">
        <f>'A) Base RI'!AN18</f>
        <v>843</v>
      </c>
      <c r="D22" s="34">
        <f>'C) Prél. conj.'!H16</f>
        <v>104019.7</v>
      </c>
      <c r="E22" s="15">
        <f>'D) Ecrêtage'!L16</f>
        <v>0</v>
      </c>
      <c r="F22" s="44">
        <f>$F$10*'D) Ecrêtage'!M16</f>
        <v>384563.54623196507</v>
      </c>
      <c r="G22" s="67">
        <f t="shared" si="0"/>
        <v>488583.24623196508</v>
      </c>
    </row>
    <row r="23" spans="1:7" x14ac:dyDescent="0.25">
      <c r="A23" s="53">
        <f>'A) Base RI'!A19</f>
        <v>5413</v>
      </c>
      <c r="B23" s="116" t="str">
        <f>'A) Base RI'!B19</f>
        <v>Roche</v>
      </c>
      <c r="C23" s="10">
        <f>'A) Base RI'!AN19</f>
        <v>1597</v>
      </c>
      <c r="D23" s="34">
        <f>'C) Prél. conj.'!H17</f>
        <v>177616.57</v>
      </c>
      <c r="E23" s="15">
        <f>'D) Ecrêtage'!L17</f>
        <v>0</v>
      </c>
      <c r="F23" s="44">
        <f>$F$10*'D) Ecrêtage'!M17</f>
        <v>570801.90183281305</v>
      </c>
      <c r="G23" s="67">
        <f t="shared" si="0"/>
        <v>748418.471832813</v>
      </c>
    </row>
    <row r="24" spans="1:7" x14ac:dyDescent="0.25">
      <c r="A24" s="53">
        <f>'A) Base RI'!A20</f>
        <v>5414</v>
      </c>
      <c r="B24" s="116" t="str">
        <f>'A) Base RI'!B20</f>
        <v>Villeneuve</v>
      </c>
      <c r="C24" s="10">
        <f>'A) Base RI'!AN20</f>
        <v>5457</v>
      </c>
      <c r="D24" s="34">
        <f>'C) Prél. conj.'!H18</f>
        <v>721923.84000000008</v>
      </c>
      <c r="E24" s="15">
        <f>'D) Ecrêtage'!L18</f>
        <v>0</v>
      </c>
      <c r="F24" s="44">
        <f>$F$10*'D) Ecrêtage'!M18</f>
        <v>2344307.8320722017</v>
      </c>
      <c r="G24" s="67">
        <f t="shared" si="0"/>
        <v>3066231.672072202</v>
      </c>
    </row>
    <row r="25" spans="1:7" x14ac:dyDescent="0.25">
      <c r="A25" s="53">
        <f>'A) Base RI'!A21</f>
        <v>5415</v>
      </c>
      <c r="B25" s="116" t="str">
        <f>'A) Base RI'!B21</f>
        <v>Yvorne</v>
      </c>
      <c r="C25" s="10">
        <f>'A) Base RI'!AN21</f>
        <v>1061</v>
      </c>
      <c r="D25" s="34">
        <f>'C) Prél. conj.'!H19</f>
        <v>122060.175</v>
      </c>
      <c r="E25" s="15">
        <f>'D) Ecrêtage'!L19</f>
        <v>0</v>
      </c>
      <c r="F25" s="44">
        <f>$F$10*'D) Ecrêtage'!M19</f>
        <v>523912.5999719699</v>
      </c>
      <c r="G25" s="67">
        <f t="shared" si="0"/>
        <v>645972.77497196989</v>
      </c>
    </row>
    <row r="26" spans="1:7" x14ac:dyDescent="0.25">
      <c r="A26" s="53">
        <f>'A) Base RI'!A22</f>
        <v>5421</v>
      </c>
      <c r="B26" s="116" t="str">
        <f>'A) Base RI'!B22</f>
        <v>Apples</v>
      </c>
      <c r="C26" s="10">
        <f>'A) Base RI'!AN22</f>
        <v>1412</v>
      </c>
      <c r="D26" s="34">
        <f>'C) Prél. conj.'!H20</f>
        <v>30806.32</v>
      </c>
      <c r="E26" s="15">
        <f>'D) Ecrêtage'!L20</f>
        <v>0</v>
      </c>
      <c r="F26" s="44">
        <f>$F$10*'D) Ecrêtage'!M20</f>
        <v>865283.37796731282</v>
      </c>
      <c r="G26" s="67">
        <f t="shared" si="0"/>
        <v>896089.69796731276</v>
      </c>
    </row>
    <row r="27" spans="1:7" x14ac:dyDescent="0.25">
      <c r="A27" s="53">
        <f>'A) Base RI'!A23</f>
        <v>5422</v>
      </c>
      <c r="B27" s="116" t="str">
        <f>'A) Base RI'!B23</f>
        <v>Aubonne</v>
      </c>
      <c r="C27" s="10">
        <f>'A) Base RI'!AN23</f>
        <v>3272</v>
      </c>
      <c r="D27" s="34">
        <f>'C) Prél. conj.'!H21</f>
        <v>491063.87</v>
      </c>
      <c r="E27" s="15">
        <f>'D) Ecrêtage'!L21</f>
        <v>868224.0433125071</v>
      </c>
      <c r="F27" s="44">
        <f>$F$10*'D) Ecrêtage'!M21</f>
        <v>3024102.8155986923</v>
      </c>
      <c r="G27" s="67">
        <f t="shared" si="0"/>
        <v>4383390.7289111996</v>
      </c>
    </row>
    <row r="28" spans="1:7" x14ac:dyDescent="0.25">
      <c r="A28" s="53">
        <f>'A) Base RI'!A24</f>
        <v>5423</v>
      </c>
      <c r="B28" s="116" t="str">
        <f>'A) Base RI'!B24</f>
        <v>Ballens</v>
      </c>
      <c r="C28" s="10">
        <f>'A) Base RI'!AN24</f>
        <v>508</v>
      </c>
      <c r="D28" s="34">
        <f>'C) Prél. conj.'!H22</f>
        <v>10258.81</v>
      </c>
      <c r="E28" s="15">
        <f>'D) Ecrêtage'!L22</f>
        <v>0</v>
      </c>
      <c r="F28" s="44">
        <f>$F$10*'D) Ecrêtage'!M22</f>
        <v>225217.23804394406</v>
      </c>
      <c r="G28" s="67">
        <f t="shared" si="0"/>
        <v>235476.04804394406</v>
      </c>
    </row>
    <row r="29" spans="1:7" x14ac:dyDescent="0.25">
      <c r="A29" s="53">
        <f>'A) Base RI'!A25</f>
        <v>5424</v>
      </c>
      <c r="B29" s="116" t="str">
        <f>'A) Base RI'!B25</f>
        <v>Berolle</v>
      </c>
      <c r="C29" s="10">
        <f>'A) Base RI'!AN25</f>
        <v>301</v>
      </c>
      <c r="D29" s="34">
        <f>'C) Prél. conj.'!H23</f>
        <v>23640.800000000003</v>
      </c>
      <c r="E29" s="15">
        <f>'D) Ecrêtage'!L23</f>
        <v>0</v>
      </c>
      <c r="F29" s="44">
        <f>$F$10*'D) Ecrêtage'!M23</f>
        <v>132834.0333257516</v>
      </c>
      <c r="G29" s="67">
        <f t="shared" si="0"/>
        <v>156474.83332575159</v>
      </c>
    </row>
    <row r="30" spans="1:7" x14ac:dyDescent="0.25">
      <c r="A30" s="53">
        <f>'A) Base RI'!A26</f>
        <v>5425</v>
      </c>
      <c r="B30" s="116" t="str">
        <f>'A) Base RI'!B26</f>
        <v>Bière</v>
      </c>
      <c r="C30" s="10">
        <f>'A) Base RI'!AN26</f>
        <v>1546</v>
      </c>
      <c r="D30" s="34">
        <f>'C) Prél. conj.'!H24</f>
        <v>187404.33499999999</v>
      </c>
      <c r="E30" s="15">
        <f>'D) Ecrêtage'!L24</f>
        <v>0</v>
      </c>
      <c r="F30" s="44">
        <f>$F$10*'D) Ecrêtage'!M24</f>
        <v>577970.07065724558</v>
      </c>
      <c r="G30" s="67">
        <f t="shared" si="0"/>
        <v>765374.40565724554</v>
      </c>
    </row>
    <row r="31" spans="1:7" x14ac:dyDescent="0.25">
      <c r="A31" s="53">
        <f>'A) Base RI'!A27</f>
        <v>5426</v>
      </c>
      <c r="B31" s="116" t="str">
        <f>'A) Base RI'!B27</f>
        <v>Bougy-Villars</v>
      </c>
      <c r="C31" s="10">
        <f>'A) Base RI'!AN27</f>
        <v>467</v>
      </c>
      <c r="D31" s="34">
        <f>'C) Prél. conj.'!H25</f>
        <v>2837504.0799999996</v>
      </c>
      <c r="E31" s="15">
        <f>'D) Ecrêtage'!L25</f>
        <v>426398.18882891902</v>
      </c>
      <c r="F31" s="44">
        <f>$F$10*'D) Ecrêtage'!M25</f>
        <v>523378.5787879639</v>
      </c>
      <c r="G31" s="67">
        <f t="shared" si="0"/>
        <v>3787280.8476168825</v>
      </c>
    </row>
    <row r="32" spans="1:7" x14ac:dyDescent="0.25">
      <c r="A32" s="53">
        <f>'A) Base RI'!A28</f>
        <v>5427</v>
      </c>
      <c r="B32" s="116" t="str">
        <f>'A) Base RI'!B28</f>
        <v>Féchy</v>
      </c>
      <c r="C32" s="10">
        <f>'A) Base RI'!AN28</f>
        <v>887</v>
      </c>
      <c r="D32" s="34">
        <f>'C) Prél. conj.'!H26</f>
        <v>175447.96499999997</v>
      </c>
      <c r="E32" s="15">
        <f>'D) Ecrêtage'!L26</f>
        <v>480824.85633925209</v>
      </c>
      <c r="F32" s="44">
        <f>$F$10*'D) Ecrêtage'!M26</f>
        <v>898545.65026723768</v>
      </c>
      <c r="G32" s="67">
        <f t="shared" si="0"/>
        <v>1554818.4716064897</v>
      </c>
    </row>
    <row r="33" spans="1:7" x14ac:dyDescent="0.25">
      <c r="A33" s="53">
        <f>'A) Base RI'!A29</f>
        <v>5428</v>
      </c>
      <c r="B33" s="116" t="str">
        <f>'A) Base RI'!B29</f>
        <v>Gimel</v>
      </c>
      <c r="C33" s="10">
        <f>'A) Base RI'!AN29</f>
        <v>1948</v>
      </c>
      <c r="D33" s="34">
        <f>'C) Prél. conj.'!H27</f>
        <v>314826.08499999996</v>
      </c>
      <c r="E33" s="15">
        <f>'D) Ecrêtage'!L27</f>
        <v>0</v>
      </c>
      <c r="F33" s="44">
        <f>$F$10*'D) Ecrêtage'!M27</f>
        <v>850605.14604401903</v>
      </c>
      <c r="G33" s="67">
        <f t="shared" si="0"/>
        <v>1165431.2310440191</v>
      </c>
    </row>
    <row r="34" spans="1:7" x14ac:dyDescent="0.25">
      <c r="A34" s="53">
        <f>'A) Base RI'!A30</f>
        <v>5429</v>
      </c>
      <c r="B34" s="116" t="str">
        <f>'A) Base RI'!B30</f>
        <v>Longirod</v>
      </c>
      <c r="C34" s="10">
        <f>'A) Base RI'!AN30</f>
        <v>460</v>
      </c>
      <c r="D34" s="34">
        <f>'C) Prél. conj.'!H28</f>
        <v>83514.475000000006</v>
      </c>
      <c r="E34" s="15">
        <f>'D) Ecrêtage'!L28</f>
        <v>0</v>
      </c>
      <c r="F34" s="44">
        <f>$F$10*'D) Ecrêtage'!M28</f>
        <v>178485.99021027939</v>
      </c>
      <c r="G34" s="67">
        <f t="shared" si="0"/>
        <v>262000.46521027939</v>
      </c>
    </row>
    <row r="35" spans="1:7" x14ac:dyDescent="0.25">
      <c r="A35" s="53">
        <f>'A) Base RI'!A31</f>
        <v>5430</v>
      </c>
      <c r="B35" s="116" t="str">
        <f>'A) Base RI'!B31</f>
        <v>Marchissy</v>
      </c>
      <c r="C35" s="10">
        <f>'A) Base RI'!AN31</f>
        <v>430</v>
      </c>
      <c r="D35" s="34">
        <f>'C) Prél. conj.'!H29</f>
        <v>47597.66</v>
      </c>
      <c r="E35" s="15">
        <f>'D) Ecrêtage'!L29</f>
        <v>0</v>
      </c>
      <c r="F35" s="44">
        <f>$F$10*'D) Ecrêtage'!M29</f>
        <v>155049.51670431596</v>
      </c>
      <c r="G35" s="67">
        <f t="shared" si="0"/>
        <v>202647.17670431596</v>
      </c>
    </row>
    <row r="36" spans="1:7" x14ac:dyDescent="0.25">
      <c r="A36" s="53">
        <f>'A) Base RI'!A32</f>
        <v>5431</v>
      </c>
      <c r="B36" s="116" t="str">
        <f>'A) Base RI'!B32</f>
        <v>Mollens</v>
      </c>
      <c r="C36" s="10">
        <f>'A) Base RI'!AN32</f>
        <v>295</v>
      </c>
      <c r="D36" s="34">
        <f>'C) Prél. conj.'!H30</f>
        <v>24889.599999999999</v>
      </c>
      <c r="E36" s="15">
        <f>'D) Ecrêtage'!L30</f>
        <v>0</v>
      </c>
      <c r="F36" s="44">
        <f>$F$10*'D) Ecrêtage'!M30</f>
        <v>164330.1388083171</v>
      </c>
      <c r="G36" s="67">
        <f t="shared" si="0"/>
        <v>189219.73880831711</v>
      </c>
    </row>
    <row r="37" spans="1:7" x14ac:dyDescent="0.25">
      <c r="A37" s="53">
        <f>'A) Base RI'!A33</f>
        <v>5432</v>
      </c>
      <c r="B37" s="116" t="str">
        <f>'A) Base RI'!B33</f>
        <v>Montherod</v>
      </c>
      <c r="C37" s="10">
        <f>'A) Base RI'!AN33</f>
        <v>522</v>
      </c>
      <c r="D37" s="34">
        <f>'C) Prél. conj.'!H31</f>
        <v>58861.135000000002</v>
      </c>
      <c r="E37" s="15">
        <f>'D) Ecrêtage'!L31</f>
        <v>0</v>
      </c>
      <c r="F37" s="44">
        <f>$F$10*'D) Ecrêtage'!M31</f>
        <v>259933.2967713768</v>
      </c>
      <c r="G37" s="67">
        <f t="shared" si="0"/>
        <v>318794.43177137681</v>
      </c>
    </row>
    <row r="38" spans="1:7" x14ac:dyDescent="0.25">
      <c r="A38" s="53">
        <f>'A) Base RI'!A34</f>
        <v>5434</v>
      </c>
      <c r="B38" s="116" t="str">
        <f>'A) Base RI'!B34</f>
        <v>Saint-George</v>
      </c>
      <c r="C38" s="10">
        <f>'A) Base RI'!AN34</f>
        <v>991</v>
      </c>
      <c r="D38" s="34">
        <f>'C) Prél. conj.'!H32</f>
        <v>103977.465</v>
      </c>
      <c r="E38" s="15">
        <f>'D) Ecrêtage'!L32</f>
        <v>0</v>
      </c>
      <c r="F38" s="44">
        <f>$F$10*'D) Ecrêtage'!M32</f>
        <v>526390.69361570163</v>
      </c>
      <c r="G38" s="67">
        <f t="shared" si="0"/>
        <v>630368.1586157016</v>
      </c>
    </row>
    <row r="39" spans="1:7" x14ac:dyDescent="0.25">
      <c r="A39" s="53">
        <f>'A) Base RI'!A35</f>
        <v>5435</v>
      </c>
      <c r="B39" s="116" t="str">
        <f>'A) Base RI'!B35</f>
        <v>Saint-Livres</v>
      </c>
      <c r="C39" s="10">
        <f>'A) Base RI'!AN35</f>
        <v>689</v>
      </c>
      <c r="D39" s="34">
        <f>'C) Prél. conj.'!H33</f>
        <v>10078.48</v>
      </c>
      <c r="E39" s="15">
        <f>'D) Ecrêtage'!L33</f>
        <v>0</v>
      </c>
      <c r="F39" s="44">
        <f>$F$10*'D) Ecrêtage'!M33</f>
        <v>328455.96392400487</v>
      </c>
      <c r="G39" s="67">
        <f t="shared" si="0"/>
        <v>338534.44392400485</v>
      </c>
    </row>
    <row r="40" spans="1:7" x14ac:dyDescent="0.25">
      <c r="A40" s="53">
        <f>'A) Base RI'!A36</f>
        <v>5436</v>
      </c>
      <c r="B40" s="116" t="str">
        <f>'A) Base RI'!B36</f>
        <v>Saint-Oyens</v>
      </c>
      <c r="C40" s="10">
        <f>'A) Base RI'!AN36</f>
        <v>350</v>
      </c>
      <c r="D40" s="34">
        <f>'C) Prél. conj.'!H34</f>
        <v>32262.424999999999</v>
      </c>
      <c r="E40" s="15">
        <f>'D) Ecrêtage'!L34</f>
        <v>0</v>
      </c>
      <c r="F40" s="44">
        <f>$F$10*'D) Ecrêtage'!M34</f>
        <v>153604.18427598421</v>
      </c>
      <c r="G40" s="67">
        <f t="shared" si="0"/>
        <v>185866.6092759842</v>
      </c>
    </row>
    <row r="41" spans="1:7" x14ac:dyDescent="0.25">
      <c r="A41" s="53">
        <f>'A) Base RI'!A37</f>
        <v>5437</v>
      </c>
      <c r="B41" s="116" t="str">
        <f>'A) Base RI'!B37</f>
        <v>Saubraz</v>
      </c>
      <c r="C41" s="10">
        <f>'A) Base RI'!AN37</f>
        <v>420</v>
      </c>
      <c r="D41" s="34">
        <f>'C) Prél. conj.'!H35</f>
        <v>51665.810000000005</v>
      </c>
      <c r="E41" s="15">
        <f>'D) Ecrêtage'!L35</f>
        <v>0</v>
      </c>
      <c r="F41" s="44">
        <f>$F$10*'D) Ecrêtage'!M35</f>
        <v>148679.69484690437</v>
      </c>
      <c r="G41" s="67">
        <f t="shared" si="0"/>
        <v>200345.50484690437</v>
      </c>
    </row>
    <row r="42" spans="1:7" x14ac:dyDescent="0.25">
      <c r="A42" s="53">
        <f>'A) Base RI'!A38</f>
        <v>5451</v>
      </c>
      <c r="B42" s="116" t="str">
        <f>'A) Base RI'!B38</f>
        <v>Avenches</v>
      </c>
      <c r="C42" s="10">
        <f>'A) Base RI'!AN38</f>
        <v>4129</v>
      </c>
      <c r="D42" s="34">
        <f>'C) Prél. conj.'!H36</f>
        <v>585547.70499999996</v>
      </c>
      <c r="E42" s="15">
        <f>'D) Ecrêtage'!L36</f>
        <v>0</v>
      </c>
      <c r="F42" s="44">
        <f>$F$10*'D) Ecrêtage'!M36</f>
        <v>1601471.2718558251</v>
      </c>
      <c r="G42" s="67">
        <f t="shared" si="0"/>
        <v>2187018.9768558252</v>
      </c>
    </row>
    <row r="43" spans="1:7" x14ac:dyDescent="0.25">
      <c r="A43" s="53">
        <f>'A) Base RI'!A39</f>
        <v>5456</v>
      </c>
      <c r="B43" s="116" t="str">
        <f>'A) Base RI'!B39</f>
        <v>Cudrefin</v>
      </c>
      <c r="C43" s="10">
        <f>'A) Base RI'!AN39</f>
        <v>1555</v>
      </c>
      <c r="D43" s="34">
        <f>'C) Prél. conj.'!H37</f>
        <v>86839.43</v>
      </c>
      <c r="E43" s="15">
        <f>'D) Ecrêtage'!L37</f>
        <v>0</v>
      </c>
      <c r="F43" s="44">
        <f>$F$10*'D) Ecrêtage'!M37</f>
        <v>753368.13612322393</v>
      </c>
      <c r="G43" s="67">
        <f t="shared" si="0"/>
        <v>840207.56612322386</v>
      </c>
    </row>
    <row r="44" spans="1:7" x14ac:dyDescent="0.25">
      <c r="A44" s="53">
        <f>'A) Base RI'!A40</f>
        <v>5458</v>
      </c>
      <c r="B44" s="116" t="str">
        <f>'A) Base RI'!B40</f>
        <v>Faoug</v>
      </c>
      <c r="C44" s="10">
        <f>'A) Base RI'!AN40</f>
        <v>870</v>
      </c>
      <c r="D44" s="34">
        <f>'C) Prél. conj.'!H38</f>
        <v>73879.725000000006</v>
      </c>
      <c r="E44" s="15">
        <f>'D) Ecrêtage'!L38</f>
        <v>0</v>
      </c>
      <c r="F44" s="44">
        <f>$F$10*'D) Ecrêtage'!M38</f>
        <v>464746.70639395987</v>
      </c>
      <c r="G44" s="67">
        <f t="shared" si="0"/>
        <v>538626.43139395991</v>
      </c>
    </row>
    <row r="45" spans="1:7" x14ac:dyDescent="0.25">
      <c r="A45" s="53">
        <f>'A) Base RI'!A41</f>
        <v>5464</v>
      </c>
      <c r="B45" s="116" t="str">
        <f>'A) Base RI'!B41</f>
        <v>Vully-les-Lacs</v>
      </c>
      <c r="C45" s="10">
        <f>'A) Base RI'!AN41</f>
        <v>2935</v>
      </c>
      <c r="D45" s="34">
        <f>'C) Prél. conj.'!H39</f>
        <v>531731.44999999995</v>
      </c>
      <c r="E45" s="15">
        <f>'D) Ecrêtage'!L39</f>
        <v>0</v>
      </c>
      <c r="F45" s="44">
        <f>$F$10*'D) Ecrêtage'!M39</f>
        <v>1412337.5922891584</v>
      </c>
      <c r="G45" s="67">
        <f t="shared" si="0"/>
        <v>1944069.0422891583</v>
      </c>
    </row>
    <row r="46" spans="1:7" x14ac:dyDescent="0.25">
      <c r="A46" s="53">
        <f>'A) Base RI'!A42</f>
        <v>5471</v>
      </c>
      <c r="B46" s="116" t="str">
        <f>'A) Base RI'!B42</f>
        <v>Bettens</v>
      </c>
      <c r="C46" s="10">
        <f>'A) Base RI'!AN42</f>
        <v>584</v>
      </c>
      <c r="D46" s="34">
        <f>'C) Prél. conj.'!H40</f>
        <v>27844.224999999999</v>
      </c>
      <c r="E46" s="15">
        <f>'D) Ecrêtage'!L40</f>
        <v>0</v>
      </c>
      <c r="F46" s="44">
        <f>$F$10*'D) Ecrêtage'!M40</f>
        <v>241216.5969024353</v>
      </c>
      <c r="G46" s="67">
        <f t="shared" si="0"/>
        <v>269060.82190243527</v>
      </c>
    </row>
    <row r="47" spans="1:7" x14ac:dyDescent="0.25">
      <c r="A47" s="53">
        <f>'A) Base RI'!A43</f>
        <v>5472</v>
      </c>
      <c r="B47" s="116" t="str">
        <f>'A) Base RI'!B43</f>
        <v>Bournens</v>
      </c>
      <c r="C47" s="10">
        <f>'A) Base RI'!AN43</f>
        <v>370</v>
      </c>
      <c r="D47" s="34">
        <f>'C) Prél. conj.'!H41</f>
        <v>55236.724999999999</v>
      </c>
      <c r="E47" s="15">
        <f>'D) Ecrêtage'!L41</f>
        <v>0</v>
      </c>
      <c r="F47" s="44">
        <f>$F$10*'D) Ecrêtage'!M41</f>
        <v>208114.77604667604</v>
      </c>
      <c r="G47" s="67">
        <f t="shared" si="0"/>
        <v>263351.50104667601</v>
      </c>
    </row>
    <row r="48" spans="1:7" x14ac:dyDescent="0.25">
      <c r="A48" s="53">
        <f>'A) Base RI'!A44</f>
        <v>5473</v>
      </c>
      <c r="B48" s="116" t="str">
        <f>'A) Base RI'!B44</f>
        <v>Boussens</v>
      </c>
      <c r="C48" s="10">
        <f>'A) Base RI'!AN44</f>
        <v>980</v>
      </c>
      <c r="D48" s="34">
        <f>'C) Prél. conj.'!H42</f>
        <v>56932.075000000004</v>
      </c>
      <c r="E48" s="15">
        <f>'D) Ecrêtage'!L42</f>
        <v>0</v>
      </c>
      <c r="F48" s="44">
        <f>$F$10*'D) Ecrêtage'!M42</f>
        <v>480363.74438209337</v>
      </c>
      <c r="G48" s="67">
        <f t="shared" si="0"/>
        <v>537295.81938209338</v>
      </c>
    </row>
    <row r="49" spans="1:7" x14ac:dyDescent="0.25">
      <c r="A49" s="53">
        <f>'A) Base RI'!A45</f>
        <v>5474</v>
      </c>
      <c r="B49" s="116" t="str">
        <f>'A) Base RI'!B45</f>
        <v>La Chaux (Cossonay)</v>
      </c>
      <c r="C49" s="10">
        <f>'A) Base RI'!AN45</f>
        <v>421</v>
      </c>
      <c r="D49" s="34">
        <f>'C) Prél. conj.'!H43</f>
        <v>51133.35</v>
      </c>
      <c r="E49" s="15">
        <f>'D) Ecrêtage'!L43</f>
        <v>0</v>
      </c>
      <c r="F49" s="44">
        <f>$F$10*'D) Ecrêtage'!M43</f>
        <v>189535.78068747447</v>
      </c>
      <c r="G49" s="67">
        <f t="shared" si="0"/>
        <v>240669.13068747448</v>
      </c>
    </row>
    <row r="50" spans="1:7" x14ac:dyDescent="0.25">
      <c r="A50" s="53">
        <f>'A) Base RI'!A46</f>
        <v>5475</v>
      </c>
      <c r="B50" s="116" t="str">
        <f>'A) Base RI'!B46</f>
        <v>Chavannes-le-Veyron</v>
      </c>
      <c r="C50" s="10">
        <f>'A) Base RI'!AN46</f>
        <v>143</v>
      </c>
      <c r="D50" s="34">
        <f>'C) Prél. conj.'!H44</f>
        <v>34046.6</v>
      </c>
      <c r="E50" s="15">
        <f>'D) Ecrêtage'!L44</f>
        <v>0</v>
      </c>
      <c r="F50" s="44">
        <f>$F$10*'D) Ecrêtage'!M44</f>
        <v>39195.027702732841</v>
      </c>
      <c r="G50" s="67">
        <f t="shared" si="0"/>
        <v>73241.627702732832</v>
      </c>
    </row>
    <row r="51" spans="1:7" x14ac:dyDescent="0.25">
      <c r="A51" s="53">
        <f>'A) Base RI'!A47</f>
        <v>5476</v>
      </c>
      <c r="B51" s="116" t="str">
        <f>'A) Base RI'!B47</f>
        <v>Chevilly</v>
      </c>
      <c r="C51" s="10">
        <f>'A) Base RI'!AN47</f>
        <v>299</v>
      </c>
      <c r="D51" s="34">
        <f>'C) Prél. conj.'!H45</f>
        <v>26705.449999999997</v>
      </c>
      <c r="E51" s="15">
        <f>'D) Ecrêtage'!L45</f>
        <v>0</v>
      </c>
      <c r="F51" s="44">
        <f>$F$10*'D) Ecrêtage'!M45</f>
        <v>150280.45068982942</v>
      </c>
      <c r="G51" s="67">
        <f t="shared" si="0"/>
        <v>176985.90068982943</v>
      </c>
    </row>
    <row r="52" spans="1:7" x14ac:dyDescent="0.25">
      <c r="A52" s="53">
        <f>'A) Base RI'!A48</f>
        <v>5477</v>
      </c>
      <c r="B52" s="116" t="str">
        <f>'A) Base RI'!B48</f>
        <v>Cossonay</v>
      </c>
      <c r="C52" s="10">
        <f>'A) Base RI'!AN48</f>
        <v>3632</v>
      </c>
      <c r="D52" s="34">
        <f>'C) Prél. conj.'!H46</f>
        <v>330207.76</v>
      </c>
      <c r="E52" s="15">
        <f>'D) Ecrêtage'!L46</f>
        <v>0</v>
      </c>
      <c r="F52" s="44">
        <f>$F$10*'D) Ecrêtage'!M46</f>
        <v>1846796.4755464853</v>
      </c>
      <c r="G52" s="67">
        <f t="shared" si="0"/>
        <v>2177004.2355464855</v>
      </c>
    </row>
    <row r="53" spans="1:7" x14ac:dyDescent="0.25">
      <c r="A53" s="53">
        <f>'A) Base RI'!A49</f>
        <v>5478</v>
      </c>
      <c r="B53" s="116" t="str">
        <f>'A) Base RI'!B49</f>
        <v>Cottens</v>
      </c>
      <c r="C53" s="10">
        <f>'A) Base RI'!AN49</f>
        <v>483</v>
      </c>
      <c r="D53" s="34">
        <f>'C) Prél. conj.'!H47</f>
        <v>10089.700000000001</v>
      </c>
      <c r="E53" s="15">
        <f>'D) Ecrêtage'!L47</f>
        <v>0</v>
      </c>
      <c r="F53" s="44">
        <f>$F$10*'D) Ecrêtage'!M47</f>
        <v>212125.74271766312</v>
      </c>
      <c r="G53" s="67">
        <f t="shared" si="0"/>
        <v>222215.44271766313</v>
      </c>
    </row>
    <row r="54" spans="1:7" x14ac:dyDescent="0.25">
      <c r="A54" s="53">
        <f>'A) Base RI'!A50</f>
        <v>5479</v>
      </c>
      <c r="B54" s="116" t="str">
        <f>'A) Base RI'!B50</f>
        <v>Cuarnens</v>
      </c>
      <c r="C54" s="10">
        <f>'A) Base RI'!AN50</f>
        <v>481</v>
      </c>
      <c r="D54" s="34">
        <f>'C) Prél. conj.'!H48</f>
        <v>50891.275000000009</v>
      </c>
      <c r="E54" s="15">
        <f>'D) Ecrêtage'!L48</f>
        <v>0</v>
      </c>
      <c r="F54" s="44">
        <f>$F$10*'D) Ecrêtage'!M48</f>
        <v>169562.23797341032</v>
      </c>
      <c r="G54" s="67">
        <f t="shared" si="0"/>
        <v>220453.51297341031</v>
      </c>
    </row>
    <row r="55" spans="1:7" x14ac:dyDescent="0.25">
      <c r="A55" s="53">
        <f>'A) Base RI'!A51</f>
        <v>5480</v>
      </c>
      <c r="B55" s="116" t="str">
        <f>'A) Base RI'!B51</f>
        <v>Daillens</v>
      </c>
      <c r="C55" s="10">
        <f>'A) Base RI'!AN51</f>
        <v>958</v>
      </c>
      <c r="D55" s="34">
        <f>'C) Prél. conj.'!H49</f>
        <v>96552</v>
      </c>
      <c r="E55" s="15">
        <f>'D) Ecrêtage'!L49</f>
        <v>0</v>
      </c>
      <c r="F55" s="44">
        <f>$F$10*'D) Ecrêtage'!M49</f>
        <v>511086.33391275525</v>
      </c>
      <c r="G55" s="67">
        <f t="shared" si="0"/>
        <v>607638.33391275525</v>
      </c>
    </row>
    <row r="56" spans="1:7" x14ac:dyDescent="0.25">
      <c r="A56" s="53">
        <f>'A) Base RI'!A52</f>
        <v>5481</v>
      </c>
      <c r="B56" s="116" t="str">
        <f>'A) Base RI'!B52</f>
        <v>Dizy</v>
      </c>
      <c r="C56" s="10">
        <f>'A) Base RI'!AN52</f>
        <v>222</v>
      </c>
      <c r="D56" s="34">
        <f>'C) Prél. conj.'!H50</f>
        <v>11853.325000000001</v>
      </c>
      <c r="E56" s="15">
        <f>'D) Ecrêtage'!L50</f>
        <v>0</v>
      </c>
      <c r="F56" s="44">
        <f>$F$10*'D) Ecrêtage'!M50</f>
        <v>130517.19597895099</v>
      </c>
      <c r="G56" s="67">
        <f t="shared" si="0"/>
        <v>142370.52097895098</v>
      </c>
    </row>
    <row r="57" spans="1:7" x14ac:dyDescent="0.25">
      <c r="A57" s="53">
        <f>'A) Base RI'!A53</f>
        <v>5482</v>
      </c>
      <c r="B57" s="116" t="str">
        <f>'A) Base RI'!B53</f>
        <v>Eclépens</v>
      </c>
      <c r="C57" s="10">
        <f>'A) Base RI'!AN53</f>
        <v>1043</v>
      </c>
      <c r="D57" s="34">
        <f>'C) Prél. conj.'!H51</f>
        <v>193114.84</v>
      </c>
      <c r="E57" s="15">
        <f>'D) Ecrêtage'!L51</f>
        <v>0</v>
      </c>
      <c r="F57" s="44">
        <f>$F$10*'D) Ecrêtage'!M51</f>
        <v>392889.70927445934</v>
      </c>
      <c r="G57" s="67">
        <f t="shared" si="0"/>
        <v>586004.54927445936</v>
      </c>
    </row>
    <row r="58" spans="1:7" x14ac:dyDescent="0.25">
      <c r="A58" s="53">
        <f>'A) Base RI'!A54</f>
        <v>5483</v>
      </c>
      <c r="B58" s="116" t="str">
        <f>'A) Base RI'!B54</f>
        <v>Ferreyres</v>
      </c>
      <c r="C58" s="10">
        <f>'A) Base RI'!AN54</f>
        <v>316</v>
      </c>
      <c r="D58" s="34">
        <f>'C) Prél. conj.'!H52</f>
        <v>4867.5</v>
      </c>
      <c r="E58" s="15">
        <f>'D) Ecrêtage'!L52</f>
        <v>0</v>
      </c>
      <c r="F58" s="44">
        <f>$F$10*'D) Ecrêtage'!M52</f>
        <v>143328.09035694387</v>
      </c>
      <c r="G58" s="67">
        <f t="shared" si="0"/>
        <v>148195.59035694387</v>
      </c>
    </row>
    <row r="59" spans="1:7" x14ac:dyDescent="0.25">
      <c r="A59" s="53">
        <f>'A) Base RI'!A55</f>
        <v>5484</v>
      </c>
      <c r="B59" s="116" t="str">
        <f>'A) Base RI'!B55</f>
        <v>Gollion</v>
      </c>
      <c r="C59" s="10">
        <f>'A) Base RI'!AN55</f>
        <v>902</v>
      </c>
      <c r="D59" s="34">
        <f>'C) Prél. conj.'!H53</f>
        <v>110390.285</v>
      </c>
      <c r="E59" s="15">
        <f>'D) Ecrêtage'!L53</f>
        <v>0</v>
      </c>
      <c r="F59" s="44">
        <f>$F$10*'D) Ecrêtage'!M53</f>
        <v>426203.11592898576</v>
      </c>
      <c r="G59" s="67">
        <f t="shared" si="0"/>
        <v>536593.40092898579</v>
      </c>
    </row>
    <row r="60" spans="1:7" x14ac:dyDescent="0.25">
      <c r="A60" s="53">
        <f>'A) Base RI'!A56</f>
        <v>5485</v>
      </c>
      <c r="B60" s="116" t="str">
        <f>'A) Base RI'!B56</f>
        <v>Grancy</v>
      </c>
      <c r="C60" s="10">
        <f>'A) Base RI'!AN56</f>
        <v>408</v>
      </c>
      <c r="D60" s="34">
        <f>'C) Prél. conj.'!H54</f>
        <v>32116.424999999999</v>
      </c>
      <c r="E60" s="15">
        <f>'D) Ecrêtage'!L54</f>
        <v>0</v>
      </c>
      <c r="F60" s="44">
        <f>$F$10*'D) Ecrêtage'!M54</f>
        <v>221050.96347728311</v>
      </c>
      <c r="G60" s="67">
        <f t="shared" si="0"/>
        <v>253167.38847728309</v>
      </c>
    </row>
    <row r="61" spans="1:7" x14ac:dyDescent="0.25">
      <c r="A61" s="53">
        <f>'A) Base RI'!A57</f>
        <v>5486</v>
      </c>
      <c r="B61" s="116" t="str">
        <f>'A) Base RI'!B57</f>
        <v>L'Isle</v>
      </c>
      <c r="C61" s="10">
        <f>'A) Base RI'!AN57</f>
        <v>1033</v>
      </c>
      <c r="D61" s="34">
        <f>'C) Prél. conj.'!H55</f>
        <v>118025.565</v>
      </c>
      <c r="E61" s="15">
        <f>'D) Ecrêtage'!L55</f>
        <v>0</v>
      </c>
      <c r="F61" s="44">
        <f>$F$10*'D) Ecrêtage'!M55</f>
        <v>437507.41291399737</v>
      </c>
      <c r="G61" s="67">
        <f t="shared" si="0"/>
        <v>555532.97791399737</v>
      </c>
    </row>
    <row r="62" spans="1:7" x14ac:dyDescent="0.25">
      <c r="A62" s="53">
        <f>'A) Base RI'!A58</f>
        <v>5487</v>
      </c>
      <c r="B62" s="116" t="str">
        <f>'A) Base RI'!B58</f>
        <v>Lussery-Villars</v>
      </c>
      <c r="C62" s="10">
        <f>'A) Base RI'!AN58</f>
        <v>462</v>
      </c>
      <c r="D62" s="34">
        <f>'C) Prél. conj.'!H56</f>
        <v>20212.48</v>
      </c>
      <c r="E62" s="15">
        <f>'D) Ecrêtage'!L56</f>
        <v>0</v>
      </c>
      <c r="F62" s="44">
        <f>$F$10*'D) Ecrêtage'!M56</f>
        <v>192746.41429042022</v>
      </c>
      <c r="G62" s="67">
        <f t="shared" si="0"/>
        <v>212958.89429042023</v>
      </c>
    </row>
    <row r="63" spans="1:7" x14ac:dyDescent="0.25">
      <c r="A63" s="53">
        <f>'A) Base RI'!A59</f>
        <v>5488</v>
      </c>
      <c r="B63" s="116" t="str">
        <f>'A) Base RI'!B59</f>
        <v>Mauraz</v>
      </c>
      <c r="C63" s="10">
        <f>'A) Base RI'!AN59</f>
        <v>53</v>
      </c>
      <c r="D63" s="34">
        <f>'C) Prél. conj.'!H57</f>
        <v>0</v>
      </c>
      <c r="E63" s="15">
        <f>'D) Ecrêtage'!L57</f>
        <v>0</v>
      </c>
      <c r="F63" s="44">
        <f>$F$10*'D) Ecrêtage'!M57</f>
        <v>23534.909649044821</v>
      </c>
      <c r="G63" s="67">
        <f t="shared" si="0"/>
        <v>23534.909649044821</v>
      </c>
    </row>
    <row r="64" spans="1:7" x14ac:dyDescent="0.25">
      <c r="A64" s="53">
        <f>'A) Base RI'!A60</f>
        <v>5489</v>
      </c>
      <c r="B64" s="116" t="str">
        <f>'A) Base RI'!B60</f>
        <v>Mex</v>
      </c>
      <c r="C64" s="10">
        <f>'A) Base RI'!AN60</f>
        <v>710</v>
      </c>
      <c r="D64" s="34">
        <f>'C) Prél. conj.'!H58</f>
        <v>124379.29999999999</v>
      </c>
      <c r="E64" s="15">
        <f>'D) Ecrêtage'!L58</f>
        <v>155458.11950444343</v>
      </c>
      <c r="F64" s="44">
        <f>$F$10*'D) Ecrêtage'!M58</f>
        <v>650418.77314482862</v>
      </c>
      <c r="G64" s="67">
        <f t="shared" si="0"/>
        <v>930256.19264927204</v>
      </c>
    </row>
    <row r="65" spans="1:7" x14ac:dyDescent="0.25">
      <c r="A65" s="53">
        <f>'A) Base RI'!A61</f>
        <v>5490</v>
      </c>
      <c r="B65" s="116" t="str">
        <f>'A) Base RI'!B61</f>
        <v>Moiry</v>
      </c>
      <c r="C65" s="10">
        <f>'A) Base RI'!AN61</f>
        <v>304</v>
      </c>
      <c r="D65" s="34">
        <f>'C) Prél. conj.'!H59</f>
        <v>16630.8</v>
      </c>
      <c r="E65" s="15">
        <f>'D) Ecrêtage'!L59</f>
        <v>0</v>
      </c>
      <c r="F65" s="44">
        <f>$F$10*'D) Ecrêtage'!M59</f>
        <v>109190.33289083086</v>
      </c>
      <c r="G65" s="67">
        <f t="shared" si="0"/>
        <v>125821.13289083086</v>
      </c>
    </row>
    <row r="66" spans="1:7" x14ac:dyDescent="0.25">
      <c r="A66" s="53">
        <f>'A) Base RI'!A62</f>
        <v>5491</v>
      </c>
      <c r="B66" s="116" t="str">
        <f>'A) Base RI'!B62</f>
        <v>Mont-la-Ville</v>
      </c>
      <c r="C66" s="10">
        <f>'A) Base RI'!AN62</f>
        <v>402</v>
      </c>
      <c r="D66" s="34">
        <f>'C) Prél. conj.'!H60</f>
        <v>58132.154999999999</v>
      </c>
      <c r="E66" s="15">
        <f>'D) Ecrêtage'!L60</f>
        <v>0</v>
      </c>
      <c r="F66" s="44">
        <f>$F$10*'D) Ecrêtage'!M60</f>
        <v>128408.15237409217</v>
      </c>
      <c r="G66" s="67">
        <f t="shared" si="0"/>
        <v>186540.30737409217</v>
      </c>
    </row>
    <row r="67" spans="1:7" x14ac:dyDescent="0.25">
      <c r="A67" s="53">
        <f>'A) Base RI'!A63</f>
        <v>5492</v>
      </c>
      <c r="B67" s="116" t="str">
        <f>'A) Base RI'!B63</f>
        <v>Montricher</v>
      </c>
      <c r="C67" s="10">
        <f>'A) Base RI'!AN63</f>
        <v>951</v>
      </c>
      <c r="D67" s="34">
        <f>'C) Prél. conj.'!H61</f>
        <v>62867.974999999999</v>
      </c>
      <c r="E67" s="15">
        <f>'D) Ecrêtage'!L61</f>
        <v>5447833.3585414831</v>
      </c>
      <c r="F67" s="44">
        <f>$F$10*'D) Ecrêtage'!M61</f>
        <v>1711665.222920771</v>
      </c>
      <c r="G67" s="67">
        <f t="shared" si="0"/>
        <v>7222366.5564622544</v>
      </c>
    </row>
    <row r="68" spans="1:7" x14ac:dyDescent="0.25">
      <c r="A68" s="53">
        <f>'A) Base RI'!A64</f>
        <v>5493</v>
      </c>
      <c r="B68" s="116" t="str">
        <f>'A) Base RI'!B64</f>
        <v>Orny</v>
      </c>
      <c r="C68" s="10">
        <f>'A) Base RI'!AN64</f>
        <v>371</v>
      </c>
      <c r="D68" s="34">
        <f>'C) Prél. conj.'!H62</f>
        <v>127744.24500000001</v>
      </c>
      <c r="E68" s="15">
        <f>'D) Ecrêtage'!L62</f>
        <v>0</v>
      </c>
      <c r="F68" s="44">
        <f>$F$10*'D) Ecrêtage'!M62</f>
        <v>133140.07608993689</v>
      </c>
      <c r="G68" s="67">
        <f t="shared" ref="G68:G122" si="1">D68+F68+E68</f>
        <v>260884.32108993689</v>
      </c>
    </row>
    <row r="69" spans="1:7" x14ac:dyDescent="0.25">
      <c r="A69" s="53">
        <f>'A) Base RI'!A65</f>
        <v>5494</v>
      </c>
      <c r="B69" s="116" t="str">
        <f>'A) Base RI'!B65</f>
        <v>Pampigny</v>
      </c>
      <c r="C69" s="10">
        <f>'A) Base RI'!AN65</f>
        <v>1116</v>
      </c>
      <c r="D69" s="34">
        <f>'C) Prél. conj.'!H63</f>
        <v>114624.285</v>
      </c>
      <c r="E69" s="15">
        <f>'D) Ecrêtage'!L63</f>
        <v>0</v>
      </c>
      <c r="F69" s="44">
        <f>$F$10*'D) Ecrêtage'!M63</f>
        <v>539621.84821545996</v>
      </c>
      <c r="G69" s="67">
        <f t="shared" si="1"/>
        <v>654246.13321545999</v>
      </c>
    </row>
    <row r="70" spans="1:7" x14ac:dyDescent="0.25">
      <c r="A70" s="53">
        <f>'A) Base RI'!A66</f>
        <v>5495</v>
      </c>
      <c r="B70" s="116" t="str">
        <f>'A) Base RI'!B66</f>
        <v>Penthalaz</v>
      </c>
      <c r="C70" s="10">
        <f>'A) Base RI'!AN66</f>
        <v>3252</v>
      </c>
      <c r="D70" s="34">
        <f>'C) Prél. conj.'!H64</f>
        <v>165889.23500000002</v>
      </c>
      <c r="E70" s="15">
        <f>'D) Ecrêtage'!L64</f>
        <v>0</v>
      </c>
      <c r="F70" s="44">
        <f>$F$10*'D) Ecrêtage'!M64</f>
        <v>1458173.3874663427</v>
      </c>
      <c r="G70" s="67">
        <f t="shared" si="1"/>
        <v>1624062.6224663428</v>
      </c>
    </row>
    <row r="71" spans="1:7" x14ac:dyDescent="0.25">
      <c r="A71" s="53">
        <f>'A) Base RI'!A67</f>
        <v>5496</v>
      </c>
      <c r="B71" s="116" t="str">
        <f>'A) Base RI'!B67</f>
        <v>Penthaz</v>
      </c>
      <c r="C71" s="10">
        <f>'A) Base RI'!AN67</f>
        <v>1703</v>
      </c>
      <c r="D71" s="34">
        <f>'C) Prél. conj.'!H65</f>
        <v>80283.09</v>
      </c>
      <c r="E71" s="15">
        <f>'D) Ecrêtage'!L65</f>
        <v>0</v>
      </c>
      <c r="F71" s="44">
        <f>$F$10*'D) Ecrêtage'!M65</f>
        <v>775831.54156741768</v>
      </c>
      <c r="G71" s="67">
        <f t="shared" si="1"/>
        <v>856114.63156741764</v>
      </c>
    </row>
    <row r="72" spans="1:7" x14ac:dyDescent="0.25">
      <c r="A72" s="53">
        <f>'A) Base RI'!A68</f>
        <v>5497</v>
      </c>
      <c r="B72" s="116" t="str">
        <f>'A) Base RI'!B68</f>
        <v>Pompaples</v>
      </c>
      <c r="C72" s="10">
        <f>'A) Base RI'!AN68</f>
        <v>859</v>
      </c>
      <c r="D72" s="34">
        <f>'C) Prél. conj.'!H66</f>
        <v>170193.16500000001</v>
      </c>
      <c r="E72" s="15">
        <f>'D) Ecrêtage'!L66</f>
        <v>0</v>
      </c>
      <c r="F72" s="44">
        <f>$F$10*'D) Ecrêtage'!M66</f>
        <v>326615.26348259463</v>
      </c>
      <c r="G72" s="67">
        <f>D72+F72+E72</f>
        <v>496808.42848259467</v>
      </c>
    </row>
    <row r="73" spans="1:7" x14ac:dyDescent="0.25">
      <c r="A73" s="53">
        <f>'A) Base RI'!A69</f>
        <v>5498</v>
      </c>
      <c r="B73" s="116" t="str">
        <f>'A) Base RI'!B69</f>
        <v>La Sarraz</v>
      </c>
      <c r="C73" s="10">
        <f>'A) Base RI'!AN69</f>
        <v>2567</v>
      </c>
      <c r="D73" s="34">
        <f>'C) Prél. conj.'!H67</f>
        <v>173785.83000000002</v>
      </c>
      <c r="E73" s="15">
        <f>'D) Ecrêtage'!L67</f>
        <v>0</v>
      </c>
      <c r="F73" s="44">
        <f>$F$10*'D) Ecrêtage'!M67</f>
        <v>1082303.200138367</v>
      </c>
      <c r="G73" s="67">
        <f t="shared" si="1"/>
        <v>1256089.0301383671</v>
      </c>
    </row>
    <row r="74" spans="1:7" x14ac:dyDescent="0.25">
      <c r="A74" s="53">
        <f>'A) Base RI'!A70</f>
        <v>5499</v>
      </c>
      <c r="B74" s="116" t="str">
        <f>'A) Base RI'!B70</f>
        <v>Senarclens</v>
      </c>
      <c r="C74" s="10">
        <f>'A) Base RI'!AN70</f>
        <v>459</v>
      </c>
      <c r="D74" s="34">
        <f>'C) Prél. conj.'!H68</f>
        <v>58332.87</v>
      </c>
      <c r="E74" s="15">
        <f>'D) Ecrêtage'!L68</f>
        <v>0</v>
      </c>
      <c r="F74" s="44">
        <f>$F$10*'D) Ecrêtage'!M68</f>
        <v>272552.30243505386</v>
      </c>
      <c r="G74" s="67">
        <f t="shared" si="1"/>
        <v>330885.17243505386</v>
      </c>
    </row>
    <row r="75" spans="1:7" x14ac:dyDescent="0.25">
      <c r="A75" s="53">
        <f>'A) Base RI'!A71</f>
        <v>5500</v>
      </c>
      <c r="B75" s="116" t="str">
        <f>'A) Base RI'!B71</f>
        <v>Sévery</v>
      </c>
      <c r="C75" s="10">
        <f>'A) Base RI'!AN71</f>
        <v>243</v>
      </c>
      <c r="D75" s="34">
        <f>'C) Prél. conj.'!H69</f>
        <v>7204.0450000000001</v>
      </c>
      <c r="E75" s="15">
        <f>'D) Ecrêtage'!L69</f>
        <v>0</v>
      </c>
      <c r="F75" s="44">
        <f>$F$10*'D) Ecrêtage'!M69</f>
        <v>117737.13955190274</v>
      </c>
      <c r="G75" s="67">
        <f t="shared" si="1"/>
        <v>124941.18455190274</v>
      </c>
    </row>
    <row r="76" spans="1:7" x14ac:dyDescent="0.25">
      <c r="A76" s="53">
        <f>'A) Base RI'!A72</f>
        <v>5501</v>
      </c>
      <c r="B76" s="116" t="str">
        <f>'A) Base RI'!B72</f>
        <v>Sullens</v>
      </c>
      <c r="C76" s="10">
        <f>'A) Base RI'!AN72</f>
        <v>978</v>
      </c>
      <c r="D76" s="34">
        <f>'C) Prél. conj.'!H70</f>
        <v>172330.125</v>
      </c>
      <c r="E76" s="15">
        <f>'D) Ecrêtage'!L70</f>
        <v>0</v>
      </c>
      <c r="F76" s="44">
        <f>$F$10*'D) Ecrêtage'!M70</f>
        <v>524072.52542549814</v>
      </c>
      <c r="G76" s="67">
        <f t="shared" si="1"/>
        <v>696402.65042549814</v>
      </c>
    </row>
    <row r="77" spans="1:7" x14ac:dyDescent="0.25">
      <c r="A77" s="53">
        <f>'A) Base RI'!A73</f>
        <v>5503</v>
      </c>
      <c r="B77" s="116" t="str">
        <f>'A) Base RI'!B73</f>
        <v>Vufflens-la-Ville</v>
      </c>
      <c r="C77" s="10">
        <f>'A) Base RI'!AN73</f>
        <v>1252</v>
      </c>
      <c r="D77" s="34">
        <f>'C) Prél. conj.'!H71</f>
        <v>314846.40000000002</v>
      </c>
      <c r="E77" s="15">
        <f>'D) Ecrêtage'!L71</f>
        <v>0</v>
      </c>
      <c r="F77" s="44">
        <f>$F$10*'D) Ecrêtage'!M71</f>
        <v>952127.67073758889</v>
      </c>
      <c r="G77" s="67">
        <f t="shared" si="1"/>
        <v>1266974.0707375889</v>
      </c>
    </row>
    <row r="78" spans="1:7" x14ac:dyDescent="0.25">
      <c r="A78" s="53">
        <f>'A) Base RI'!A74</f>
        <v>5511</v>
      </c>
      <c r="B78" s="116" t="str">
        <f>'A) Base RI'!B74</f>
        <v>Assens</v>
      </c>
      <c r="C78" s="10">
        <f>'A) Base RI'!AN74</f>
        <v>1060</v>
      </c>
      <c r="D78" s="34">
        <f>'C) Prél. conj.'!H72</f>
        <v>96016.375</v>
      </c>
      <c r="E78" s="15">
        <f>'D) Ecrêtage'!L72</f>
        <v>0</v>
      </c>
      <c r="F78" s="44">
        <f>$F$10*'D) Ecrêtage'!M72</f>
        <v>586479.91625793558</v>
      </c>
      <c r="G78" s="67">
        <f t="shared" si="1"/>
        <v>682496.29125793558</v>
      </c>
    </row>
    <row r="79" spans="1:7" x14ac:dyDescent="0.25">
      <c r="A79" s="53">
        <f>'A) Base RI'!A75</f>
        <v>5512</v>
      </c>
      <c r="B79" s="116" t="str">
        <f>'A) Base RI'!B75</f>
        <v>Bercher</v>
      </c>
      <c r="C79" s="10">
        <f>'A) Base RI'!AN75</f>
        <v>1157</v>
      </c>
      <c r="D79" s="34">
        <f>'C) Prél. conj.'!H73</f>
        <v>155335.82</v>
      </c>
      <c r="E79" s="15">
        <f>'D) Ecrêtage'!L73</f>
        <v>0</v>
      </c>
      <c r="F79" s="44">
        <f>$F$10*'D) Ecrêtage'!M73</f>
        <v>514666.93338133162</v>
      </c>
      <c r="G79" s="67">
        <f t="shared" si="1"/>
        <v>670002.75338133168</v>
      </c>
    </row>
    <row r="80" spans="1:7" x14ac:dyDescent="0.25">
      <c r="A80" s="53">
        <f>'A) Base RI'!A76</f>
        <v>5513</v>
      </c>
      <c r="B80" s="116" t="str">
        <f>'A) Base RI'!B76</f>
        <v>Bioley-Orjulaz</v>
      </c>
      <c r="C80" s="10">
        <f>'A) Base RI'!AN76</f>
        <v>483</v>
      </c>
      <c r="D80" s="34">
        <f>'C) Prél. conj.'!H74</f>
        <v>48446.304999999993</v>
      </c>
      <c r="E80" s="15">
        <f>'D) Ecrêtage'!L74</f>
        <v>0</v>
      </c>
      <c r="F80" s="44">
        <f>$F$10*'D) Ecrêtage'!M74</f>
        <v>329087.97865774104</v>
      </c>
      <c r="G80" s="67">
        <f t="shared" si="1"/>
        <v>377534.28365774103</v>
      </c>
    </row>
    <row r="81" spans="1:7" x14ac:dyDescent="0.25">
      <c r="A81" s="53">
        <f>'A) Base RI'!A77</f>
        <v>5514</v>
      </c>
      <c r="B81" s="116" t="str">
        <f>'A) Base RI'!B77</f>
        <v>Bottens</v>
      </c>
      <c r="C81" s="10">
        <f>'A) Base RI'!AN77</f>
        <v>1240</v>
      </c>
      <c r="D81" s="34">
        <f>'C) Prél. conj.'!H75</f>
        <v>129886.285</v>
      </c>
      <c r="E81" s="15">
        <f>'D) Ecrêtage'!L75</f>
        <v>0</v>
      </c>
      <c r="F81" s="44">
        <f>$F$10*'D) Ecrêtage'!M75</f>
        <v>595082.05309498042</v>
      </c>
      <c r="G81" s="67">
        <f t="shared" si="1"/>
        <v>724968.33809498046</v>
      </c>
    </row>
    <row r="82" spans="1:7" x14ac:dyDescent="0.25">
      <c r="A82" s="53">
        <f>'A) Base RI'!A78</f>
        <v>5515</v>
      </c>
      <c r="B82" s="116" t="str">
        <f>'A) Base RI'!B78</f>
        <v>Bretigny-sur-Morrens</v>
      </c>
      <c r="C82" s="10">
        <f>'A) Base RI'!AN78</f>
        <v>817</v>
      </c>
      <c r="D82" s="34">
        <f>'C) Prél. conj.'!H76</f>
        <v>41417.124999999993</v>
      </c>
      <c r="E82" s="15">
        <f>'D) Ecrêtage'!L76</f>
        <v>0</v>
      </c>
      <c r="F82" s="44">
        <f>$F$10*'D) Ecrêtage'!M76</f>
        <v>376215.84855097625</v>
      </c>
      <c r="G82" s="67">
        <f t="shared" si="1"/>
        <v>417632.97355097625</v>
      </c>
    </row>
    <row r="83" spans="1:7" x14ac:dyDescent="0.25">
      <c r="A83" s="53">
        <f>'A) Base RI'!A79</f>
        <v>5516</v>
      </c>
      <c r="B83" s="116" t="str">
        <f>'A) Base RI'!B79</f>
        <v>Cugy</v>
      </c>
      <c r="C83" s="10">
        <f>'A) Base RI'!AN79</f>
        <v>2739</v>
      </c>
      <c r="D83" s="34">
        <f>'C) Prél. conj.'!H77</f>
        <v>238769.27000000002</v>
      </c>
      <c r="E83" s="15">
        <f>'D) Ecrêtage'!L77</f>
        <v>0</v>
      </c>
      <c r="F83" s="44">
        <f>$F$10*'D) Ecrêtage'!M77</f>
        <v>1579543.9940333571</v>
      </c>
      <c r="G83" s="67">
        <f t="shared" si="1"/>
        <v>1818313.2640333571</v>
      </c>
    </row>
    <row r="84" spans="1:7" x14ac:dyDescent="0.25">
      <c r="A84" s="53">
        <f>'A) Base RI'!A80</f>
        <v>5518</v>
      </c>
      <c r="B84" s="116" t="str">
        <f>'A) Base RI'!B80</f>
        <v>Echallens</v>
      </c>
      <c r="C84" s="10">
        <f>'A) Base RI'!AN80</f>
        <v>5677</v>
      </c>
      <c r="D84" s="34">
        <f>'C) Prél. conj.'!H78</f>
        <v>695077.7300000001</v>
      </c>
      <c r="E84" s="15">
        <f>'D) Ecrêtage'!L78</f>
        <v>0</v>
      </c>
      <c r="F84" s="44">
        <f>$F$10*'D) Ecrêtage'!M78</f>
        <v>2746171.8036546232</v>
      </c>
      <c r="G84" s="67">
        <f t="shared" si="1"/>
        <v>3441249.5336546232</v>
      </c>
    </row>
    <row r="85" spans="1:7" x14ac:dyDescent="0.25">
      <c r="A85" s="53">
        <f>'A) Base RI'!A81</f>
        <v>5520</v>
      </c>
      <c r="B85" s="116" t="str">
        <f>'A) Base RI'!B81</f>
        <v>Essertines-sur-Yverdon</v>
      </c>
      <c r="C85" s="10">
        <f>'A) Base RI'!AN81</f>
        <v>943</v>
      </c>
      <c r="D85" s="34">
        <f>'C) Prél. conj.'!H79</f>
        <v>60544.505000000005</v>
      </c>
      <c r="E85" s="15">
        <f>'D) Ecrêtage'!L79</f>
        <v>0</v>
      </c>
      <c r="F85" s="44">
        <f>$F$10*'D) Ecrêtage'!M79</f>
        <v>412019.3089637591</v>
      </c>
      <c r="G85" s="67">
        <f t="shared" si="1"/>
        <v>472563.81396375911</v>
      </c>
    </row>
    <row r="86" spans="1:7" x14ac:dyDescent="0.25">
      <c r="A86" s="53">
        <f>'A) Base RI'!A82</f>
        <v>5521</v>
      </c>
      <c r="B86" s="116" t="str">
        <f>'A) Base RI'!B82</f>
        <v>Etagnières</v>
      </c>
      <c r="C86" s="10">
        <f>'A) Base RI'!AN82</f>
        <v>1118</v>
      </c>
      <c r="D86" s="34">
        <f>'C) Prél. conj.'!H80</f>
        <v>54710.270000000004</v>
      </c>
      <c r="E86" s="15">
        <f>'D) Ecrêtage'!L80</f>
        <v>0</v>
      </c>
      <c r="F86" s="44">
        <f>$F$10*'D) Ecrêtage'!M80</f>
        <v>596227.37984690361</v>
      </c>
      <c r="G86" s="67">
        <f t="shared" si="1"/>
        <v>650937.64984690363</v>
      </c>
    </row>
    <row r="87" spans="1:7" x14ac:dyDescent="0.25">
      <c r="A87" s="53">
        <f>'A) Base RI'!A83</f>
        <v>5522</v>
      </c>
      <c r="B87" s="116" t="str">
        <f>'A) Base RI'!B83</f>
        <v>Fey</v>
      </c>
      <c r="C87" s="10">
        <f>'A) Base RI'!AN83</f>
        <v>696</v>
      </c>
      <c r="D87" s="34">
        <f>'C) Prél. conj.'!H81</f>
        <v>78564.930000000008</v>
      </c>
      <c r="E87" s="15">
        <f>'D) Ecrêtage'!L81</f>
        <v>0</v>
      </c>
      <c r="F87" s="44">
        <f>$F$10*'D) Ecrêtage'!M81</f>
        <v>280225.06657673564</v>
      </c>
      <c r="G87" s="67">
        <f t="shared" si="1"/>
        <v>358789.99657673563</v>
      </c>
    </row>
    <row r="88" spans="1:7" x14ac:dyDescent="0.25">
      <c r="A88" s="53">
        <f>'A) Base RI'!A84</f>
        <v>5523</v>
      </c>
      <c r="B88" s="116" t="str">
        <f>'A) Base RI'!B84</f>
        <v>Froideville</v>
      </c>
      <c r="C88" s="10">
        <f>'A) Base RI'!AN84</f>
        <v>2459</v>
      </c>
      <c r="D88" s="34">
        <f>'C) Prél. conj.'!H82</f>
        <v>303466.14499999996</v>
      </c>
      <c r="E88" s="15">
        <f>'D) Ecrêtage'!L82</f>
        <v>0</v>
      </c>
      <c r="F88" s="44">
        <f>$F$10*'D) Ecrêtage'!M82</f>
        <v>1132066.0606483715</v>
      </c>
      <c r="G88" s="67">
        <f t="shared" si="1"/>
        <v>1435532.2056483715</v>
      </c>
    </row>
    <row r="89" spans="1:7" x14ac:dyDescent="0.25">
      <c r="A89" s="53">
        <f>'A) Base RI'!A85</f>
        <v>5527</v>
      </c>
      <c r="B89" s="116" t="str">
        <f>'A) Base RI'!B85</f>
        <v>Morrens</v>
      </c>
      <c r="C89" s="10">
        <f>'A) Base RI'!AN85</f>
        <v>1074</v>
      </c>
      <c r="D89" s="34">
        <f>'C) Prél. conj.'!H83</f>
        <v>36561.4</v>
      </c>
      <c r="E89" s="15">
        <f>'D) Ecrêtage'!L83</f>
        <v>0</v>
      </c>
      <c r="F89" s="44">
        <f>$F$10*'D) Ecrêtage'!M83</f>
        <v>550806.77957464277</v>
      </c>
      <c r="G89" s="67">
        <f t="shared" si="1"/>
        <v>587368.1795746428</v>
      </c>
    </row>
    <row r="90" spans="1:7" x14ac:dyDescent="0.25">
      <c r="A90" s="53">
        <f>'A) Base RI'!A86</f>
        <v>5529</v>
      </c>
      <c r="B90" s="116" t="str">
        <f>'A) Base RI'!B86</f>
        <v>Oulens-sous-Echallens</v>
      </c>
      <c r="C90" s="10">
        <f>'A) Base RI'!AN86</f>
        <v>560</v>
      </c>
      <c r="D90" s="34">
        <f>'C) Prél. conj.'!H84</f>
        <v>37081.550000000003</v>
      </c>
      <c r="E90" s="15">
        <f>'D) Ecrêtage'!L84</f>
        <v>0</v>
      </c>
      <c r="F90" s="44">
        <f>$F$10*'D) Ecrêtage'!M84</f>
        <v>291453.67101260205</v>
      </c>
      <c r="G90" s="67">
        <f t="shared" si="1"/>
        <v>328535.22101260204</v>
      </c>
    </row>
    <row r="91" spans="1:7" x14ac:dyDescent="0.25">
      <c r="A91" s="53">
        <f>'A) Base RI'!A87</f>
        <v>5530</v>
      </c>
      <c r="B91" s="116" t="str">
        <f>'A) Base RI'!B87</f>
        <v>Pailly</v>
      </c>
      <c r="C91" s="10">
        <f>'A) Base RI'!AN87</f>
        <v>534</v>
      </c>
      <c r="D91" s="34">
        <f>'C) Prél. conj.'!H85</f>
        <v>5925.75</v>
      </c>
      <c r="E91" s="15">
        <f>'D) Ecrêtage'!L85</f>
        <v>0</v>
      </c>
      <c r="F91" s="44">
        <f>$F$10*'D) Ecrêtage'!M85</f>
        <v>223955.69014776353</v>
      </c>
      <c r="G91" s="67">
        <f t="shared" si="1"/>
        <v>229881.44014776353</v>
      </c>
    </row>
    <row r="92" spans="1:7" x14ac:dyDescent="0.25">
      <c r="A92" s="53">
        <f>'A) Base RI'!A88</f>
        <v>5531</v>
      </c>
      <c r="B92" s="116" t="str">
        <f>'A) Base RI'!B88</f>
        <v>Penthéréaz</v>
      </c>
      <c r="C92" s="10">
        <f>'A) Base RI'!AN88</f>
        <v>411</v>
      </c>
      <c r="D92" s="34">
        <f>'C) Prél. conj.'!H86</f>
        <v>28175.095000000001</v>
      </c>
      <c r="E92" s="15">
        <f>'D) Ecrêtage'!L86</f>
        <v>0</v>
      </c>
      <c r="F92" s="44">
        <f>$F$10*'D) Ecrêtage'!M86</f>
        <v>177464.62128255345</v>
      </c>
      <c r="G92" s="67">
        <f t="shared" si="1"/>
        <v>205639.71628255345</v>
      </c>
    </row>
    <row r="93" spans="1:7" x14ac:dyDescent="0.25">
      <c r="A93" s="53">
        <f>'A) Base RI'!A89</f>
        <v>5533</v>
      </c>
      <c r="B93" s="116" t="str">
        <f>'A) Base RI'!B89</f>
        <v>Poliez-Pittet</v>
      </c>
      <c r="C93" s="10">
        <f>'A) Base RI'!AN89</f>
        <v>844</v>
      </c>
      <c r="D93" s="34">
        <f>'C) Prél. conj.'!H87</f>
        <v>24527.825000000001</v>
      </c>
      <c r="E93" s="15">
        <f>'D) Ecrêtage'!L87</f>
        <v>0</v>
      </c>
      <c r="F93" s="44">
        <f>$F$10*'D) Ecrêtage'!M87</f>
        <v>396602.21090350603</v>
      </c>
      <c r="G93" s="67">
        <f t="shared" si="1"/>
        <v>421130.03590350604</v>
      </c>
    </row>
    <row r="94" spans="1:7" x14ac:dyDescent="0.25">
      <c r="A94" s="53">
        <f>'A) Base RI'!A90</f>
        <v>5534</v>
      </c>
      <c r="B94" s="116" t="str">
        <f>'A) Base RI'!B90</f>
        <v>Rueyres</v>
      </c>
      <c r="C94" s="10">
        <f>'A) Base RI'!AN90</f>
        <v>271</v>
      </c>
      <c r="D94" s="34">
        <f>'C) Prél. conj.'!H88</f>
        <v>142200.29500000001</v>
      </c>
      <c r="E94" s="15">
        <f>'D) Ecrêtage'!L88</f>
        <v>0</v>
      </c>
      <c r="F94" s="44">
        <f>$F$10*'D) Ecrêtage'!M88</f>
        <v>160343.27228676001</v>
      </c>
      <c r="G94" s="67">
        <f t="shared" si="1"/>
        <v>302543.56728676002</v>
      </c>
    </row>
    <row r="95" spans="1:7" x14ac:dyDescent="0.25">
      <c r="A95" s="53">
        <f>'A) Base RI'!A91</f>
        <v>5535</v>
      </c>
      <c r="B95" s="116" t="str">
        <f>'A) Base RI'!B91</f>
        <v>Saint-Barthélemy</v>
      </c>
      <c r="C95" s="10">
        <f>'A) Base RI'!AN91</f>
        <v>777</v>
      </c>
      <c r="D95" s="34">
        <f>'C) Prél. conj.'!H89</f>
        <v>21105.72</v>
      </c>
      <c r="E95" s="15">
        <f>'D) Ecrêtage'!L89</f>
        <v>0</v>
      </c>
      <c r="F95" s="44">
        <f>$F$10*'D) Ecrêtage'!M89</f>
        <v>303517.88066248765</v>
      </c>
      <c r="G95" s="67">
        <f t="shared" si="1"/>
        <v>324623.60066248768</v>
      </c>
    </row>
    <row r="96" spans="1:7" x14ac:dyDescent="0.25">
      <c r="A96" s="53">
        <f>'A) Base RI'!A92</f>
        <v>5537</v>
      </c>
      <c r="B96" s="116" t="str">
        <f>'A) Base RI'!B92</f>
        <v>Villars-le-Terroir</v>
      </c>
      <c r="C96" s="10">
        <f>'A) Base RI'!AN92</f>
        <v>1066</v>
      </c>
      <c r="D96" s="34">
        <f>'C) Prél. conj.'!H90</f>
        <v>58413.570000000007</v>
      </c>
      <c r="E96" s="15">
        <f>'D) Ecrêtage'!L90</f>
        <v>0</v>
      </c>
      <c r="F96" s="44">
        <f>$F$10*'D) Ecrêtage'!M90</f>
        <v>440536.38518880558</v>
      </c>
      <c r="G96" s="67">
        <f t="shared" si="1"/>
        <v>498949.95518880559</v>
      </c>
    </row>
    <row r="97" spans="1:7" x14ac:dyDescent="0.25">
      <c r="A97" s="53">
        <f>'A) Base RI'!A93</f>
        <v>5539</v>
      </c>
      <c r="B97" s="116" t="str">
        <f>'A) Base RI'!B93</f>
        <v>Vuarrens</v>
      </c>
      <c r="C97" s="10">
        <f>'A) Base RI'!AN93</f>
        <v>993</v>
      </c>
      <c r="D97" s="34">
        <f>'C) Prél. conj.'!H91</f>
        <v>49261.505000000005</v>
      </c>
      <c r="E97" s="15">
        <f>'D) Ecrêtage'!L91</f>
        <v>0</v>
      </c>
      <c r="F97" s="44">
        <f>$F$10*'D) Ecrêtage'!M91</f>
        <v>333279.12666212546</v>
      </c>
      <c r="G97" s="67">
        <f t="shared" si="1"/>
        <v>382540.63166212547</v>
      </c>
    </row>
    <row r="98" spans="1:7" x14ac:dyDescent="0.25">
      <c r="A98" s="53">
        <f>'A) Base RI'!A94</f>
        <v>5540</v>
      </c>
      <c r="B98" s="116" t="str">
        <f>'A) Base RI'!B94</f>
        <v>Montilliez</v>
      </c>
      <c r="C98" s="10">
        <f>'A) Base RI'!AN94</f>
        <v>1698</v>
      </c>
      <c r="D98" s="34">
        <f>'C) Prél. conj.'!H92</f>
        <v>139588.5</v>
      </c>
      <c r="E98" s="15">
        <f>'D) Ecrêtage'!L92</f>
        <v>0</v>
      </c>
      <c r="F98" s="44">
        <f>$F$10*'D) Ecrêtage'!M92</f>
        <v>804720.87974519865</v>
      </c>
      <c r="G98" s="67">
        <f>D98+F98+E98</f>
        <v>944309.37974519865</v>
      </c>
    </row>
    <row r="99" spans="1:7" x14ac:dyDescent="0.25">
      <c r="A99" s="53">
        <f>'A) Base RI'!A95</f>
        <v>5541</v>
      </c>
      <c r="B99" s="116" t="str">
        <f>'A) Base RI'!B95</f>
        <v>Goumoëns</v>
      </c>
      <c r="C99" s="10">
        <f>'A) Base RI'!AN95</f>
        <v>1051</v>
      </c>
      <c r="D99" s="34">
        <f>'C) Prél. conj.'!H93</f>
        <v>177739.49</v>
      </c>
      <c r="E99" s="15">
        <f>'D) Ecrêtage'!L93</f>
        <v>0</v>
      </c>
      <c r="F99" s="44">
        <f>$F$10*'D) Ecrêtage'!M93</f>
        <v>476565.91355389165</v>
      </c>
      <c r="G99" s="67">
        <f>D99+F99+E99</f>
        <v>654305.40355389169</v>
      </c>
    </row>
    <row r="100" spans="1:7" x14ac:dyDescent="0.25">
      <c r="A100" s="53">
        <f>'A) Base RI'!A96</f>
        <v>5551</v>
      </c>
      <c r="B100" s="116" t="str">
        <f>'A) Base RI'!B96</f>
        <v>Bonvillars</v>
      </c>
      <c r="C100" s="10">
        <f>'A) Base RI'!AN96</f>
        <v>495</v>
      </c>
      <c r="D100" s="34">
        <f>'C) Prél. conj.'!H94</f>
        <v>20199.205000000002</v>
      </c>
      <c r="E100" s="15">
        <f>'D) Ecrêtage'!L94</f>
        <v>0</v>
      </c>
      <c r="F100" s="44">
        <f>$F$10*'D) Ecrêtage'!M94</f>
        <v>282905.82193229365</v>
      </c>
      <c r="G100" s="67">
        <f t="shared" si="1"/>
        <v>303105.02693229367</v>
      </c>
    </row>
    <row r="101" spans="1:7" x14ac:dyDescent="0.25">
      <c r="A101" s="53">
        <f>'A) Base RI'!A97</f>
        <v>5552</v>
      </c>
      <c r="B101" s="116" t="str">
        <f>'A) Base RI'!B97</f>
        <v>Bullet</v>
      </c>
      <c r="C101" s="10">
        <f>'A) Base RI'!AN97</f>
        <v>629</v>
      </c>
      <c r="D101" s="34">
        <f>'C) Prél. conj.'!H95</f>
        <v>92619.364999999991</v>
      </c>
      <c r="E101" s="15">
        <f>'D) Ecrêtage'!L95</f>
        <v>0</v>
      </c>
      <c r="F101" s="44">
        <f>$F$10*'D) Ecrêtage'!M95</f>
        <v>230752.80218541774</v>
      </c>
      <c r="G101" s="67">
        <f t="shared" si="1"/>
        <v>323372.16718541773</v>
      </c>
    </row>
    <row r="102" spans="1:7" x14ac:dyDescent="0.25">
      <c r="A102" s="53">
        <f>'A) Base RI'!A98</f>
        <v>5553</v>
      </c>
      <c r="B102" s="116" t="str">
        <f>'A) Base RI'!B98</f>
        <v>Champagne</v>
      </c>
      <c r="C102" s="10">
        <f>'A) Base RI'!AN98</f>
        <v>1027</v>
      </c>
      <c r="D102" s="34">
        <f>'C) Prél. conj.'!H96</f>
        <v>164159.745</v>
      </c>
      <c r="E102" s="15">
        <f>'D) Ecrêtage'!L96</f>
        <v>0</v>
      </c>
      <c r="F102" s="44">
        <f>$F$10*'D) Ecrêtage'!M96</f>
        <v>489349.09600566671</v>
      </c>
      <c r="G102" s="67">
        <f t="shared" si="1"/>
        <v>653508.84100566665</v>
      </c>
    </row>
    <row r="103" spans="1:7" x14ac:dyDescent="0.25">
      <c r="A103" s="53">
        <f>'A) Base RI'!A99</f>
        <v>5554</v>
      </c>
      <c r="B103" s="116" t="str">
        <f>'A) Base RI'!B99</f>
        <v>Concise</v>
      </c>
      <c r="C103" s="10">
        <f>'A) Base RI'!AN99</f>
        <v>960</v>
      </c>
      <c r="D103" s="34">
        <f>'C) Prél. conj.'!H97</f>
        <v>76979.39</v>
      </c>
      <c r="E103" s="15">
        <f>'D) Ecrêtage'!L97</f>
        <v>0</v>
      </c>
      <c r="F103" s="44">
        <f>$F$10*'D) Ecrêtage'!M97</f>
        <v>425073.7702077413</v>
      </c>
      <c r="G103" s="67">
        <f t="shared" si="1"/>
        <v>502053.16020774131</v>
      </c>
    </row>
    <row r="104" spans="1:7" x14ac:dyDescent="0.25">
      <c r="A104" s="53">
        <f>'A) Base RI'!A100</f>
        <v>5555</v>
      </c>
      <c r="B104" s="116" t="str">
        <f>'A) Base RI'!B100</f>
        <v>Corcelles-près-Concise</v>
      </c>
      <c r="C104" s="10">
        <f>'A) Base RI'!AN100</f>
        <v>379</v>
      </c>
      <c r="D104" s="34">
        <f>'C) Prél. conj.'!H98</f>
        <v>41358.884999999995</v>
      </c>
      <c r="E104" s="15">
        <f>'D) Ecrêtage'!L98</f>
        <v>0</v>
      </c>
      <c r="F104" s="44">
        <f>$F$10*'D) Ecrêtage'!M98</f>
        <v>161900.84740392151</v>
      </c>
      <c r="G104" s="67">
        <f t="shared" si="1"/>
        <v>203259.73240392149</v>
      </c>
    </row>
    <row r="105" spans="1:7" x14ac:dyDescent="0.25">
      <c r="A105" s="53">
        <f>'A) Base RI'!A101</f>
        <v>5556</v>
      </c>
      <c r="B105" s="116" t="str">
        <f>'A) Base RI'!B101</f>
        <v>Fiez</v>
      </c>
      <c r="C105" s="10">
        <f>'A) Base RI'!AN101</f>
        <v>427</v>
      </c>
      <c r="D105" s="34">
        <f>'C) Prél. conj.'!H99</f>
        <v>24925.9</v>
      </c>
      <c r="E105" s="15">
        <f>'D) Ecrêtage'!L99</f>
        <v>0</v>
      </c>
      <c r="F105" s="44">
        <f>$F$10*'D) Ecrêtage'!M99</f>
        <v>182905.92045070458</v>
      </c>
      <c r="G105" s="67">
        <f t="shared" si="1"/>
        <v>207831.82045070457</v>
      </c>
    </row>
    <row r="106" spans="1:7" x14ac:dyDescent="0.25">
      <c r="A106" s="53">
        <f>'A) Base RI'!A102</f>
        <v>5557</v>
      </c>
      <c r="B106" s="116" t="str">
        <f>'A) Base RI'!B102</f>
        <v>Fontaines-sur-Grandson</v>
      </c>
      <c r="C106" s="10">
        <f>'A) Base RI'!AN102</f>
        <v>200</v>
      </c>
      <c r="D106" s="34">
        <f>'C) Prél. conj.'!H100</f>
        <v>17578.84</v>
      </c>
      <c r="E106" s="15">
        <f>'D) Ecrêtage'!L100</f>
        <v>0</v>
      </c>
      <c r="F106" s="44">
        <f>$F$10*'D) Ecrêtage'!M100</f>
        <v>59101.894135617331</v>
      </c>
      <c r="G106" s="67">
        <f t="shared" si="1"/>
        <v>76680.734135617327</v>
      </c>
    </row>
    <row r="107" spans="1:7" x14ac:dyDescent="0.25">
      <c r="A107" s="53">
        <f>'A) Base RI'!A103</f>
        <v>5559</v>
      </c>
      <c r="B107" s="116" t="str">
        <f>'A) Base RI'!B103</f>
        <v>Giez</v>
      </c>
      <c r="C107" s="10">
        <f>'A) Base RI'!AN103</f>
        <v>408</v>
      </c>
      <c r="D107" s="34">
        <f>'C) Prél. conj.'!H101</f>
        <v>167599.52499999999</v>
      </c>
      <c r="E107" s="15">
        <f>'D) Ecrêtage'!L101</f>
        <v>0</v>
      </c>
      <c r="F107" s="44">
        <f>$F$10*'D) Ecrêtage'!M101</f>
        <v>266146.90115412348</v>
      </c>
      <c r="G107" s="67">
        <f t="shared" si="1"/>
        <v>433746.4261541235</v>
      </c>
    </row>
    <row r="108" spans="1:7" x14ac:dyDescent="0.25">
      <c r="A108" s="53">
        <f>'A) Base RI'!A104</f>
        <v>5560</v>
      </c>
      <c r="B108" s="116" t="str">
        <f>'A) Base RI'!B104</f>
        <v>Grandevent</v>
      </c>
      <c r="C108" s="10">
        <f>'A) Base RI'!AN104</f>
        <v>232</v>
      </c>
      <c r="D108" s="34">
        <f>'C) Prél. conj.'!H102</f>
        <v>5936.4500000000007</v>
      </c>
      <c r="E108" s="15">
        <f>'D) Ecrêtage'!L102</f>
        <v>0</v>
      </c>
      <c r="F108" s="44">
        <f>$F$10*'D) Ecrêtage'!M102</f>
        <v>94536.161830109442</v>
      </c>
      <c r="G108" s="67">
        <f t="shared" si="1"/>
        <v>100472.61183010944</v>
      </c>
    </row>
    <row r="109" spans="1:7" x14ac:dyDescent="0.25">
      <c r="A109" s="53">
        <f>'A) Base RI'!A105</f>
        <v>5561</v>
      </c>
      <c r="B109" s="116" t="str">
        <f>'A) Base RI'!B105</f>
        <v>Grandson</v>
      </c>
      <c r="C109" s="10">
        <f>'A) Base RI'!AN105</f>
        <v>3313</v>
      </c>
      <c r="D109" s="34">
        <f>'C) Prél. conj.'!H103</f>
        <v>441136.17000000004</v>
      </c>
      <c r="E109" s="15">
        <f>'D) Ecrêtage'!L103</f>
        <v>0</v>
      </c>
      <c r="F109" s="44">
        <f>$F$10*'D) Ecrêtage'!M103</f>
        <v>1688909.1147449515</v>
      </c>
      <c r="G109" s="67">
        <f t="shared" si="1"/>
        <v>2130045.2847449514</v>
      </c>
    </row>
    <row r="110" spans="1:7" x14ac:dyDescent="0.25">
      <c r="A110" s="53">
        <f>'A) Base RI'!A106</f>
        <v>5562</v>
      </c>
      <c r="B110" s="116" t="str">
        <f>'A) Base RI'!B106</f>
        <v>Mauborget</v>
      </c>
      <c r="C110" s="10">
        <f>'A) Base RI'!AN106</f>
        <v>123</v>
      </c>
      <c r="D110" s="34">
        <f>'C) Prél. conj.'!H104</f>
        <v>8024.45</v>
      </c>
      <c r="E110" s="15">
        <f>'D) Ecrêtage'!L104</f>
        <v>0</v>
      </c>
      <c r="F110" s="44">
        <f>$F$10*'D) Ecrêtage'!M104</f>
        <v>53709.301425373997</v>
      </c>
      <c r="G110" s="67">
        <f t="shared" si="1"/>
        <v>61733.751425373994</v>
      </c>
    </row>
    <row r="111" spans="1:7" x14ac:dyDescent="0.25">
      <c r="A111" s="53">
        <f>'A) Base RI'!A107</f>
        <v>5563</v>
      </c>
      <c r="B111" s="116" t="str">
        <f>'A) Base RI'!B107</f>
        <v>Mutrux</v>
      </c>
      <c r="C111" s="10">
        <f>'A) Base RI'!AN107</f>
        <v>162</v>
      </c>
      <c r="D111" s="34">
        <f>'C) Prél. conj.'!H105</f>
        <v>13415.875</v>
      </c>
      <c r="E111" s="15">
        <f>'D) Ecrêtage'!L105</f>
        <v>0</v>
      </c>
      <c r="F111" s="44">
        <f>$F$10*'D) Ecrêtage'!M105</f>
        <v>62692.942277359129</v>
      </c>
      <c r="G111" s="67">
        <f t="shared" si="1"/>
        <v>76108.817277359136</v>
      </c>
    </row>
    <row r="112" spans="1:7" x14ac:dyDescent="0.25">
      <c r="A112" s="53">
        <f>'A) Base RI'!A108</f>
        <v>5564</v>
      </c>
      <c r="B112" s="116" t="str">
        <f>'A) Base RI'!B108</f>
        <v>Novalles</v>
      </c>
      <c r="C112" s="10">
        <f>'A) Base RI'!AN108</f>
        <v>101</v>
      </c>
      <c r="D112" s="34">
        <f>'C) Prél. conj.'!H106</f>
        <v>14970.125</v>
      </c>
      <c r="E112" s="15">
        <f>'D) Ecrêtage'!L106</f>
        <v>0</v>
      </c>
      <c r="F112" s="44">
        <f>$F$10*'D) Ecrêtage'!M106</f>
        <v>30252.849188640375</v>
      </c>
      <c r="G112" s="67">
        <f t="shared" si="1"/>
        <v>45222.974188640379</v>
      </c>
    </row>
    <row r="113" spans="1:7" x14ac:dyDescent="0.25">
      <c r="A113" s="53">
        <f>'A) Base RI'!A109</f>
        <v>5565</v>
      </c>
      <c r="B113" s="116" t="str">
        <f>'A) Base RI'!B109</f>
        <v>Onnens</v>
      </c>
      <c r="C113" s="10">
        <f>'A) Base RI'!AN109</f>
        <v>500</v>
      </c>
      <c r="D113" s="34">
        <f>'C) Prél. conj.'!H107</f>
        <v>17662.419999999998</v>
      </c>
      <c r="E113" s="15">
        <f>'D) Ecrêtage'!L107</f>
        <v>0</v>
      </c>
      <c r="F113" s="44">
        <f>$F$10*'D) Ecrêtage'!M107</f>
        <v>262534.57992122974</v>
      </c>
      <c r="G113" s="67">
        <f t="shared" si="1"/>
        <v>280196.99992122973</v>
      </c>
    </row>
    <row r="114" spans="1:7" x14ac:dyDescent="0.25">
      <c r="A114" s="53">
        <f>'A) Base RI'!A110</f>
        <v>5566</v>
      </c>
      <c r="B114" s="116" t="str">
        <f>'A) Base RI'!B110</f>
        <v>Provence</v>
      </c>
      <c r="C114" s="10">
        <f>'A) Base RI'!AN110</f>
        <v>390</v>
      </c>
      <c r="D114" s="34">
        <f>'C) Prél. conj.'!H108</f>
        <v>47756.82</v>
      </c>
      <c r="E114" s="15">
        <f>'D) Ecrêtage'!L108</f>
        <v>0</v>
      </c>
      <c r="F114" s="44">
        <f>$F$10*'D) Ecrêtage'!M108</f>
        <v>126188.91456972722</v>
      </c>
      <c r="G114" s="67">
        <f t="shared" si="1"/>
        <v>173945.73456972721</v>
      </c>
    </row>
    <row r="115" spans="1:7" x14ac:dyDescent="0.25">
      <c r="A115" s="53">
        <f>'A) Base RI'!A111</f>
        <v>5568</v>
      </c>
      <c r="B115" s="116" t="str">
        <f>'A) Base RI'!B111</f>
        <v>Sainte-Croix</v>
      </c>
      <c r="C115" s="10">
        <f>'A) Base RI'!AN111</f>
        <v>4851</v>
      </c>
      <c r="D115" s="34">
        <f>'C) Prél. conj.'!H109</f>
        <v>878215.86499999999</v>
      </c>
      <c r="E115" s="15">
        <f>'D) Ecrêtage'!L109</f>
        <v>0</v>
      </c>
      <c r="F115" s="44">
        <f>$F$10*'D) Ecrêtage'!M109</f>
        <v>1411149.1069642566</v>
      </c>
      <c r="G115" s="67">
        <f t="shared" si="1"/>
        <v>2289364.9719642568</v>
      </c>
    </row>
    <row r="116" spans="1:7" x14ac:dyDescent="0.25">
      <c r="A116" s="53">
        <f>'A) Base RI'!A112</f>
        <v>5571</v>
      </c>
      <c r="B116" s="116" t="str">
        <f>'A) Base RI'!B112</f>
        <v>Tévenon</v>
      </c>
      <c r="C116" s="10">
        <f>'A) Base RI'!AN112</f>
        <v>791</v>
      </c>
      <c r="D116" s="34">
        <f>'C) Prél. conj.'!H110</f>
        <v>198162.19</v>
      </c>
      <c r="E116" s="15">
        <f>'D) Ecrêtage'!L110</f>
        <v>0</v>
      </c>
      <c r="F116" s="44">
        <f>$F$10*'D) Ecrêtage'!M110</f>
        <v>307417.42725337786</v>
      </c>
      <c r="G116" s="67">
        <f t="shared" si="1"/>
        <v>505579.61725337786</v>
      </c>
    </row>
    <row r="117" spans="1:7" x14ac:dyDescent="0.25">
      <c r="A117" s="53">
        <f>'A) Base RI'!A113</f>
        <v>5581</v>
      </c>
      <c r="B117" s="116" t="str">
        <f>'A) Base RI'!B113</f>
        <v>Belmont-sur-Lausanne</v>
      </c>
      <c r="C117" s="10">
        <f>'A) Base RI'!AN113</f>
        <v>3564</v>
      </c>
      <c r="D117" s="34">
        <f>'C) Prél. conj.'!H111</f>
        <v>323273.8</v>
      </c>
      <c r="E117" s="15">
        <f>'D) Ecrêtage'!L111</f>
        <v>0</v>
      </c>
      <c r="F117" s="44">
        <f>$F$10*'D) Ecrêtage'!M111</f>
        <v>2742879.1387613225</v>
      </c>
      <c r="G117" s="67">
        <f t="shared" si="1"/>
        <v>3066152.9387613223</v>
      </c>
    </row>
    <row r="118" spans="1:7" x14ac:dyDescent="0.25">
      <c r="A118" s="53">
        <f>'A) Base RI'!A114</f>
        <v>5582</v>
      </c>
      <c r="B118" s="116" t="str">
        <f>'A) Base RI'!B114</f>
        <v>Cheseaux-sur-Lausanne</v>
      </c>
      <c r="C118" s="10">
        <f>'A) Base RI'!AN114</f>
        <v>4347</v>
      </c>
      <c r="D118" s="34">
        <f>'C) Prél. conj.'!H112</f>
        <v>450515.80999999994</v>
      </c>
      <c r="E118" s="15">
        <f>'D) Ecrêtage'!L112</f>
        <v>0</v>
      </c>
      <c r="F118" s="44">
        <f>$F$10*'D) Ecrêtage'!M112</f>
        <v>2985931.4075521575</v>
      </c>
      <c r="G118" s="67">
        <f t="shared" si="1"/>
        <v>3436447.2175521576</v>
      </c>
    </row>
    <row r="119" spans="1:7" x14ac:dyDescent="0.25">
      <c r="A119" s="53">
        <f>'A) Base RI'!A115</f>
        <v>5583</v>
      </c>
      <c r="B119" s="116" t="str">
        <f>'A) Base RI'!B115</f>
        <v>Crissier</v>
      </c>
      <c r="C119" s="10">
        <f>'A) Base RI'!AN115</f>
        <v>7636</v>
      </c>
      <c r="D119" s="34">
        <f>'C) Prél. conj.'!H113</f>
        <v>840892.90999999992</v>
      </c>
      <c r="E119" s="15">
        <f>'D) Ecrêtage'!L113</f>
        <v>0</v>
      </c>
      <c r="F119" s="44">
        <f>$F$10*'D) Ecrêtage'!M113</f>
        <v>4571509.5501610292</v>
      </c>
      <c r="G119" s="67">
        <f t="shared" si="1"/>
        <v>5412402.4601610294</v>
      </c>
    </row>
    <row r="120" spans="1:7" x14ac:dyDescent="0.25">
      <c r="A120" s="53">
        <f>'A) Base RI'!A116</f>
        <v>5584</v>
      </c>
      <c r="B120" s="116" t="str">
        <f>'A) Base RI'!B116</f>
        <v>Epalinges</v>
      </c>
      <c r="C120" s="10">
        <f>'A) Base RI'!AN116</f>
        <v>9297</v>
      </c>
      <c r="D120" s="34">
        <f>'C) Prél. conj.'!H114</f>
        <v>2263232.5649999999</v>
      </c>
      <c r="E120" s="15">
        <f>'D) Ecrêtage'!L114</f>
        <v>0</v>
      </c>
      <c r="F120" s="44">
        <f>$F$10*'D) Ecrêtage'!M114</f>
        <v>6682474.1855870457</v>
      </c>
      <c r="G120" s="67">
        <f t="shared" si="1"/>
        <v>8945706.7505870461</v>
      </c>
    </row>
    <row r="121" spans="1:7" x14ac:dyDescent="0.25">
      <c r="A121" s="53">
        <f>'A) Base RI'!A117</f>
        <v>5585</v>
      </c>
      <c r="B121" s="116" t="str">
        <f>'A) Base RI'!B117</f>
        <v>Jouxtens-Mézery</v>
      </c>
      <c r="C121" s="10">
        <f>'A) Base RI'!AN117</f>
        <v>1448</v>
      </c>
      <c r="D121" s="34">
        <f>'C) Prél. conj.'!H115</f>
        <v>613447.68000000005</v>
      </c>
      <c r="E121" s="15">
        <f>'D) Ecrêtage'!L115</f>
        <v>3176820.7133699427</v>
      </c>
      <c r="F121" s="44">
        <f>$F$10*'D) Ecrêtage'!M115</f>
        <v>2076574.48982532</v>
      </c>
      <c r="G121" s="67">
        <f t="shared" si="1"/>
        <v>5866842.8831952624</v>
      </c>
    </row>
    <row r="122" spans="1:7" x14ac:dyDescent="0.25">
      <c r="A122" s="53">
        <f>'A) Base RI'!A118</f>
        <v>5586</v>
      </c>
      <c r="B122" s="116" t="str">
        <f>'A) Base RI'!B118</f>
        <v>Lausanne</v>
      </c>
      <c r="C122" s="10">
        <f>'A) Base RI'!AN118</f>
        <v>137053</v>
      </c>
      <c r="D122" s="34">
        <f>'C) Prél. conj.'!H116</f>
        <v>15692330.209999999</v>
      </c>
      <c r="E122" s="15">
        <f>'D) Ecrêtage'!L116</f>
        <v>0</v>
      </c>
      <c r="F122" s="44">
        <f>$F$10*'D) Ecrêtage'!M116</f>
        <v>89092752.249299377</v>
      </c>
      <c r="G122" s="67">
        <f t="shared" si="1"/>
        <v>104785082.45929937</v>
      </c>
    </row>
    <row r="123" spans="1:7" x14ac:dyDescent="0.25">
      <c r="A123" s="53">
        <f>'A) Base RI'!A119</f>
        <v>5587</v>
      </c>
      <c r="B123" s="116" t="str">
        <f>'A) Base RI'!B119</f>
        <v>Le Mont-sur-Lausanne</v>
      </c>
      <c r="C123" s="10">
        <f>'A) Base RI'!AN119</f>
        <v>7881</v>
      </c>
      <c r="D123" s="34">
        <f>'C) Prél. conj.'!H117</f>
        <v>1100060.03</v>
      </c>
      <c r="E123" s="15">
        <f>'D) Ecrêtage'!L117</f>
        <v>0</v>
      </c>
      <c r="F123" s="44">
        <f>$F$10*'D) Ecrêtage'!M117</f>
        <v>6061454.2282862728</v>
      </c>
      <c r="G123" s="67">
        <f t="shared" ref="G123:G176" si="2">D123+F123+E123</f>
        <v>7161514.2582862731</v>
      </c>
    </row>
    <row r="124" spans="1:7" x14ac:dyDescent="0.25">
      <c r="A124" s="53">
        <f>'A) Base RI'!A120</f>
        <v>5588</v>
      </c>
      <c r="B124" s="116" t="str">
        <f>'A) Base RI'!B120</f>
        <v>Paudex</v>
      </c>
      <c r="C124" s="10">
        <f>'A) Base RI'!AN120</f>
        <v>1473</v>
      </c>
      <c r="D124" s="34">
        <f>'C) Prél. conj.'!H118</f>
        <v>280305.32499999995</v>
      </c>
      <c r="E124" s="15">
        <f>'D) Ecrêtage'!L118</f>
        <v>2199283.6860857084</v>
      </c>
      <c r="F124" s="44">
        <f>$F$10*'D) Ecrêtage'!M118</f>
        <v>1821907.7220887379</v>
      </c>
      <c r="G124" s="67">
        <f t="shared" si="2"/>
        <v>4301496.733174446</v>
      </c>
    </row>
    <row r="125" spans="1:7" x14ac:dyDescent="0.25">
      <c r="A125" s="53">
        <f>'A) Base RI'!A121</f>
        <v>5589</v>
      </c>
      <c r="B125" s="116" t="str">
        <f>'A) Base RI'!B121</f>
        <v>Prilly</v>
      </c>
      <c r="C125" s="10">
        <f>'A) Base RI'!AN121</f>
        <v>11871</v>
      </c>
      <c r="D125" s="34">
        <f>'C) Prél. conj.'!H119</f>
        <v>1587768.76</v>
      </c>
      <c r="E125" s="15">
        <f>'D) Ecrêtage'!L119</f>
        <v>0</v>
      </c>
      <c r="F125" s="44">
        <f>$F$10*'D) Ecrêtage'!M119</f>
        <v>6416779.8416607324</v>
      </c>
      <c r="G125" s="67">
        <f t="shared" si="2"/>
        <v>8004548.6016607322</v>
      </c>
    </row>
    <row r="126" spans="1:7" x14ac:dyDescent="0.25">
      <c r="A126" s="53">
        <f>'A) Base RI'!A122</f>
        <v>5590</v>
      </c>
      <c r="B126" s="116" t="str">
        <f>'A) Base RI'!B122</f>
        <v>Pully</v>
      </c>
      <c r="C126" s="10">
        <f>'A) Base RI'!AN122</f>
        <v>17979</v>
      </c>
      <c r="D126" s="34">
        <f>'C) Prél. conj.'!H120</f>
        <v>3949352.1399999997</v>
      </c>
      <c r="E126" s="15">
        <f>'D) Ecrêtage'!L120</f>
        <v>10075736.469099144</v>
      </c>
      <c r="F126" s="44">
        <f>$F$10*'D) Ecrêtage'!M120</f>
        <v>18434989.709430691</v>
      </c>
      <c r="G126" s="67">
        <f t="shared" si="2"/>
        <v>32460078.318529837</v>
      </c>
    </row>
    <row r="127" spans="1:7" x14ac:dyDescent="0.25">
      <c r="A127" s="53">
        <f>'A) Base RI'!A123</f>
        <v>5591</v>
      </c>
      <c r="B127" s="116" t="str">
        <f>'A) Base RI'!B123</f>
        <v>Renens</v>
      </c>
      <c r="C127" s="10">
        <f>'A) Base RI'!AN123</f>
        <v>20323</v>
      </c>
      <c r="D127" s="34">
        <f>'C) Prél. conj.'!H121</f>
        <v>1690416.75</v>
      </c>
      <c r="E127" s="15">
        <f>'D) Ecrêtage'!L121</f>
        <v>0</v>
      </c>
      <c r="F127" s="44">
        <f>$F$10*'D) Ecrêtage'!M121</f>
        <v>7766976.7736131279</v>
      </c>
      <c r="G127" s="67">
        <f t="shared" si="2"/>
        <v>9457393.5236131288</v>
      </c>
    </row>
    <row r="128" spans="1:7" x14ac:dyDescent="0.25">
      <c r="A128" s="53">
        <f>'A) Base RI'!A124</f>
        <v>5592</v>
      </c>
      <c r="B128" s="116" t="str">
        <f>'A) Base RI'!B124</f>
        <v>Romanel-sur-Lausanne</v>
      </c>
      <c r="C128" s="10">
        <f>'A) Base RI'!AN124</f>
        <v>3352</v>
      </c>
      <c r="D128" s="34">
        <f>'C) Prél. conj.'!H122</f>
        <v>196389.21</v>
      </c>
      <c r="E128" s="15">
        <f>'D) Ecrêtage'!L122</f>
        <v>0</v>
      </c>
      <c r="F128" s="44">
        <f>$F$10*'D) Ecrêtage'!M122</f>
        <v>1709227.3059938911</v>
      </c>
      <c r="G128" s="67">
        <f t="shared" si="2"/>
        <v>1905616.5159938911</v>
      </c>
    </row>
    <row r="129" spans="1:7" x14ac:dyDescent="0.25">
      <c r="A129" s="53">
        <f>'A) Base RI'!A125</f>
        <v>5601</v>
      </c>
      <c r="B129" s="116" t="str">
        <f>'A) Base RI'!B125</f>
        <v>Chexbres</v>
      </c>
      <c r="C129" s="10">
        <f>'A) Base RI'!AN125</f>
        <v>2235</v>
      </c>
      <c r="D129" s="34">
        <f>'C) Prél. conj.'!H123</f>
        <v>277583.80499999999</v>
      </c>
      <c r="E129" s="15">
        <f>'D) Ecrêtage'!L123</f>
        <v>0</v>
      </c>
      <c r="F129" s="44">
        <f>$F$10*'D) Ecrêtage'!M123</f>
        <v>1462721.297112027</v>
      </c>
      <c r="G129" s="67">
        <f t="shared" si="2"/>
        <v>1740305.1021120269</v>
      </c>
    </row>
    <row r="130" spans="1:7" x14ac:dyDescent="0.25">
      <c r="A130" s="53">
        <f>'A) Base RI'!A126</f>
        <v>5604</v>
      </c>
      <c r="B130" s="116" t="str">
        <f>'A) Base RI'!B126</f>
        <v>Forel (Lavaux)</v>
      </c>
      <c r="C130" s="10">
        <f>'A) Base RI'!AN126</f>
        <v>2066</v>
      </c>
      <c r="D130" s="34">
        <f>'C) Prél. conj.'!H124</f>
        <v>150324.5</v>
      </c>
      <c r="E130" s="15">
        <f>'D) Ecrêtage'!L124</f>
        <v>0</v>
      </c>
      <c r="F130" s="44">
        <f>$F$10*'D) Ecrêtage'!M124</f>
        <v>1044699.5983284514</v>
      </c>
      <c r="G130" s="67">
        <f t="shared" si="2"/>
        <v>1195024.0983284514</v>
      </c>
    </row>
    <row r="131" spans="1:7" x14ac:dyDescent="0.25">
      <c r="A131" s="53">
        <f>'A) Base RI'!A127</f>
        <v>5606</v>
      </c>
      <c r="B131" s="116" t="str">
        <f>'A) Base RI'!B127</f>
        <v>Lutry</v>
      </c>
      <c r="C131" s="10">
        <f>'A) Base RI'!AN127</f>
        <v>9888</v>
      </c>
      <c r="D131" s="34">
        <f>'C) Prél. conj.'!H125</f>
        <v>3309570.2700000005</v>
      </c>
      <c r="E131" s="15">
        <f>'D) Ecrêtage'!L125</f>
        <v>4746129.649021077</v>
      </c>
      <c r="F131" s="44">
        <f>$F$10*'D) Ecrêtage'!M125</f>
        <v>10047082.916105563</v>
      </c>
      <c r="G131" s="67">
        <f t="shared" si="2"/>
        <v>18102782.835126642</v>
      </c>
    </row>
    <row r="132" spans="1:7" x14ac:dyDescent="0.25">
      <c r="A132" s="53">
        <f>'A) Base RI'!A128</f>
        <v>5607</v>
      </c>
      <c r="B132" s="116" t="str">
        <f>'A) Base RI'!B128</f>
        <v>Puidoux</v>
      </c>
      <c r="C132" s="10">
        <f>'A) Base RI'!AN128</f>
        <v>2874</v>
      </c>
      <c r="D132" s="34">
        <f>'C) Prél. conj.'!H126</f>
        <v>429651.76999999996</v>
      </c>
      <c r="E132" s="15">
        <f>'D) Ecrêtage'!L126</f>
        <v>0</v>
      </c>
      <c r="F132" s="44">
        <f>$F$10*'D) Ecrêtage'!M126</f>
        <v>1424613.9231383321</v>
      </c>
      <c r="G132" s="67">
        <f t="shared" si="2"/>
        <v>1854265.6931383321</v>
      </c>
    </row>
    <row r="133" spans="1:7" x14ac:dyDescent="0.25">
      <c r="A133" s="53">
        <f>'A) Base RI'!A129</f>
        <v>5609</v>
      </c>
      <c r="B133" s="116" t="str">
        <f>'A) Base RI'!B129</f>
        <v>Rivaz</v>
      </c>
      <c r="C133" s="10">
        <f>'A) Base RI'!AN129</f>
        <v>357</v>
      </c>
      <c r="D133" s="34">
        <f>'C) Prél. conj.'!H127</f>
        <v>187705.27499999999</v>
      </c>
      <c r="E133" s="15">
        <f>'D) Ecrêtage'!L127</f>
        <v>0</v>
      </c>
      <c r="F133" s="44">
        <f>$F$10*'D) Ecrêtage'!M127</f>
        <v>247666.38395584645</v>
      </c>
      <c r="G133" s="67">
        <f t="shared" si="2"/>
        <v>435371.65895584645</v>
      </c>
    </row>
    <row r="134" spans="1:7" x14ac:dyDescent="0.25">
      <c r="A134" s="53">
        <f>'A) Base RI'!A130</f>
        <v>5610</v>
      </c>
      <c r="B134" s="116" t="str">
        <f>'A) Base RI'!B130</f>
        <v>St-Saphorin (Lavaux)</v>
      </c>
      <c r="C134" s="10">
        <f>'A) Base RI'!AN130</f>
        <v>398</v>
      </c>
      <c r="D134" s="34">
        <f>'C) Prél. conj.'!H128</f>
        <v>72697.25</v>
      </c>
      <c r="E134" s="15">
        <f>'D) Ecrêtage'!L128</f>
        <v>0</v>
      </c>
      <c r="F134" s="44">
        <f>$F$10*'D) Ecrêtage'!M128</f>
        <v>293401.86766394204</v>
      </c>
      <c r="G134" s="67">
        <f t="shared" si="2"/>
        <v>366099.11766394204</v>
      </c>
    </row>
    <row r="135" spans="1:7" x14ac:dyDescent="0.25">
      <c r="A135" s="53">
        <f>'A) Base RI'!A131</f>
        <v>5611</v>
      </c>
      <c r="B135" s="116" t="str">
        <f>'A) Base RI'!B131</f>
        <v>Savigny</v>
      </c>
      <c r="C135" s="10">
        <f>'A) Base RI'!AN131</f>
        <v>3276</v>
      </c>
      <c r="D135" s="34">
        <f>'C) Prél. conj.'!H129</f>
        <v>295776.87</v>
      </c>
      <c r="E135" s="15">
        <f>'D) Ecrêtage'!L129</f>
        <v>0</v>
      </c>
      <c r="F135" s="44">
        <f>$F$10*'D) Ecrêtage'!M129</f>
        <v>1694291.3131523409</v>
      </c>
      <c r="G135" s="67">
        <f t="shared" si="2"/>
        <v>1990068.1831523408</v>
      </c>
    </row>
    <row r="136" spans="1:7" x14ac:dyDescent="0.25">
      <c r="A136" s="53">
        <f>'A) Base RI'!A132</f>
        <v>5613</v>
      </c>
      <c r="B136" s="116" t="str">
        <f>'A) Base RI'!B132</f>
        <v>Bourg-en-Lavaux</v>
      </c>
      <c r="C136" s="10">
        <f>'A) Base RI'!AN132</f>
        <v>5296</v>
      </c>
      <c r="D136" s="34">
        <f>'C) Prél. conj.'!H130</f>
        <v>930344.875</v>
      </c>
      <c r="E136" s="15">
        <f>'D) Ecrêtage'!L130</f>
        <v>106012.78740215793</v>
      </c>
      <c r="F136" s="44">
        <f>$F$10*'D) Ecrêtage'!M130</f>
        <v>4401299.3932827767</v>
      </c>
      <c r="G136" s="67">
        <f t="shared" si="2"/>
        <v>5437657.0556849344</v>
      </c>
    </row>
    <row r="137" spans="1:7" x14ac:dyDescent="0.25">
      <c r="A137" s="53">
        <f>'A) Base RI'!A133</f>
        <v>5621</v>
      </c>
      <c r="B137" s="116" t="str">
        <f>'A) Base RI'!B133</f>
        <v>Aclens</v>
      </c>
      <c r="C137" s="10">
        <f>'A) Base RI'!AN133</f>
        <v>521</v>
      </c>
      <c r="D137" s="34">
        <f>'C) Prél. conj.'!H131</f>
        <v>85348.845000000001</v>
      </c>
      <c r="E137" s="15">
        <f>'D) Ecrêtage'!L131</f>
        <v>0</v>
      </c>
      <c r="F137" s="44">
        <f>$F$10*'D) Ecrêtage'!M131</f>
        <v>393301.75736326369</v>
      </c>
      <c r="G137" s="67">
        <f t="shared" si="2"/>
        <v>478650.60236326372</v>
      </c>
    </row>
    <row r="138" spans="1:7" x14ac:dyDescent="0.25">
      <c r="A138" s="53">
        <f>'A) Base RI'!A134</f>
        <v>5622</v>
      </c>
      <c r="B138" s="116" t="str">
        <f>'A) Base RI'!B134</f>
        <v>Bremblens</v>
      </c>
      <c r="C138" s="10">
        <f>'A) Base RI'!AN134</f>
        <v>516</v>
      </c>
      <c r="D138" s="34">
        <f>'C) Prél. conj.'!H132</f>
        <v>152422.77500000002</v>
      </c>
      <c r="E138" s="15">
        <f>'D) Ecrêtage'!L132</f>
        <v>88864.789766781818</v>
      </c>
      <c r="F138" s="44">
        <f>$F$10*'D) Ecrêtage'!M132</f>
        <v>459514.83610234212</v>
      </c>
      <c r="G138" s="67">
        <f t="shared" si="2"/>
        <v>700802.40086912399</v>
      </c>
    </row>
    <row r="139" spans="1:7" x14ac:dyDescent="0.25">
      <c r="A139" s="53">
        <f>'A) Base RI'!A135</f>
        <v>5623</v>
      </c>
      <c r="B139" s="116" t="str">
        <f>'A) Base RI'!B135</f>
        <v>Buchillon</v>
      </c>
      <c r="C139" s="10">
        <f>'A) Base RI'!AN135</f>
        <v>609</v>
      </c>
      <c r="D139" s="34">
        <f>'C) Prél. conj.'!H133</f>
        <v>967946.36499999999</v>
      </c>
      <c r="E139" s="15">
        <f>'D) Ecrêtage'!L133</f>
        <v>1265947.1293695413</v>
      </c>
      <c r="F139" s="44">
        <f>$F$10*'D) Ecrêtage'!M133</f>
        <v>858113.2288880347</v>
      </c>
      <c r="G139" s="67">
        <f t="shared" si="2"/>
        <v>3092006.7232575761</v>
      </c>
    </row>
    <row r="140" spans="1:7" x14ac:dyDescent="0.25">
      <c r="A140" s="53">
        <f>'A) Base RI'!A136</f>
        <v>5624</v>
      </c>
      <c r="B140" s="116" t="str">
        <f>'A) Base RI'!B136</f>
        <v>Bussigny</v>
      </c>
      <c r="C140" s="10">
        <f>'A) Base RI'!AN136</f>
        <v>8227</v>
      </c>
      <c r="D140" s="34">
        <f>'C) Prél. conj.'!H134</f>
        <v>1027783.69</v>
      </c>
      <c r="E140" s="15">
        <f>'D) Ecrêtage'!L134</f>
        <v>0</v>
      </c>
      <c r="F140" s="44">
        <f>$F$10*'D) Ecrêtage'!M134</f>
        <v>4899830.348118322</v>
      </c>
      <c r="G140" s="67">
        <f t="shared" si="2"/>
        <v>5927614.0381183214</v>
      </c>
    </row>
    <row r="141" spans="1:7" x14ac:dyDescent="0.25">
      <c r="A141" s="53">
        <f>'A) Base RI'!A137</f>
        <v>5625</v>
      </c>
      <c r="B141" s="116" t="str">
        <f>'A) Base RI'!B137</f>
        <v>Bussy-Chardonney</v>
      </c>
      <c r="C141" s="10">
        <f>'A) Base RI'!AN137</f>
        <v>369</v>
      </c>
      <c r="D141" s="34">
        <f>'C) Prél. conj.'!H135</f>
        <v>56931.700000000004</v>
      </c>
      <c r="E141" s="15">
        <f>'D) Ecrêtage'!L135</f>
        <v>0</v>
      </c>
      <c r="F141" s="44">
        <f>$F$10*'D) Ecrêtage'!M135</f>
        <v>201576.27304948689</v>
      </c>
      <c r="G141" s="67">
        <f t="shared" si="2"/>
        <v>258507.9730494869</v>
      </c>
    </row>
    <row r="142" spans="1:7" x14ac:dyDescent="0.25">
      <c r="A142" s="53">
        <f>'A) Base RI'!A138</f>
        <v>5627</v>
      </c>
      <c r="B142" s="116" t="str">
        <f>'A) Base RI'!B138</f>
        <v>Chavannes-près-Renens</v>
      </c>
      <c r="C142" s="10">
        <f>'A) Base RI'!AN138</f>
        <v>7543</v>
      </c>
      <c r="D142" s="34">
        <f>'C) Prél. conj.'!H136</f>
        <v>399168.495</v>
      </c>
      <c r="E142" s="15">
        <f>'D) Ecrêtage'!L136</f>
        <v>0</v>
      </c>
      <c r="F142" s="44">
        <f>$F$10*'D) Ecrêtage'!M136</f>
        <v>2518922.9923653053</v>
      </c>
      <c r="G142" s="67">
        <f t="shared" si="2"/>
        <v>2918091.4873653054</v>
      </c>
    </row>
    <row r="143" spans="1:7" x14ac:dyDescent="0.25">
      <c r="A143" s="53">
        <f>'A) Base RI'!A139</f>
        <v>5628</v>
      </c>
      <c r="B143" s="116" t="str">
        <f>'A) Base RI'!B139</f>
        <v>Chigny</v>
      </c>
      <c r="C143" s="10">
        <f>'A) Base RI'!AN139</f>
        <v>343</v>
      </c>
      <c r="D143" s="34">
        <f>'C) Prél. conj.'!H137</f>
        <v>42650.950000000004</v>
      </c>
      <c r="E143" s="15">
        <f>'D) Ecrêtage'!L137</f>
        <v>2752.4560608287311</v>
      </c>
      <c r="F143" s="44">
        <f>$F$10*'D) Ecrêtage'!M137</f>
        <v>283276.92582787777</v>
      </c>
      <c r="G143" s="67">
        <f t="shared" si="2"/>
        <v>328680.33188870654</v>
      </c>
    </row>
    <row r="144" spans="1:7" x14ac:dyDescent="0.25">
      <c r="A144" s="53">
        <f>'A) Base RI'!A140</f>
        <v>5629</v>
      </c>
      <c r="B144" s="116" t="str">
        <f>'A) Base RI'!B140</f>
        <v>Clarmont</v>
      </c>
      <c r="C144" s="10">
        <f>'A) Base RI'!AN140</f>
        <v>175</v>
      </c>
      <c r="D144" s="34">
        <f>'C) Prél. conj.'!H138</f>
        <v>41072.875</v>
      </c>
      <c r="E144" s="15">
        <f>'D) Ecrêtage'!L138</f>
        <v>0</v>
      </c>
      <c r="F144" s="44">
        <f>$F$10*'D) Ecrêtage'!M138</f>
        <v>110513.82644397212</v>
      </c>
      <c r="G144" s="67">
        <f t="shared" si="2"/>
        <v>151586.70144397212</v>
      </c>
    </row>
    <row r="145" spans="1:7" x14ac:dyDescent="0.25">
      <c r="A145" s="53">
        <f>'A) Base RI'!A141</f>
        <v>5631</v>
      </c>
      <c r="B145" s="116" t="str">
        <f>'A) Base RI'!B141</f>
        <v>Denens</v>
      </c>
      <c r="C145" s="10">
        <f>'A) Base RI'!AN141</f>
        <v>769</v>
      </c>
      <c r="D145" s="34">
        <f>'C) Prél. conj.'!H139</f>
        <v>303071.07500000001</v>
      </c>
      <c r="E145" s="15">
        <f>'D) Ecrêtage'!L139</f>
        <v>0</v>
      </c>
      <c r="F145" s="44">
        <f>$F$10*'D) Ecrêtage'!M139</f>
        <v>619160.93061254942</v>
      </c>
      <c r="G145" s="67">
        <f t="shared" si="2"/>
        <v>922232.00561254937</v>
      </c>
    </row>
    <row r="146" spans="1:7" x14ac:dyDescent="0.25">
      <c r="A146" s="53">
        <f>'A) Base RI'!A142</f>
        <v>5632</v>
      </c>
      <c r="B146" s="116" t="str">
        <f>'A) Base RI'!B142</f>
        <v>Denges</v>
      </c>
      <c r="C146" s="10">
        <f>'A) Base RI'!AN142</f>
        <v>1624</v>
      </c>
      <c r="D146" s="34">
        <f>'C) Prél. conj.'!H140</f>
        <v>187954.89500000002</v>
      </c>
      <c r="E146" s="15">
        <f>'D) Ecrêtage'!L140</f>
        <v>0</v>
      </c>
      <c r="F146" s="44">
        <f>$F$10*'D) Ecrêtage'!M140</f>
        <v>987064.24332247709</v>
      </c>
      <c r="G146" s="67">
        <f t="shared" si="2"/>
        <v>1175019.1383224772</v>
      </c>
    </row>
    <row r="147" spans="1:7" x14ac:dyDescent="0.25">
      <c r="A147" s="53">
        <f>'A) Base RI'!A143</f>
        <v>5633</v>
      </c>
      <c r="B147" s="116" t="str">
        <f>'A) Base RI'!B143</f>
        <v>Echandens</v>
      </c>
      <c r="C147" s="10">
        <f>'A) Base RI'!AN143</f>
        <v>2731</v>
      </c>
      <c r="D147" s="34">
        <f>'C) Prél. conj.'!H141</f>
        <v>300183.95</v>
      </c>
      <c r="E147" s="15">
        <f>'D) Ecrêtage'!L141</f>
        <v>0</v>
      </c>
      <c r="F147" s="44">
        <f>$F$10*'D) Ecrêtage'!M141</f>
        <v>2046487.4082331443</v>
      </c>
      <c r="G147" s="67">
        <f t="shared" si="2"/>
        <v>2346671.3582331445</v>
      </c>
    </row>
    <row r="148" spans="1:7" x14ac:dyDescent="0.25">
      <c r="A148" s="53">
        <f>'A) Base RI'!A144</f>
        <v>5634</v>
      </c>
      <c r="B148" s="116" t="str">
        <f>'A) Base RI'!B144</f>
        <v>Echichens</v>
      </c>
      <c r="C148" s="10">
        <f>'A) Base RI'!AN144</f>
        <v>2639</v>
      </c>
      <c r="D148" s="34">
        <f>'C) Prél. conj.'!H142</f>
        <v>510878.26500000001</v>
      </c>
      <c r="E148" s="15">
        <f>'D) Ecrêtage'!L142</f>
        <v>0</v>
      </c>
      <c r="F148" s="44">
        <f>$F$10*'D) Ecrêtage'!M142</f>
        <v>1843308.2460615595</v>
      </c>
      <c r="G148" s="67">
        <f t="shared" si="2"/>
        <v>2354186.5110615594</v>
      </c>
    </row>
    <row r="149" spans="1:7" x14ac:dyDescent="0.25">
      <c r="A149" s="53">
        <f>'A) Base RI'!A145</f>
        <v>5635</v>
      </c>
      <c r="B149" s="116" t="str">
        <f>'A) Base RI'!B145</f>
        <v>Ecublens</v>
      </c>
      <c r="C149" s="10">
        <f>'A) Base RI'!AN145</f>
        <v>12340</v>
      </c>
      <c r="D149" s="34">
        <f>'C) Prél. conj.'!H143</f>
        <v>1479511.115</v>
      </c>
      <c r="E149" s="15">
        <f>'D) Ecrêtage'!L143</f>
        <v>0</v>
      </c>
      <c r="F149" s="44">
        <f>$F$10*'D) Ecrêtage'!M143</f>
        <v>6225688.7224312918</v>
      </c>
      <c r="G149" s="67">
        <f t="shared" si="2"/>
        <v>7705199.837431292</v>
      </c>
    </row>
    <row r="150" spans="1:7" x14ac:dyDescent="0.25">
      <c r="A150" s="53">
        <f>'A) Base RI'!A146</f>
        <v>5636</v>
      </c>
      <c r="B150" s="116" t="str">
        <f>'A) Base RI'!B146</f>
        <v>Etoy</v>
      </c>
      <c r="C150" s="10">
        <f>'A) Base RI'!AN146</f>
        <v>2906</v>
      </c>
      <c r="D150" s="34">
        <f>'C) Prél. conj.'!H144</f>
        <v>2657631.3699999996</v>
      </c>
      <c r="E150" s="15">
        <f>'D) Ecrêtage'!L144</f>
        <v>0</v>
      </c>
      <c r="F150" s="44">
        <f>$F$10*'D) Ecrêtage'!M144</f>
        <v>2212201.2473175428</v>
      </c>
      <c r="G150" s="67">
        <f t="shared" si="2"/>
        <v>4869832.6173175424</v>
      </c>
    </row>
    <row r="151" spans="1:7" x14ac:dyDescent="0.25">
      <c r="A151" s="53">
        <f>'A) Base RI'!A147</f>
        <v>5637</v>
      </c>
      <c r="B151" s="116" t="str">
        <f>'A) Base RI'!B147</f>
        <v>Lavigny</v>
      </c>
      <c r="C151" s="10">
        <f>'A) Base RI'!AN147</f>
        <v>1006</v>
      </c>
      <c r="D151" s="34">
        <f>'C) Prél. conj.'!H145</f>
        <v>138680.62</v>
      </c>
      <c r="E151" s="15">
        <f>'D) Ecrêtage'!L145</f>
        <v>0</v>
      </c>
      <c r="F151" s="44">
        <f>$F$10*'D) Ecrêtage'!M145</f>
        <v>524822.75035954942</v>
      </c>
      <c r="G151" s="67">
        <f t="shared" si="2"/>
        <v>663503.37035954942</v>
      </c>
    </row>
    <row r="152" spans="1:7" x14ac:dyDescent="0.25">
      <c r="A152" s="53">
        <f>'A) Base RI'!A148</f>
        <v>5638</v>
      </c>
      <c r="B152" s="116" t="str">
        <f>'A) Base RI'!B148</f>
        <v>Lonay</v>
      </c>
      <c r="C152" s="10">
        <f>'A) Base RI'!AN148</f>
        <v>2530</v>
      </c>
      <c r="D152" s="34">
        <f>'C) Prél. conj.'!H146</f>
        <v>1399125.7349999999</v>
      </c>
      <c r="E152" s="15">
        <f>'D) Ecrêtage'!L146</f>
        <v>177614.84125225811</v>
      </c>
      <c r="F152" s="44">
        <f>$F$10*'D) Ecrêtage'!M146</f>
        <v>2165129.9683428239</v>
      </c>
      <c r="G152" s="67">
        <f t="shared" si="2"/>
        <v>3741870.5445950818</v>
      </c>
    </row>
    <row r="153" spans="1:7" x14ac:dyDescent="0.25">
      <c r="A153" s="53">
        <f>'A) Base RI'!A149</f>
        <v>5639</v>
      </c>
      <c r="B153" s="116" t="str">
        <f>'A) Base RI'!B149</f>
        <v>Lully</v>
      </c>
      <c r="C153" s="10">
        <f>'A) Base RI'!AN149</f>
        <v>785</v>
      </c>
      <c r="D153" s="34">
        <f>'C) Prél. conj.'!H147</f>
        <v>73912.299999999988</v>
      </c>
      <c r="E153" s="15">
        <f>'D) Ecrêtage'!L147</f>
        <v>0</v>
      </c>
      <c r="F153" s="44">
        <f>$F$10*'D) Ecrêtage'!M147</f>
        <v>611854.65923887072</v>
      </c>
      <c r="G153" s="67">
        <f t="shared" si="2"/>
        <v>685766.95923887077</v>
      </c>
    </row>
    <row r="154" spans="1:7" x14ac:dyDescent="0.25">
      <c r="A154" s="53">
        <f>'A) Base RI'!A150</f>
        <v>5640</v>
      </c>
      <c r="B154" s="116" t="str">
        <f>'A) Base RI'!B150</f>
        <v>Lussy-sur-Morges</v>
      </c>
      <c r="C154" s="10">
        <f>'A) Base RI'!AN150</f>
        <v>644</v>
      </c>
      <c r="D154" s="34">
        <f>'C) Prél. conj.'!H148</f>
        <v>193488.76</v>
      </c>
      <c r="E154" s="15">
        <f>'D) Ecrêtage'!L148</f>
        <v>488537.61573180766</v>
      </c>
      <c r="F154" s="44">
        <f>$F$10*'D) Ecrêtage'!M148</f>
        <v>685906.79557617067</v>
      </c>
      <c r="G154" s="67">
        <f t="shared" si="2"/>
        <v>1367933.1713079782</v>
      </c>
    </row>
    <row r="155" spans="1:7" x14ac:dyDescent="0.25">
      <c r="A155" s="53">
        <f>'A) Base RI'!A151</f>
        <v>5642</v>
      </c>
      <c r="B155" s="116" t="str">
        <f>'A) Base RI'!B151</f>
        <v>Morges</v>
      </c>
      <c r="C155" s="10">
        <f>'A) Base RI'!AN151</f>
        <v>15819</v>
      </c>
      <c r="D155" s="34">
        <f>'C) Prél. conj.'!H149</f>
        <v>2495092.1550000003</v>
      </c>
      <c r="E155" s="15">
        <f>'D) Ecrêtage'!L149</f>
        <v>0</v>
      </c>
      <c r="F155" s="44">
        <f>$F$10*'D) Ecrêtage'!M149</f>
        <v>11464343.40692866</v>
      </c>
      <c r="G155" s="67">
        <f t="shared" si="2"/>
        <v>13959435.56192866</v>
      </c>
    </row>
    <row r="156" spans="1:7" x14ac:dyDescent="0.25">
      <c r="A156" s="53">
        <f>'A) Base RI'!A152</f>
        <v>5643</v>
      </c>
      <c r="B156" s="116" t="str">
        <f>'A) Base RI'!B152</f>
        <v>Préverenges</v>
      </c>
      <c r="C156" s="10">
        <f>'A) Base RI'!AN152</f>
        <v>5276</v>
      </c>
      <c r="D156" s="34">
        <f>'C) Prél. conj.'!H150</f>
        <v>548248.44999999995</v>
      </c>
      <c r="E156" s="15">
        <f>'D) Ecrêtage'!L150</f>
        <v>0</v>
      </c>
      <c r="F156" s="44">
        <f>$F$10*'D) Ecrêtage'!M150</f>
        <v>3853519.6171425902</v>
      </c>
      <c r="G156" s="67">
        <f t="shared" si="2"/>
        <v>4401768.0671425899</v>
      </c>
    </row>
    <row r="157" spans="1:7" x14ac:dyDescent="0.25">
      <c r="A157" s="53">
        <f>'A) Base RI'!A153</f>
        <v>5644</v>
      </c>
      <c r="B157" s="116" t="str">
        <f>'A) Base RI'!B153</f>
        <v>Reverolle</v>
      </c>
      <c r="C157" s="10">
        <f>'A) Base RI'!AN153</f>
        <v>368</v>
      </c>
      <c r="D157" s="34">
        <f>'C) Prél. conj.'!H151</f>
        <v>31583.19</v>
      </c>
      <c r="E157" s="15">
        <f>'D) Ecrêtage'!L151</f>
        <v>0</v>
      </c>
      <c r="F157" s="44">
        <f>$F$10*'D) Ecrêtage'!M151</f>
        <v>207191.78373223473</v>
      </c>
      <c r="G157" s="67">
        <f t="shared" si="2"/>
        <v>238774.97373223474</v>
      </c>
    </row>
    <row r="158" spans="1:7" x14ac:dyDescent="0.25">
      <c r="A158" s="53">
        <f>'A) Base RI'!A154</f>
        <v>5645</v>
      </c>
      <c r="B158" s="116" t="str">
        <f>'A) Base RI'!B154</f>
        <v>Romanel-sur-Morges</v>
      </c>
      <c r="C158" s="10">
        <f>'A) Base RI'!AN154</f>
        <v>477</v>
      </c>
      <c r="D158" s="34">
        <f>'C) Prél. conj.'!H152</f>
        <v>70771.315000000002</v>
      </c>
      <c r="E158" s="15">
        <f>'D) Ecrêtage'!L152</f>
        <v>0</v>
      </c>
      <c r="F158" s="44">
        <f>$F$10*'D) Ecrêtage'!M152</f>
        <v>386494.2139730982</v>
      </c>
      <c r="G158" s="67">
        <f t="shared" si="2"/>
        <v>457265.5289730982</v>
      </c>
    </row>
    <row r="159" spans="1:7" x14ac:dyDescent="0.25">
      <c r="A159" s="53">
        <f>'A) Base RI'!A155</f>
        <v>5646</v>
      </c>
      <c r="B159" s="116" t="str">
        <f>'A) Base RI'!B155</f>
        <v>Saint-Prex</v>
      </c>
      <c r="C159" s="10">
        <f>'A) Base RI'!AN155</f>
        <v>5661</v>
      </c>
      <c r="D159" s="34">
        <f>'C) Prél. conj.'!H153</f>
        <v>880895.94000000006</v>
      </c>
      <c r="E159" s="15">
        <f>'D) Ecrêtage'!L153</f>
        <v>4936784.4073942406</v>
      </c>
      <c r="F159" s="44">
        <f>$F$10*'D) Ecrêtage'!M153</f>
        <v>6452599.750936009</v>
      </c>
      <c r="G159" s="67">
        <f t="shared" si="2"/>
        <v>12270280.09833025</v>
      </c>
    </row>
    <row r="160" spans="1:7" x14ac:dyDescent="0.25">
      <c r="A160" s="53">
        <f>'A) Base RI'!A156</f>
        <v>5648</v>
      </c>
      <c r="B160" s="116" t="str">
        <f>'A) Base RI'!B156</f>
        <v>Saint-Sulpice</v>
      </c>
      <c r="C160" s="10">
        <f>'A) Base RI'!AN156</f>
        <v>4148</v>
      </c>
      <c r="D160" s="34">
        <f>'C) Prél. conj.'!H154</f>
        <v>1405098.32</v>
      </c>
      <c r="E160" s="15">
        <f>'D) Ecrêtage'!L154</f>
        <v>1903579.730218349</v>
      </c>
      <c r="F160" s="44">
        <f>$F$10*'D) Ecrêtage'!M154</f>
        <v>4192988.9797694162</v>
      </c>
      <c r="G160" s="67">
        <f t="shared" si="2"/>
        <v>7501667.0299877655</v>
      </c>
    </row>
    <row r="161" spans="1:7" x14ac:dyDescent="0.25">
      <c r="A161" s="53">
        <f>'A) Base RI'!A157</f>
        <v>5649</v>
      </c>
      <c r="B161" s="116" t="str">
        <f>'A) Base RI'!B157</f>
        <v>Tolochenaz</v>
      </c>
      <c r="C161" s="10">
        <f>'A) Base RI'!AN157</f>
        <v>1865</v>
      </c>
      <c r="D161" s="34">
        <f>'C) Prél. conj.'!H155</f>
        <v>449692.375</v>
      </c>
      <c r="E161" s="15">
        <f>'D) Ecrêtage'!L155</f>
        <v>0</v>
      </c>
      <c r="F161" s="44">
        <f>$F$10*'D) Ecrêtage'!M155</f>
        <v>1154497.8620676289</v>
      </c>
      <c r="G161" s="67">
        <f t="shared" si="2"/>
        <v>1604190.2370676289</v>
      </c>
    </row>
    <row r="162" spans="1:7" x14ac:dyDescent="0.25">
      <c r="A162" s="53">
        <f>'A) Base RI'!A158</f>
        <v>5650</v>
      </c>
      <c r="B162" s="116" t="str">
        <f>'A) Base RI'!B158</f>
        <v>Vaux-sur-Morges</v>
      </c>
      <c r="C162" s="10">
        <f>'A) Base RI'!AN158</f>
        <v>200</v>
      </c>
      <c r="D162" s="34">
        <f>'C) Prél. conj.'!H156</f>
        <v>1119.0999999999999</v>
      </c>
      <c r="E162" s="15">
        <f>'D) Ecrêtage'!L156</f>
        <v>6250366.8760742815</v>
      </c>
      <c r="F162" s="44">
        <f>$F$10*'D) Ecrêtage'!M156</f>
        <v>1435448.442245557</v>
      </c>
      <c r="G162" s="67">
        <f t="shared" si="2"/>
        <v>7686934.4183198381</v>
      </c>
    </row>
    <row r="163" spans="1:7" x14ac:dyDescent="0.25">
      <c r="A163" s="53">
        <f>'A) Base RI'!A159</f>
        <v>5651</v>
      </c>
      <c r="B163" s="116" t="str">
        <f>'A) Base RI'!B159</f>
        <v>Villars-Sainte-Croix</v>
      </c>
      <c r="C163" s="10">
        <f>'A) Base RI'!AN159</f>
        <v>841</v>
      </c>
      <c r="D163" s="34">
        <f>'C) Prél. conj.'!H157</f>
        <v>225183.03999999998</v>
      </c>
      <c r="E163" s="15">
        <f>'D) Ecrêtage'!L157</f>
        <v>0</v>
      </c>
      <c r="F163" s="44">
        <f>$F$10*'D) Ecrêtage'!M157</f>
        <v>573275.82107769744</v>
      </c>
      <c r="G163" s="67">
        <f t="shared" si="2"/>
        <v>798458.86107769748</v>
      </c>
    </row>
    <row r="164" spans="1:7" x14ac:dyDescent="0.25">
      <c r="A164" s="53">
        <f>'A) Base RI'!A160</f>
        <v>5652</v>
      </c>
      <c r="B164" s="116" t="str">
        <f>'A) Base RI'!B160</f>
        <v>Villars-sous-Yens</v>
      </c>
      <c r="C164" s="10">
        <f>'A) Base RI'!AN160</f>
        <v>598</v>
      </c>
      <c r="D164" s="34">
        <f>'C) Prél. conj.'!H158</f>
        <v>64418.585000000006</v>
      </c>
      <c r="E164" s="15">
        <f>'D) Ecrêtage'!L158</f>
        <v>0</v>
      </c>
      <c r="F164" s="44">
        <f>$F$10*'D) Ecrêtage'!M158</f>
        <v>321465.80163733871</v>
      </c>
      <c r="G164" s="67">
        <f t="shared" si="2"/>
        <v>385884.38663733873</v>
      </c>
    </row>
    <row r="165" spans="1:7" x14ac:dyDescent="0.25">
      <c r="A165" s="53">
        <f>'A) Base RI'!A161</f>
        <v>5653</v>
      </c>
      <c r="B165" s="116" t="str">
        <f>'A) Base RI'!B161</f>
        <v>Vufflens-le-Château</v>
      </c>
      <c r="C165" s="10">
        <f>'A) Base RI'!AN161</f>
        <v>841</v>
      </c>
      <c r="D165" s="34">
        <f>'C) Prél. conj.'!H159</f>
        <v>103356.155</v>
      </c>
      <c r="E165" s="15">
        <f>'D) Ecrêtage'!L159</f>
        <v>287689.78576735285</v>
      </c>
      <c r="F165" s="44">
        <f>$F$10*'D) Ecrêtage'!M159</f>
        <v>819367.15439925937</v>
      </c>
      <c r="G165" s="67">
        <f t="shared" si="2"/>
        <v>1210413.0951666122</v>
      </c>
    </row>
    <row r="166" spans="1:7" x14ac:dyDescent="0.25">
      <c r="A166" s="53">
        <f>'A) Base RI'!A162</f>
        <v>5654</v>
      </c>
      <c r="B166" s="116" t="str">
        <f>'A) Base RI'!B162</f>
        <v>Vullierens</v>
      </c>
      <c r="C166" s="10">
        <f>'A) Base RI'!AN162</f>
        <v>461</v>
      </c>
      <c r="D166" s="34">
        <f>'C) Prél. conj.'!H160</f>
        <v>48596.13</v>
      </c>
      <c r="E166" s="15">
        <f>'D) Ecrêtage'!L160</f>
        <v>0</v>
      </c>
      <c r="F166" s="44">
        <f>$F$10*'D) Ecrêtage'!M160</f>
        <v>251373.89603720713</v>
      </c>
      <c r="G166" s="67">
        <f t="shared" si="2"/>
        <v>299970.02603720711</v>
      </c>
    </row>
    <row r="167" spans="1:7" x14ac:dyDescent="0.25">
      <c r="A167" s="53">
        <f>'A) Base RI'!A163</f>
        <v>5655</v>
      </c>
      <c r="B167" s="116" t="str">
        <f>'A) Base RI'!B163</f>
        <v>Yens</v>
      </c>
      <c r="C167" s="10">
        <f>'A) Base RI'!AN163</f>
        <v>1388</v>
      </c>
      <c r="D167" s="34">
        <f>'C) Prél. conj.'!H161</f>
        <v>119861.91499999999</v>
      </c>
      <c r="E167" s="15">
        <f>'D) Ecrêtage'!L161</f>
        <v>150577.9136141355</v>
      </c>
      <c r="F167" s="44">
        <f>$F$10*'D) Ecrêtage'!M161</f>
        <v>1195413.4337158178</v>
      </c>
      <c r="G167" s="67">
        <f t="shared" si="2"/>
        <v>1465853.2623299533</v>
      </c>
    </row>
    <row r="168" spans="1:7" x14ac:dyDescent="0.25">
      <c r="A168" s="53">
        <f>'A) Base RI'!A164</f>
        <v>5661</v>
      </c>
      <c r="B168" s="116" t="str">
        <f>'A) Base RI'!B164</f>
        <v>Boulens</v>
      </c>
      <c r="C168" s="10">
        <f>'A) Base RI'!AN164</f>
        <v>368</v>
      </c>
      <c r="D168" s="34">
        <f>'C) Prél. conj.'!H162</f>
        <v>23761.504999999997</v>
      </c>
      <c r="E168" s="15">
        <f>'D) Ecrêtage'!L162</f>
        <v>0</v>
      </c>
      <c r="F168" s="44">
        <f>$F$10*'D) Ecrêtage'!M162</f>
        <v>140675.52262611518</v>
      </c>
      <c r="G168" s="67">
        <f t="shared" si="2"/>
        <v>164437.02762611519</v>
      </c>
    </row>
    <row r="169" spans="1:7" x14ac:dyDescent="0.25">
      <c r="A169" s="53">
        <f>'A) Base RI'!A165</f>
        <v>5662</v>
      </c>
      <c r="B169" s="116" t="str">
        <f>'A) Base RI'!B165</f>
        <v>Brenles</v>
      </c>
      <c r="C169" s="10">
        <f>'A) Base RI'!AN165</f>
        <v>138</v>
      </c>
      <c r="D169" s="34">
        <f>'C) Prél. conj.'!H163</f>
        <v>24783.375</v>
      </c>
      <c r="E169" s="15">
        <f>'D) Ecrêtage'!L163</f>
        <v>0</v>
      </c>
      <c r="F169" s="44">
        <f>$F$10*'D) Ecrêtage'!M163</f>
        <v>75170.909553370744</v>
      </c>
      <c r="G169" s="67">
        <f t="shared" si="2"/>
        <v>99954.284553370744</v>
      </c>
    </row>
    <row r="170" spans="1:7" x14ac:dyDescent="0.25">
      <c r="A170" s="53">
        <f>'A) Base RI'!A166</f>
        <v>5663</v>
      </c>
      <c r="B170" s="116" t="str">
        <f>'A) Base RI'!B166</f>
        <v>Bussy-sur-Moudon</v>
      </c>
      <c r="C170" s="10">
        <f>'A) Base RI'!AN166</f>
        <v>208</v>
      </c>
      <c r="D170" s="34">
        <f>'C) Prél. conj.'!H164</f>
        <v>10349.85</v>
      </c>
      <c r="E170" s="15">
        <f>'D) Ecrêtage'!L164</f>
        <v>0</v>
      </c>
      <c r="F170" s="44">
        <f>$F$10*'D) Ecrêtage'!M164</f>
        <v>80191.202570450754</v>
      </c>
      <c r="G170" s="67">
        <f t="shared" si="2"/>
        <v>90541.05257045076</v>
      </c>
    </row>
    <row r="171" spans="1:7" x14ac:dyDescent="0.25">
      <c r="A171" s="53">
        <f>'A) Base RI'!A167</f>
        <v>5665</v>
      </c>
      <c r="B171" s="116" t="str">
        <f>'A) Base RI'!B167</f>
        <v>Chavannes-sur-Moudon</v>
      </c>
      <c r="C171" s="10">
        <f>'A) Base RI'!AN167</f>
        <v>224</v>
      </c>
      <c r="D171" s="34">
        <f>'C) Prél. conj.'!H165</f>
        <v>1210</v>
      </c>
      <c r="E171" s="15">
        <f>'D) Ecrêtage'!L165</f>
        <v>0</v>
      </c>
      <c r="F171" s="44">
        <f>$F$10*'D) Ecrêtage'!M165</f>
        <v>73071.116665986046</v>
      </c>
      <c r="G171" s="67">
        <f t="shared" si="2"/>
        <v>74281.116665986046</v>
      </c>
    </row>
    <row r="172" spans="1:7" x14ac:dyDescent="0.25">
      <c r="A172" s="53">
        <f>'A) Base RI'!A168</f>
        <v>5666</v>
      </c>
      <c r="B172" s="116" t="str">
        <f>'A) Base RI'!B168</f>
        <v>Chesalles-sur-Moudon</v>
      </c>
      <c r="C172" s="10">
        <f>'A) Base RI'!AN168</f>
        <v>196</v>
      </c>
      <c r="D172" s="34">
        <f>'C) Prél. conj.'!H166</f>
        <v>0</v>
      </c>
      <c r="E172" s="15">
        <f>'D) Ecrêtage'!L166</f>
        <v>0</v>
      </c>
      <c r="F172" s="44">
        <f>$F$10*'D) Ecrêtage'!M166</f>
        <v>55681.648114647935</v>
      </c>
      <c r="G172" s="67">
        <f t="shared" si="2"/>
        <v>55681.648114647935</v>
      </c>
    </row>
    <row r="173" spans="1:7" x14ac:dyDescent="0.25">
      <c r="A173" s="53">
        <f>'A) Base RI'!A169</f>
        <v>5668</v>
      </c>
      <c r="B173" s="116" t="str">
        <f>'A) Base RI'!B169</f>
        <v>Cremin</v>
      </c>
      <c r="C173" s="10">
        <f>'A) Base RI'!AN169</f>
        <v>59</v>
      </c>
      <c r="D173" s="34">
        <f>'C) Prél. conj.'!H167</f>
        <v>2829.4250000000002</v>
      </c>
      <c r="E173" s="15">
        <f>'D) Ecrêtage'!L167</f>
        <v>0</v>
      </c>
      <c r="F173" s="44">
        <f>$F$10*'D) Ecrêtage'!M167</f>
        <v>14903.892201799325</v>
      </c>
      <c r="G173" s="67">
        <f t="shared" si="2"/>
        <v>17733.317201799324</v>
      </c>
    </row>
    <row r="174" spans="1:7" x14ac:dyDescent="0.25">
      <c r="A174" s="53">
        <f>'A) Base RI'!A170</f>
        <v>5669</v>
      </c>
      <c r="B174" s="116" t="str">
        <f>'A) Base RI'!B170</f>
        <v>Curtilles</v>
      </c>
      <c r="C174" s="10">
        <f>'A) Base RI'!AN170</f>
        <v>309</v>
      </c>
      <c r="D174" s="34">
        <f>'C) Prél. conj.'!H168</f>
        <v>3033.2</v>
      </c>
      <c r="E174" s="15">
        <f>'D) Ecrêtage'!L168</f>
        <v>0</v>
      </c>
      <c r="F174" s="44">
        <f>$F$10*'D) Ecrêtage'!M168</f>
        <v>121409.42741983566</v>
      </c>
      <c r="G174" s="67">
        <f t="shared" si="2"/>
        <v>124442.62741983566</v>
      </c>
    </row>
    <row r="175" spans="1:7" x14ac:dyDescent="0.25">
      <c r="A175" s="53">
        <f>'A) Base RI'!A171</f>
        <v>5671</v>
      </c>
      <c r="B175" s="116" t="str">
        <f>'A) Base RI'!B171</f>
        <v>Dompierre</v>
      </c>
      <c r="C175" s="10">
        <f>'A) Base RI'!AN171</f>
        <v>242</v>
      </c>
      <c r="D175" s="34">
        <f>'C) Prél. conj.'!H169</f>
        <v>0</v>
      </c>
      <c r="E175" s="15">
        <f>'D) Ecrêtage'!L169</f>
        <v>0</v>
      </c>
      <c r="F175" s="44">
        <f>$F$10*'D) Ecrêtage'!M169</f>
        <v>97852.814244131325</v>
      </c>
      <c r="G175" s="67">
        <f t="shared" si="2"/>
        <v>97852.814244131325</v>
      </c>
    </row>
    <row r="176" spans="1:7" x14ac:dyDescent="0.25">
      <c r="A176" s="53">
        <f>'A) Base RI'!A172</f>
        <v>5672</v>
      </c>
      <c r="B176" s="116" t="str">
        <f>'A) Base RI'!B172</f>
        <v>Forel-sur-Lucens</v>
      </c>
      <c r="C176" s="10">
        <f>'A) Base RI'!AN172</f>
        <v>154</v>
      </c>
      <c r="D176" s="34">
        <f>'C) Prél. conj.'!H170</f>
        <v>1100</v>
      </c>
      <c r="E176" s="15">
        <f>'D) Ecrêtage'!L170</f>
        <v>0</v>
      </c>
      <c r="F176" s="44">
        <f>$F$10*'D) Ecrêtage'!M170</f>
        <v>60070.953192485256</v>
      </c>
      <c r="G176" s="67">
        <f t="shared" si="2"/>
        <v>61170.953192485256</v>
      </c>
    </row>
    <row r="177" spans="1:7" x14ac:dyDescent="0.25">
      <c r="A177" s="53">
        <f>'A) Base RI'!A173</f>
        <v>5673</v>
      </c>
      <c r="B177" s="116" t="str">
        <f>'A) Base RI'!B173</f>
        <v>Hermenches</v>
      </c>
      <c r="C177" s="10">
        <f>'A) Base RI'!AN173</f>
        <v>379</v>
      </c>
      <c r="D177" s="34">
        <f>'C) Prél. conj.'!H171</f>
        <v>12771.494999999999</v>
      </c>
      <c r="E177" s="15">
        <f>'D) Ecrêtage'!L171</f>
        <v>0</v>
      </c>
      <c r="F177" s="44">
        <f>$F$10*'D) Ecrêtage'!M171</f>
        <v>115457.98771313415</v>
      </c>
      <c r="G177" s="67">
        <f t="shared" ref="G177:G232" si="3">D177+F177+E177</f>
        <v>128229.48271313414</v>
      </c>
    </row>
    <row r="178" spans="1:7" x14ac:dyDescent="0.25">
      <c r="A178" s="53">
        <f>'A) Base RI'!A174</f>
        <v>5674</v>
      </c>
      <c r="B178" s="116" t="str">
        <f>'A) Base RI'!B174</f>
        <v>Lovatens</v>
      </c>
      <c r="C178" s="10">
        <f>'A) Base RI'!AN174</f>
        <v>143</v>
      </c>
      <c r="D178" s="34">
        <f>'C) Prél. conj.'!H172</f>
        <v>27608.15</v>
      </c>
      <c r="E178" s="15">
        <f>'D) Ecrêtage'!L172</f>
        <v>0</v>
      </c>
      <c r="F178" s="44">
        <f>$F$10*'D) Ecrêtage'!M172</f>
        <v>55385.220902200061</v>
      </c>
      <c r="G178" s="67">
        <f t="shared" si="3"/>
        <v>82993.370902200055</v>
      </c>
    </row>
    <row r="179" spans="1:7" x14ac:dyDescent="0.25">
      <c r="A179" s="53">
        <f>'A) Base RI'!A175</f>
        <v>5675</v>
      </c>
      <c r="B179" s="116" t="str">
        <f>'A) Base RI'!B175</f>
        <v>Lucens</v>
      </c>
      <c r="C179" s="10">
        <f>'A) Base RI'!AN175</f>
        <v>3380</v>
      </c>
      <c r="D179" s="34">
        <f>'C) Prél. conj.'!H173</f>
        <v>185341.92</v>
      </c>
      <c r="E179" s="15">
        <f>'D) Ecrêtage'!L173</f>
        <v>0</v>
      </c>
      <c r="F179" s="44">
        <f>$F$10*'D) Ecrêtage'!M173</f>
        <v>1136196.1480098204</v>
      </c>
      <c r="G179" s="67">
        <f t="shared" si="3"/>
        <v>1321538.0680098203</v>
      </c>
    </row>
    <row r="180" spans="1:7" x14ac:dyDescent="0.25">
      <c r="A180" s="53">
        <f>'A) Base RI'!A176</f>
        <v>5678</v>
      </c>
      <c r="B180" s="116" t="str">
        <f>'A) Base RI'!B176</f>
        <v>Moudon</v>
      </c>
      <c r="C180" s="10">
        <f>'A) Base RI'!AN176</f>
        <v>6003</v>
      </c>
      <c r="D180" s="34">
        <f>'C) Prél. conj.'!H174</f>
        <v>401644.53</v>
      </c>
      <c r="E180" s="15">
        <f>'D) Ecrêtage'!L174</f>
        <v>0</v>
      </c>
      <c r="F180" s="44">
        <f>$F$10*'D) Ecrêtage'!M174</f>
        <v>1805433.845531971</v>
      </c>
      <c r="G180" s="67">
        <f t="shared" si="3"/>
        <v>2207078.375531971</v>
      </c>
    </row>
    <row r="181" spans="1:7" x14ac:dyDescent="0.25">
      <c r="A181" s="53">
        <f>'A) Base RI'!A177</f>
        <v>5680</v>
      </c>
      <c r="B181" s="116" t="str">
        <f>'A) Base RI'!B177</f>
        <v>Ogens</v>
      </c>
      <c r="C181" s="10">
        <f>'A) Base RI'!AN177</f>
        <v>296</v>
      </c>
      <c r="D181" s="34">
        <f>'C) Prél. conj.'!H175</f>
        <v>19734.974999999999</v>
      </c>
      <c r="E181" s="15">
        <f>'D) Ecrêtage'!L175</f>
        <v>0</v>
      </c>
      <c r="F181" s="44">
        <f>$F$10*'D) Ecrêtage'!M175</f>
        <v>124711.48877139595</v>
      </c>
      <c r="G181" s="67">
        <f t="shared" si="3"/>
        <v>144446.46377139594</v>
      </c>
    </row>
    <row r="182" spans="1:7" x14ac:dyDescent="0.25">
      <c r="A182" s="53">
        <f>'A) Base RI'!A178</f>
        <v>5683</v>
      </c>
      <c r="B182" s="116" t="str">
        <f>'A) Base RI'!B178</f>
        <v>Prévonloup</v>
      </c>
      <c r="C182" s="10">
        <f>'A) Base RI'!AN178</f>
        <v>166</v>
      </c>
      <c r="D182" s="34">
        <f>'C) Prél. conj.'!H176</f>
        <v>0</v>
      </c>
      <c r="E182" s="15">
        <f>'D) Ecrêtage'!L176</f>
        <v>0</v>
      </c>
      <c r="F182" s="44">
        <f>$F$10*'D) Ecrêtage'!M176</f>
        <v>60543.133603362345</v>
      </c>
      <c r="G182" s="67">
        <f t="shared" si="3"/>
        <v>60543.133603362345</v>
      </c>
    </row>
    <row r="183" spans="1:7" x14ac:dyDescent="0.25">
      <c r="A183" s="53">
        <f>'A) Base RI'!A179</f>
        <v>5684</v>
      </c>
      <c r="B183" s="116" t="str">
        <f>'A) Base RI'!B179</f>
        <v>Rossenges</v>
      </c>
      <c r="C183" s="10">
        <f>'A) Base RI'!AN179</f>
        <v>60</v>
      </c>
      <c r="D183" s="34">
        <f>'C) Prél. conj.'!H177</f>
        <v>0</v>
      </c>
      <c r="E183" s="15">
        <f>'D) Ecrêtage'!L177</f>
        <v>0</v>
      </c>
      <c r="F183" s="44">
        <f>$F$10*'D) Ecrêtage'!M177</f>
        <v>31087.902925338025</v>
      </c>
      <c r="G183" s="67">
        <f t="shared" si="3"/>
        <v>31087.902925338025</v>
      </c>
    </row>
    <row r="184" spans="1:7" x14ac:dyDescent="0.25">
      <c r="A184" s="53">
        <f>'A) Base RI'!A180</f>
        <v>5686</v>
      </c>
      <c r="B184" s="116" t="str">
        <f>'A) Base RI'!B180</f>
        <v>Sarzens</v>
      </c>
      <c r="C184" s="10">
        <f>'A) Base RI'!AN180</f>
        <v>82</v>
      </c>
      <c r="D184" s="34">
        <f>'C) Prél. conj.'!H178</f>
        <v>6163.45</v>
      </c>
      <c r="E184" s="15">
        <f>'D) Ecrêtage'!L178</f>
        <v>0</v>
      </c>
      <c r="F184" s="44">
        <f>$F$10*'D) Ecrêtage'!M178</f>
        <v>24611.465615929126</v>
      </c>
      <c r="G184" s="67">
        <f t="shared" si="3"/>
        <v>30774.915615929127</v>
      </c>
    </row>
    <row r="185" spans="1:7" x14ac:dyDescent="0.25">
      <c r="A185" s="53">
        <f>'A) Base RI'!A181</f>
        <v>5688</v>
      </c>
      <c r="B185" s="116" t="str">
        <f>'A) Base RI'!B181</f>
        <v>Syens</v>
      </c>
      <c r="C185" s="10">
        <f>'A) Base RI'!AN181</f>
        <v>145</v>
      </c>
      <c r="D185" s="34">
        <f>'C) Prél. conj.'!H179</f>
        <v>21553.1</v>
      </c>
      <c r="E185" s="15">
        <f>'D) Ecrêtage'!L179</f>
        <v>0</v>
      </c>
      <c r="F185" s="44">
        <f>$F$10*'D) Ecrêtage'!M179</f>
        <v>71055.075542923485</v>
      </c>
      <c r="G185" s="67">
        <f t="shared" si="3"/>
        <v>92608.175542923476</v>
      </c>
    </row>
    <row r="186" spans="1:7" x14ac:dyDescent="0.25">
      <c r="A186" s="53">
        <f>'A) Base RI'!A182</f>
        <v>5690</v>
      </c>
      <c r="B186" s="116" t="str">
        <f>'A) Base RI'!B182</f>
        <v>Villars-le-Comte</v>
      </c>
      <c r="C186" s="10">
        <f>'A) Base RI'!AN182</f>
        <v>143</v>
      </c>
      <c r="D186" s="34">
        <f>'C) Prél. conj.'!H180</f>
        <v>1373.125</v>
      </c>
      <c r="E186" s="15">
        <f>'D) Ecrêtage'!L180</f>
        <v>0</v>
      </c>
      <c r="F186" s="44">
        <f>$F$10*'D) Ecrêtage'!M180</f>
        <v>47692.93099845964</v>
      </c>
      <c r="G186" s="67">
        <f t="shared" si="3"/>
        <v>49066.05599845964</v>
      </c>
    </row>
    <row r="187" spans="1:7" x14ac:dyDescent="0.25">
      <c r="A187" s="53">
        <f>'A) Base RI'!A183</f>
        <v>5692</v>
      </c>
      <c r="B187" s="116" t="str">
        <f>'A) Base RI'!B183</f>
        <v>Vucherens</v>
      </c>
      <c r="C187" s="10">
        <f>'A) Base RI'!AN183</f>
        <v>557</v>
      </c>
      <c r="D187" s="34">
        <f>'C) Prél. conj.'!H181</f>
        <v>69712.634999999995</v>
      </c>
      <c r="E187" s="15">
        <f>'D) Ecrêtage'!L181</f>
        <v>0</v>
      </c>
      <c r="F187" s="44">
        <f>$F$10*'D) Ecrêtage'!M181</f>
        <v>249196.18906292037</v>
      </c>
      <c r="G187" s="67">
        <f t="shared" si="3"/>
        <v>318908.82406292035</v>
      </c>
    </row>
    <row r="188" spans="1:7" x14ac:dyDescent="0.25">
      <c r="A188" s="53">
        <f>'A) Base RI'!A184</f>
        <v>5693</v>
      </c>
      <c r="B188" s="116" t="str">
        <f>'A) Base RI'!B184</f>
        <v>Montanaire</v>
      </c>
      <c r="C188" s="10">
        <f>'A) Base RI'!AN184</f>
        <v>2500</v>
      </c>
      <c r="D188" s="34">
        <f>'C) Prél. conj.'!H182</f>
        <v>146672.22</v>
      </c>
      <c r="E188" s="15">
        <f>'D) Ecrêtage'!L182</f>
        <v>0</v>
      </c>
      <c r="F188" s="44">
        <f>$F$10*'D) Ecrêtage'!M182</f>
        <v>932439.43355097657</v>
      </c>
      <c r="G188" s="67">
        <f>D188+F188+E188</f>
        <v>1079111.6535509767</v>
      </c>
    </row>
    <row r="189" spans="1:7" x14ac:dyDescent="0.25">
      <c r="A189" s="53">
        <f>'A) Base RI'!A185</f>
        <v>5701</v>
      </c>
      <c r="B189" s="116" t="str">
        <f>'A) Base RI'!B185</f>
        <v>Arnex-sur-Nyon</v>
      </c>
      <c r="C189" s="10">
        <f>'A) Base RI'!AN185</f>
        <v>214</v>
      </c>
      <c r="D189" s="34">
        <f>'C) Prél. conj.'!H183</f>
        <v>56916.175000000003</v>
      </c>
      <c r="E189" s="15">
        <f>'D) Ecrêtage'!L183</f>
        <v>84214.027655149723</v>
      </c>
      <c r="F189" s="44">
        <f>$F$10*'D) Ecrêtage'!M183</f>
        <v>206292.74980921976</v>
      </c>
      <c r="G189" s="67">
        <f>D189+F189+E189</f>
        <v>347422.95246436947</v>
      </c>
    </row>
    <row r="190" spans="1:7" x14ac:dyDescent="0.25">
      <c r="A190" s="53">
        <f>'A) Base RI'!A186</f>
        <v>5702</v>
      </c>
      <c r="B190" s="116" t="str">
        <f>'A) Base RI'!B186</f>
        <v>Arzier-Le Muids</v>
      </c>
      <c r="C190" s="10">
        <f>'A) Base RI'!AN186</f>
        <v>2565</v>
      </c>
      <c r="D190" s="34">
        <f>'C) Prél. conj.'!H184</f>
        <v>471140.66</v>
      </c>
      <c r="E190" s="15">
        <f>'D) Ecrêtage'!L184</f>
        <v>230536.43706186584</v>
      </c>
      <c r="F190" s="44">
        <f>$F$10*'D) Ecrêtage'!M184</f>
        <v>2203635.8615327971</v>
      </c>
      <c r="G190" s="67">
        <f t="shared" si="3"/>
        <v>2905312.9585946631</v>
      </c>
    </row>
    <row r="191" spans="1:7" x14ac:dyDescent="0.25">
      <c r="A191" s="53">
        <f>'A) Base RI'!A187</f>
        <v>5703</v>
      </c>
      <c r="B191" s="116" t="str">
        <f>'A) Base RI'!B187</f>
        <v>Bassins</v>
      </c>
      <c r="C191" s="10">
        <f>'A) Base RI'!AN187</f>
        <v>1311</v>
      </c>
      <c r="D191" s="34">
        <f>'C) Prél. conj.'!H185</f>
        <v>105388.87499999999</v>
      </c>
      <c r="E191" s="15">
        <f>'D) Ecrêtage'!L185</f>
        <v>0</v>
      </c>
      <c r="F191" s="44">
        <f>$F$10*'D) Ecrêtage'!M185</f>
        <v>768008.92354480608</v>
      </c>
      <c r="G191" s="67">
        <f t="shared" si="3"/>
        <v>873397.79854480608</v>
      </c>
    </row>
    <row r="192" spans="1:7" x14ac:dyDescent="0.25">
      <c r="A192" s="53">
        <f>'A) Base RI'!A188</f>
        <v>5704</v>
      </c>
      <c r="B192" s="116" t="str">
        <f>'A) Base RI'!B188</f>
        <v>Begnins</v>
      </c>
      <c r="C192" s="10">
        <f>'A) Base RI'!AN188</f>
        <v>1856</v>
      </c>
      <c r="D192" s="34">
        <f>'C) Prél. conj.'!H186</f>
        <v>369263.38</v>
      </c>
      <c r="E192" s="15">
        <f>'D) Ecrêtage'!L186</f>
        <v>342663.20642698102</v>
      </c>
      <c r="F192" s="44">
        <f>$F$10*'D) Ecrêtage'!M186</f>
        <v>1659903.4867926056</v>
      </c>
      <c r="G192" s="67">
        <f t="shared" si="3"/>
        <v>2371830.0732195866</v>
      </c>
    </row>
    <row r="193" spans="1:7" x14ac:dyDescent="0.25">
      <c r="A193" s="53">
        <f>'A) Base RI'!A189</f>
        <v>5705</v>
      </c>
      <c r="B193" s="116" t="str">
        <f>'A) Base RI'!B189</f>
        <v>Bogis-Bossey</v>
      </c>
      <c r="C193" s="10">
        <f>'A) Base RI'!AN189</f>
        <v>827</v>
      </c>
      <c r="D193" s="34">
        <f>'C) Prél. conj.'!H187</f>
        <v>77269.634999999995</v>
      </c>
      <c r="E193" s="15">
        <f>'D) Ecrêtage'!L187</f>
        <v>81282.673479016739</v>
      </c>
      <c r="F193" s="44">
        <f>$F$10*'D) Ecrêtage'!M187</f>
        <v>710484.57921633683</v>
      </c>
      <c r="G193" s="67">
        <f t="shared" si="3"/>
        <v>869036.88769535359</v>
      </c>
    </row>
    <row r="194" spans="1:7" x14ac:dyDescent="0.25">
      <c r="A194" s="53">
        <f>'A) Base RI'!A190</f>
        <v>5706</v>
      </c>
      <c r="B194" s="116" t="str">
        <f>'A) Base RI'!B190</f>
        <v>Borex</v>
      </c>
      <c r="C194" s="10">
        <f>'A) Base RI'!AN190</f>
        <v>1099</v>
      </c>
      <c r="D194" s="34">
        <f>'C) Prél. conj.'!H188</f>
        <v>212673.13</v>
      </c>
      <c r="E194" s="15">
        <f>'D) Ecrêtage'!L188</f>
        <v>130084.27911914284</v>
      </c>
      <c r="F194" s="44">
        <f>$F$10*'D) Ecrêtage'!M188</f>
        <v>965594.3022776267</v>
      </c>
      <c r="G194" s="67">
        <f t="shared" si="3"/>
        <v>1308351.7113967696</v>
      </c>
    </row>
    <row r="195" spans="1:7" x14ac:dyDescent="0.25">
      <c r="A195" s="53">
        <f>'A) Base RI'!A191</f>
        <v>5707</v>
      </c>
      <c r="B195" s="116" t="str">
        <f>'A) Base RI'!B191</f>
        <v>Chavannes-de-Bogis</v>
      </c>
      <c r="C195" s="10">
        <f>'A) Base RI'!AN191</f>
        <v>1153</v>
      </c>
      <c r="D195" s="34">
        <f>'C) Prél. conj.'!H189</f>
        <v>379667.18</v>
      </c>
      <c r="E195" s="15">
        <f>'D) Ecrêtage'!L189</f>
        <v>897718.37526892812</v>
      </c>
      <c r="F195" s="44">
        <f>$F$10*'D) Ecrêtage'!M189</f>
        <v>1261822.671323474</v>
      </c>
      <c r="G195" s="67">
        <f t="shared" si="3"/>
        <v>2539208.226592402</v>
      </c>
    </row>
    <row r="196" spans="1:7" x14ac:dyDescent="0.25">
      <c r="A196" s="53">
        <f>'A) Base RI'!A192</f>
        <v>5708</v>
      </c>
      <c r="B196" s="116" t="str">
        <f>'A) Base RI'!B192</f>
        <v>Chavannes-des-Bois</v>
      </c>
      <c r="C196" s="10">
        <f>'A) Base RI'!AN192</f>
        <v>850</v>
      </c>
      <c r="D196" s="34">
        <f>'C) Prél. conj.'!H190</f>
        <v>143413.53</v>
      </c>
      <c r="E196" s="15">
        <f>'D) Ecrêtage'!L190</f>
        <v>443675.89392310986</v>
      </c>
      <c r="F196" s="44">
        <f>$F$10*'D) Ecrêtage'!M190</f>
        <v>862335.81264627655</v>
      </c>
      <c r="G196" s="67">
        <f t="shared" si="3"/>
        <v>1449425.2365693864</v>
      </c>
    </row>
    <row r="197" spans="1:7" x14ac:dyDescent="0.25">
      <c r="A197" s="53">
        <f>'A) Base RI'!A193</f>
        <v>5709</v>
      </c>
      <c r="B197" s="116" t="str">
        <f>'A) Base RI'!B193</f>
        <v>Chéserex</v>
      </c>
      <c r="C197" s="10">
        <f>'A) Base RI'!AN193</f>
        <v>1222</v>
      </c>
      <c r="D197" s="34">
        <f>'C) Prél. conj.'!H191</f>
        <v>697228.38500000001</v>
      </c>
      <c r="E197" s="15">
        <f>'D) Ecrêtage'!L191</f>
        <v>1803155.7121932937</v>
      </c>
      <c r="F197" s="44">
        <f>$F$10*'D) Ecrêtage'!M191</f>
        <v>1569167.7076702628</v>
      </c>
      <c r="G197" s="67">
        <f t="shared" si="3"/>
        <v>4069551.8048635563</v>
      </c>
    </row>
    <row r="198" spans="1:7" x14ac:dyDescent="0.25">
      <c r="A198" s="53">
        <f>'A) Base RI'!A194</f>
        <v>5710</v>
      </c>
      <c r="B198" s="116" t="str">
        <f>'A) Base RI'!B194</f>
        <v>Coinsins</v>
      </c>
      <c r="C198" s="10">
        <f>'A) Base RI'!AN194</f>
        <v>490</v>
      </c>
      <c r="D198" s="34">
        <f>'C) Prél. conj.'!H192</f>
        <v>54501.99</v>
      </c>
      <c r="E198" s="15">
        <f>'D) Ecrêtage'!L192</f>
        <v>1081744.7672700447</v>
      </c>
      <c r="F198" s="44">
        <f>$F$10*'D) Ecrêtage'!M192</f>
        <v>749916.91746059852</v>
      </c>
      <c r="G198" s="67">
        <f t="shared" si="3"/>
        <v>1886163.6747306432</v>
      </c>
    </row>
    <row r="199" spans="1:7" x14ac:dyDescent="0.25">
      <c r="A199" s="53">
        <f>'A) Base RI'!A195</f>
        <v>5711</v>
      </c>
      <c r="B199" s="116" t="str">
        <f>'A) Base RI'!B195</f>
        <v>Commugny</v>
      </c>
      <c r="C199" s="10">
        <f>'A) Base RI'!AN195</f>
        <v>2561</v>
      </c>
      <c r="D199" s="34">
        <f>'C) Prél. conj.'!H193</f>
        <v>609167.51</v>
      </c>
      <c r="E199" s="15">
        <f>'D) Ecrêtage'!L193</f>
        <v>2632323.6160250586</v>
      </c>
      <c r="F199" s="44">
        <f>$F$10*'D) Ecrêtage'!M193</f>
        <v>2983343.1672190153</v>
      </c>
      <c r="G199" s="67">
        <f t="shared" si="3"/>
        <v>6224834.2932440741</v>
      </c>
    </row>
    <row r="200" spans="1:7" x14ac:dyDescent="0.25">
      <c r="A200" s="53">
        <f>'A) Base RI'!A196</f>
        <v>5712</v>
      </c>
      <c r="B200" s="116" t="str">
        <f>'A) Base RI'!B196</f>
        <v>Coppet</v>
      </c>
      <c r="C200" s="10">
        <f>'A) Base RI'!AN196</f>
        <v>2942</v>
      </c>
      <c r="D200" s="34">
        <f>'C) Prél. conj.'!H194</f>
        <v>1267409.6949999998</v>
      </c>
      <c r="E200" s="15">
        <f>'D) Ecrêtage'!L194</f>
        <v>3705358.5348393926</v>
      </c>
      <c r="F200" s="44">
        <f>$F$10*'D) Ecrêtage'!M194</f>
        <v>3621447.9354640087</v>
      </c>
      <c r="G200" s="67">
        <f t="shared" si="3"/>
        <v>8594216.1653034016</v>
      </c>
    </row>
    <row r="201" spans="1:7" x14ac:dyDescent="0.25">
      <c r="A201" s="53">
        <f>'A) Base RI'!A197</f>
        <v>5713</v>
      </c>
      <c r="B201" s="116" t="str">
        <f>'A) Base RI'!B197</f>
        <v>Crans-près-Céligny</v>
      </c>
      <c r="C201" s="10">
        <f>'A) Base RI'!AN197</f>
        <v>2059</v>
      </c>
      <c r="D201" s="34">
        <f>'C) Prél. conj.'!H195</f>
        <v>789783.22</v>
      </c>
      <c r="E201" s="15">
        <f>'D) Ecrêtage'!L195</f>
        <v>2816500.1670684488</v>
      </c>
      <c r="F201" s="44">
        <f>$F$10*'D) Ecrêtage'!M195</f>
        <v>2583055.7746432903</v>
      </c>
      <c r="G201" s="67">
        <f t="shared" si="3"/>
        <v>6189339.1617117394</v>
      </c>
    </row>
    <row r="202" spans="1:7" x14ac:dyDescent="0.25">
      <c r="A202" s="53">
        <f>'A) Base RI'!A198</f>
        <v>5714</v>
      </c>
      <c r="B202" s="116" t="str">
        <f>'A) Base RI'!B198</f>
        <v>Crassier</v>
      </c>
      <c r="C202" s="10">
        <f>'A) Base RI'!AN198</f>
        <v>1172</v>
      </c>
      <c r="D202" s="34">
        <f>'C) Prél. conj.'!H196</f>
        <v>166895.28000000003</v>
      </c>
      <c r="E202" s="15">
        <f>'D) Ecrêtage'!L196</f>
        <v>386236.62866738788</v>
      </c>
      <c r="F202" s="44">
        <f>$F$10*'D) Ecrêtage'!M196</f>
        <v>1120257.3411780444</v>
      </c>
      <c r="G202" s="67">
        <f t="shared" si="3"/>
        <v>1673389.2498454324</v>
      </c>
    </row>
    <row r="203" spans="1:7" x14ac:dyDescent="0.25">
      <c r="A203" s="53">
        <f>'A) Base RI'!A199</f>
        <v>5715</v>
      </c>
      <c r="B203" s="116" t="str">
        <f>'A) Base RI'!B199</f>
        <v>Duillier</v>
      </c>
      <c r="C203" s="10">
        <f>'A) Base RI'!AN199</f>
        <v>1039</v>
      </c>
      <c r="D203" s="34">
        <f>'C) Prél. conj.'!H197</f>
        <v>197429.74999999997</v>
      </c>
      <c r="E203" s="15">
        <f>'D) Ecrêtage'!L197</f>
        <v>138673.38185753176</v>
      </c>
      <c r="F203" s="44">
        <f>$F$10*'D) Ecrêtage'!M197</f>
        <v>909359.95070039039</v>
      </c>
      <c r="G203" s="67">
        <f t="shared" si="3"/>
        <v>1245463.0825579222</v>
      </c>
    </row>
    <row r="204" spans="1:7" x14ac:dyDescent="0.25">
      <c r="A204" s="53">
        <f>'A) Base RI'!A200</f>
        <v>5716</v>
      </c>
      <c r="B204" s="116" t="str">
        <f>'A) Base RI'!B200</f>
        <v>Eysins</v>
      </c>
      <c r="C204" s="10">
        <f>'A) Base RI'!AN200</f>
        <v>1482</v>
      </c>
      <c r="D204" s="34">
        <f>'C) Prél. conj.'!H198</f>
        <v>754320.91499999992</v>
      </c>
      <c r="E204" s="15">
        <f>'D) Ecrêtage'!L198</f>
        <v>222584.7622444857</v>
      </c>
      <c r="F204" s="44">
        <f>$F$10*'D) Ecrêtage'!M198</f>
        <v>1314081.9122499952</v>
      </c>
      <c r="G204" s="67">
        <f t="shared" si="3"/>
        <v>2290987.5894944808</v>
      </c>
    </row>
    <row r="205" spans="1:7" x14ac:dyDescent="0.25">
      <c r="A205" s="53">
        <f>'A) Base RI'!A201</f>
        <v>5717</v>
      </c>
      <c r="B205" s="116" t="str">
        <f>'A) Base RI'!B201</f>
        <v>Founex</v>
      </c>
      <c r="C205" s="10">
        <f>'A) Base RI'!AN201</f>
        <v>3410</v>
      </c>
      <c r="D205" s="34">
        <f>'C) Prél. conj.'!H199</f>
        <v>808688.8</v>
      </c>
      <c r="E205" s="15">
        <f>'D) Ecrêtage'!L199</f>
        <v>4376776.5746861761</v>
      </c>
      <c r="F205" s="44">
        <f>$F$10*'D) Ecrêtage'!M199</f>
        <v>4148583.1640583142</v>
      </c>
      <c r="G205" s="67">
        <f t="shared" si="3"/>
        <v>9334048.5387444906</v>
      </c>
    </row>
    <row r="206" spans="1:7" x14ac:dyDescent="0.25">
      <c r="A206" s="53">
        <f>'A) Base RI'!A202</f>
        <v>5718</v>
      </c>
      <c r="B206" s="116" t="str">
        <f>'A) Base RI'!B202</f>
        <v>Genolier</v>
      </c>
      <c r="C206" s="10">
        <f>'A) Base RI'!AN202</f>
        <v>1895</v>
      </c>
      <c r="D206" s="34">
        <f>'C) Prél. conj.'!H200</f>
        <v>640474.24</v>
      </c>
      <c r="E206" s="15">
        <f>'D) Ecrêtage'!L200</f>
        <v>2182662.3465573019</v>
      </c>
      <c r="F206" s="44">
        <f>$F$10*'D) Ecrêtage'!M200</f>
        <v>2271035.0551223923</v>
      </c>
      <c r="G206" s="67">
        <f t="shared" si="3"/>
        <v>5094171.6416796949</v>
      </c>
    </row>
    <row r="207" spans="1:7" x14ac:dyDescent="0.25">
      <c r="A207" s="53">
        <f>'A) Base RI'!A203</f>
        <v>5719</v>
      </c>
      <c r="B207" s="116" t="str">
        <f>'A) Base RI'!B203</f>
        <v>Gingins</v>
      </c>
      <c r="C207" s="10">
        <f>'A) Base RI'!AN203</f>
        <v>1195</v>
      </c>
      <c r="D207" s="34">
        <f>'C) Prél. conj.'!H201</f>
        <v>519747.53</v>
      </c>
      <c r="E207" s="15">
        <f>'D) Ecrêtage'!L201</f>
        <v>507180.65585470747</v>
      </c>
      <c r="F207" s="44">
        <f>$F$10*'D) Ecrêtage'!M201</f>
        <v>1189488.3026533974</v>
      </c>
      <c r="G207" s="67">
        <f t="shared" si="3"/>
        <v>2216416.4885081048</v>
      </c>
    </row>
    <row r="208" spans="1:7" x14ac:dyDescent="0.25">
      <c r="A208" s="53">
        <f>'A) Base RI'!A204</f>
        <v>5720</v>
      </c>
      <c r="B208" s="116" t="str">
        <f>'A) Base RI'!B204</f>
        <v>Givrins</v>
      </c>
      <c r="C208" s="10">
        <f>'A) Base RI'!AN204</f>
        <v>1000</v>
      </c>
      <c r="D208" s="34">
        <f>'C) Prél. conj.'!H202</f>
        <v>140699.58000000002</v>
      </c>
      <c r="E208" s="15">
        <f>'D) Ecrêtage'!L202</f>
        <v>406716.07398143591</v>
      </c>
      <c r="F208" s="44">
        <f>$F$10*'D) Ecrêtage'!M202</f>
        <v>981986.51537006418</v>
      </c>
      <c r="G208" s="67">
        <f t="shared" si="3"/>
        <v>1529402.1693515002</v>
      </c>
    </row>
    <row r="209" spans="1:7" x14ac:dyDescent="0.25">
      <c r="A209" s="53">
        <f>'A) Base RI'!A205</f>
        <v>5721</v>
      </c>
      <c r="B209" s="116" t="str">
        <f>'A) Base RI'!B205</f>
        <v>Gland</v>
      </c>
      <c r="C209" s="10">
        <f>'A) Base RI'!AN205</f>
        <v>12829</v>
      </c>
      <c r="D209" s="34">
        <f>'C) Prél. conj.'!H203</f>
        <v>740099.6</v>
      </c>
      <c r="E209" s="15">
        <f>'D) Ecrêtage'!L203</f>
        <v>0</v>
      </c>
      <c r="F209" s="44">
        <f>$F$10*'D) Ecrêtage'!M203</f>
        <v>7935646.7159939269</v>
      </c>
      <c r="G209" s="67">
        <f t="shared" si="3"/>
        <v>8675746.3159939274</v>
      </c>
    </row>
    <row r="210" spans="1:7" x14ac:dyDescent="0.25">
      <c r="A210" s="53">
        <f>'A) Base RI'!A206</f>
        <v>5722</v>
      </c>
      <c r="B210" s="116" t="str">
        <f>'A) Base RI'!B206</f>
        <v>Grens</v>
      </c>
      <c r="C210" s="10">
        <f>'A) Base RI'!AN206</f>
        <v>377</v>
      </c>
      <c r="D210" s="34">
        <f>'C) Prél. conj.'!H204</f>
        <v>188129.50999999998</v>
      </c>
      <c r="E210" s="15">
        <f>'D) Ecrêtage'!L204</f>
        <v>0</v>
      </c>
      <c r="F210" s="44">
        <f>$F$10*'D) Ecrêtage'!M204</f>
        <v>300611.31674301554</v>
      </c>
      <c r="G210" s="67">
        <f t="shared" si="3"/>
        <v>488740.82674301555</v>
      </c>
    </row>
    <row r="211" spans="1:7" x14ac:dyDescent="0.25">
      <c r="A211" s="53">
        <f>'A) Base RI'!A207</f>
        <v>5723</v>
      </c>
      <c r="B211" s="116" t="str">
        <f>'A) Base RI'!B207</f>
        <v>Mies</v>
      </c>
      <c r="C211" s="10">
        <f>'A) Base RI'!AN207</f>
        <v>1791</v>
      </c>
      <c r="D211" s="34">
        <f>'C) Prél. conj.'!H205</f>
        <v>956723.245</v>
      </c>
      <c r="E211" s="15">
        <f>'D) Ecrêtage'!L205</f>
        <v>15662966.637566457</v>
      </c>
      <c r="F211" s="44">
        <f>$F$10*'D) Ecrêtage'!M205</f>
        <v>4427288.1286249841</v>
      </c>
      <c r="G211" s="67">
        <f t="shared" si="3"/>
        <v>21046978.011191443</v>
      </c>
    </row>
    <row r="212" spans="1:7" x14ac:dyDescent="0.25">
      <c r="A212" s="53">
        <f>'A) Base RI'!A208</f>
        <v>5724</v>
      </c>
      <c r="B212" s="116" t="str">
        <f>'A) Base RI'!B208</f>
        <v>Nyon</v>
      </c>
      <c r="C212" s="10">
        <f>'A) Base RI'!AN208</f>
        <v>20047</v>
      </c>
      <c r="D212" s="34">
        <f>'C) Prél. conj.'!H206</f>
        <v>5509927.125</v>
      </c>
      <c r="E212" s="15">
        <f>'D) Ecrêtage'!L206</f>
        <v>6542486.5206069145</v>
      </c>
      <c r="F212" s="44">
        <f>$F$10*'D) Ecrêtage'!M206</f>
        <v>19231258.249343123</v>
      </c>
      <c r="G212" s="67">
        <f t="shared" si="3"/>
        <v>31283671.89495004</v>
      </c>
    </row>
    <row r="213" spans="1:7" x14ac:dyDescent="0.25">
      <c r="A213" s="53">
        <f>'A) Base RI'!A209</f>
        <v>5725</v>
      </c>
      <c r="B213" s="116" t="str">
        <f>'A) Base RI'!B209</f>
        <v>Prangins</v>
      </c>
      <c r="C213" s="10">
        <f>'A) Base RI'!AN209</f>
        <v>4011</v>
      </c>
      <c r="D213" s="34">
        <f>'C) Prél. conj.'!H207</f>
        <v>833248.86999999988</v>
      </c>
      <c r="E213" s="15">
        <f>'D) Ecrêtage'!L207</f>
        <v>2128883.2496654931</v>
      </c>
      <c r="F213" s="44">
        <f>$F$10*'D) Ecrêtage'!M207</f>
        <v>4132801.8599146213</v>
      </c>
      <c r="G213" s="67">
        <f t="shared" si="3"/>
        <v>7094933.9795801146</v>
      </c>
    </row>
    <row r="214" spans="1:7" x14ac:dyDescent="0.25">
      <c r="A214" s="53">
        <f>'A) Base RI'!A210</f>
        <v>5726</v>
      </c>
      <c r="B214" s="116" t="str">
        <f>'A) Base RI'!B210</f>
        <v>La Rippe</v>
      </c>
      <c r="C214" s="10">
        <f>'A) Base RI'!AN210</f>
        <v>1120</v>
      </c>
      <c r="D214" s="34">
        <f>'C) Prél. conj.'!H208</f>
        <v>120932.94499999999</v>
      </c>
      <c r="E214" s="15">
        <f>'D) Ecrêtage'!L208</f>
        <v>0</v>
      </c>
      <c r="F214" s="44">
        <f>$F$10*'D) Ecrêtage'!M208</f>
        <v>915366.5702808206</v>
      </c>
      <c r="G214" s="67">
        <f t="shared" si="3"/>
        <v>1036299.5152808205</v>
      </c>
    </row>
    <row r="215" spans="1:7" x14ac:dyDescent="0.25">
      <c r="A215" s="53">
        <f>'A) Base RI'!A211</f>
        <v>5727</v>
      </c>
      <c r="B215" s="116" t="str">
        <f>'A) Base RI'!B211</f>
        <v>Saint-Cergue</v>
      </c>
      <c r="C215" s="10">
        <f>'A) Base RI'!AN211</f>
        <v>2481</v>
      </c>
      <c r="D215" s="34">
        <f>'C) Prél. conj.'!H209</f>
        <v>364735.315</v>
      </c>
      <c r="E215" s="15">
        <f>'D) Ecrêtage'!L209</f>
        <v>0</v>
      </c>
      <c r="F215" s="44">
        <f>$F$10*'D) Ecrêtage'!M209</f>
        <v>1380305.1041853975</v>
      </c>
      <c r="G215" s="67">
        <f t="shared" si="3"/>
        <v>1745040.4191853974</v>
      </c>
    </row>
    <row r="216" spans="1:7" x14ac:dyDescent="0.25">
      <c r="A216" s="53">
        <f>'A) Base RI'!A212</f>
        <v>5728</v>
      </c>
      <c r="B216" s="116" t="str">
        <f>'A) Base RI'!B212</f>
        <v>Signy-Avenex</v>
      </c>
      <c r="C216" s="10">
        <f>'A) Base RI'!AN212</f>
        <v>516</v>
      </c>
      <c r="D216" s="34">
        <f>'C) Prél. conj.'!H210</f>
        <v>227151.10499999998</v>
      </c>
      <c r="E216" s="15">
        <f>'D) Ecrêtage'!L210</f>
        <v>92856.109535451236</v>
      </c>
      <c r="F216" s="44">
        <f>$F$10*'D) Ecrêtage'!M210</f>
        <v>467641.11387894722</v>
      </c>
      <c r="G216" s="67">
        <f t="shared" si="3"/>
        <v>787648.32841439848</v>
      </c>
    </row>
    <row r="217" spans="1:7" x14ac:dyDescent="0.25">
      <c r="A217" s="53">
        <f>'A) Base RI'!A213</f>
        <v>5729</v>
      </c>
      <c r="B217" s="116" t="str">
        <f>'A) Base RI'!B213</f>
        <v>Tannay</v>
      </c>
      <c r="C217" s="10">
        <f>'A) Base RI'!AN213</f>
        <v>1430</v>
      </c>
      <c r="D217" s="34">
        <f>'C) Prél. conj.'!H211</f>
        <v>212865.11499999999</v>
      </c>
      <c r="E217" s="15">
        <f>'D) Ecrêtage'!L211</f>
        <v>1649931.5792156965</v>
      </c>
      <c r="F217" s="44">
        <f>$F$10*'D) Ecrêtage'!M211</f>
        <v>1680362.9230536977</v>
      </c>
      <c r="G217" s="67">
        <f t="shared" si="3"/>
        <v>3543159.617269394</v>
      </c>
    </row>
    <row r="218" spans="1:7" x14ac:dyDescent="0.25">
      <c r="A218" s="53">
        <f>'A) Base RI'!A214</f>
        <v>5730</v>
      </c>
      <c r="B218" s="116" t="str">
        <f>'A) Base RI'!B214</f>
        <v>Trélex</v>
      </c>
      <c r="C218" s="10">
        <f>'A) Base RI'!AN214</f>
        <v>1414</v>
      </c>
      <c r="D218" s="34">
        <f>'C) Prél. conj.'!H212</f>
        <v>169919.30000000002</v>
      </c>
      <c r="E218" s="15">
        <f>'D) Ecrêtage'!L212</f>
        <v>1089388.4558605687</v>
      </c>
      <c r="F218" s="44">
        <f>$F$10*'D) Ecrêtage'!M212</f>
        <v>1555241.3879795277</v>
      </c>
      <c r="G218" s="67">
        <f t="shared" si="3"/>
        <v>2814549.1438400964</v>
      </c>
    </row>
    <row r="219" spans="1:7" x14ac:dyDescent="0.25">
      <c r="A219" s="53">
        <f>'A) Base RI'!A215</f>
        <v>5731</v>
      </c>
      <c r="B219" s="116" t="str">
        <f>'A) Base RI'!B215</f>
        <v>Le Vaud</v>
      </c>
      <c r="C219" s="10">
        <f>'A) Base RI'!AN215</f>
        <v>1260</v>
      </c>
      <c r="D219" s="34">
        <f>'C) Prél. conj.'!H213</f>
        <v>139884.78</v>
      </c>
      <c r="E219" s="15">
        <f>'D) Ecrêtage'!L213</f>
        <v>0</v>
      </c>
      <c r="F219" s="44">
        <f>$F$10*'D) Ecrêtage'!M213</f>
        <v>693143.57279387931</v>
      </c>
      <c r="G219" s="67">
        <f t="shared" si="3"/>
        <v>833028.35279387934</v>
      </c>
    </row>
    <row r="220" spans="1:7" x14ac:dyDescent="0.25">
      <c r="A220" s="53">
        <f>'A) Base RI'!A216</f>
        <v>5732</v>
      </c>
      <c r="B220" s="116" t="str">
        <f>'A) Base RI'!B216</f>
        <v>Vich</v>
      </c>
      <c r="C220" s="10">
        <f>'A) Base RI'!AN216</f>
        <v>958</v>
      </c>
      <c r="D220" s="34">
        <f>'C) Prél. conj.'!H214</f>
        <v>175154.92499999999</v>
      </c>
      <c r="E220" s="15">
        <f>'D) Ecrêtage'!L214</f>
        <v>615928.06729766855</v>
      </c>
      <c r="F220" s="44">
        <f>$F$10*'D) Ecrêtage'!M214</f>
        <v>986712.09045517875</v>
      </c>
      <c r="G220" s="67">
        <f t="shared" si="3"/>
        <v>1777795.0827528471</v>
      </c>
    </row>
    <row r="221" spans="1:7" x14ac:dyDescent="0.25">
      <c r="A221" s="53">
        <f>'A) Base RI'!A217</f>
        <v>5741</v>
      </c>
      <c r="B221" s="116" t="str">
        <f>'A) Base RI'!B217</f>
        <v>L'Abergement</v>
      </c>
      <c r="C221" s="10">
        <f>'A) Base RI'!AN217</f>
        <v>240</v>
      </c>
      <c r="D221" s="34">
        <f>'C) Prél. conj.'!H215</f>
        <v>19446.405000000002</v>
      </c>
      <c r="E221" s="15">
        <f>'D) Ecrêtage'!L215</f>
        <v>0</v>
      </c>
      <c r="F221" s="44">
        <f>$F$10*'D) Ecrêtage'!M215</f>
        <v>94943.220550272192</v>
      </c>
      <c r="G221" s="67">
        <f t="shared" si="3"/>
        <v>114389.62555027219</v>
      </c>
    </row>
    <row r="222" spans="1:7" x14ac:dyDescent="0.25">
      <c r="A222" s="53">
        <f>'A) Base RI'!A218</f>
        <v>5742</v>
      </c>
      <c r="B222" s="116" t="str">
        <f>'A) Base RI'!B218</f>
        <v>Agiez</v>
      </c>
      <c r="C222" s="10">
        <f>'A) Base RI'!AN218</f>
        <v>293</v>
      </c>
      <c r="D222" s="34">
        <f>'C) Prél. conj.'!H216</f>
        <v>48126.875</v>
      </c>
      <c r="E222" s="15">
        <f>'D) Ecrêtage'!L216</f>
        <v>0</v>
      </c>
      <c r="F222" s="44">
        <f>$F$10*'D) Ecrêtage'!M216</f>
        <v>123269.58308332766</v>
      </c>
      <c r="G222" s="67">
        <f t="shared" si="3"/>
        <v>171396.45808332766</v>
      </c>
    </row>
    <row r="223" spans="1:7" x14ac:dyDescent="0.25">
      <c r="A223" s="53">
        <f>'A) Base RI'!A219</f>
        <v>5743</v>
      </c>
      <c r="B223" s="116" t="str">
        <f>'A) Base RI'!B219</f>
        <v>Arnex-sur-Orbe</v>
      </c>
      <c r="C223" s="10">
        <f>'A) Base RI'!AN219</f>
        <v>632</v>
      </c>
      <c r="D223" s="34">
        <f>'C) Prél. conj.'!H217</f>
        <v>22589.68</v>
      </c>
      <c r="E223" s="15">
        <f>'D) Ecrêtage'!L217</f>
        <v>0</v>
      </c>
      <c r="F223" s="44">
        <f>$F$10*'D) Ecrêtage'!M217</f>
        <v>236937.8705251831</v>
      </c>
      <c r="G223" s="67">
        <f t="shared" si="3"/>
        <v>259527.55052518309</v>
      </c>
    </row>
    <row r="224" spans="1:7" x14ac:dyDescent="0.25">
      <c r="A224" s="53">
        <f>'A) Base RI'!A220</f>
        <v>5744</v>
      </c>
      <c r="B224" s="116" t="str">
        <f>'A) Base RI'!B220</f>
        <v>Ballaigues</v>
      </c>
      <c r="C224" s="10">
        <f>'A) Base RI'!AN220</f>
        <v>1101</v>
      </c>
      <c r="D224" s="34">
        <f>'C) Prél. conj.'!H218</f>
        <v>479734.5</v>
      </c>
      <c r="E224" s="15">
        <f>'D) Ecrêtage'!L218</f>
        <v>145491.58306981967</v>
      </c>
      <c r="F224" s="44">
        <f>$F$10*'D) Ecrêtage'!M218</f>
        <v>963048.52351575042</v>
      </c>
      <c r="G224" s="67">
        <f t="shared" si="3"/>
        <v>1588274.6065855701</v>
      </c>
    </row>
    <row r="225" spans="1:7" x14ac:dyDescent="0.25">
      <c r="A225" s="53">
        <f>'A) Base RI'!A221</f>
        <v>5745</v>
      </c>
      <c r="B225" s="116" t="str">
        <f>'A) Base RI'!B221</f>
        <v>Baulmes</v>
      </c>
      <c r="C225" s="10">
        <f>'A) Base RI'!AN221</f>
        <v>1055</v>
      </c>
      <c r="D225" s="34">
        <f>'C) Prél. conj.'!H219</f>
        <v>83229.725000000006</v>
      </c>
      <c r="E225" s="15">
        <f>'D) Ecrêtage'!L219</f>
        <v>0</v>
      </c>
      <c r="F225" s="44">
        <f>$F$10*'D) Ecrêtage'!M219</f>
        <v>391661.36966892338</v>
      </c>
      <c r="G225" s="67">
        <f t="shared" si="3"/>
        <v>474891.09466892341</v>
      </c>
    </row>
    <row r="226" spans="1:7" x14ac:dyDescent="0.25">
      <c r="A226" s="53">
        <f>'A) Base RI'!A222</f>
        <v>5746</v>
      </c>
      <c r="B226" s="116" t="str">
        <f>'A) Base RI'!B222</f>
        <v>Bavois</v>
      </c>
      <c r="C226" s="10">
        <f>'A) Base RI'!AN222</f>
        <v>939</v>
      </c>
      <c r="D226" s="34">
        <f>'C) Prél. conj.'!H220</f>
        <v>57033.509999999995</v>
      </c>
      <c r="E226" s="15">
        <f>'D) Ecrêtage'!L220</f>
        <v>0</v>
      </c>
      <c r="F226" s="44">
        <f>$F$10*'D) Ecrêtage'!M220</f>
        <v>389718.19671354716</v>
      </c>
      <c r="G226" s="67">
        <f t="shared" si="3"/>
        <v>446751.70671354717</v>
      </c>
    </row>
    <row r="227" spans="1:7" x14ac:dyDescent="0.25">
      <c r="A227" s="53">
        <f>'A) Base RI'!A223</f>
        <v>5747</v>
      </c>
      <c r="B227" s="116" t="str">
        <f>'A) Base RI'!B223</f>
        <v>Bofflens</v>
      </c>
      <c r="C227" s="10">
        <f>'A) Base RI'!AN223</f>
        <v>188</v>
      </c>
      <c r="D227" s="34">
        <f>'C) Prél. conj.'!H221</f>
        <v>7432.3249999999998</v>
      </c>
      <c r="E227" s="15">
        <f>'D) Ecrêtage'!L221</f>
        <v>0</v>
      </c>
      <c r="F227" s="44">
        <f>$F$10*'D) Ecrêtage'!M221</f>
        <v>77836.267329368275</v>
      </c>
      <c r="G227" s="67">
        <f t="shared" si="3"/>
        <v>85268.592329368272</v>
      </c>
    </row>
    <row r="228" spans="1:7" x14ac:dyDescent="0.25">
      <c r="A228" s="53">
        <f>'A) Base RI'!A224</f>
        <v>5748</v>
      </c>
      <c r="B228" s="116" t="str">
        <f>'A) Base RI'!B224</f>
        <v>Bretonnières</v>
      </c>
      <c r="C228" s="10">
        <f>'A) Base RI'!AN224</f>
        <v>258</v>
      </c>
      <c r="D228" s="34">
        <f>'C) Prél. conj.'!H222</f>
        <v>27021.39</v>
      </c>
      <c r="E228" s="15">
        <f>'D) Ecrêtage'!L222</f>
        <v>0</v>
      </c>
      <c r="F228" s="44">
        <f>$F$10*'D) Ecrêtage'!M222</f>
        <v>106478.35207565695</v>
      </c>
      <c r="G228" s="67">
        <f t="shared" si="3"/>
        <v>133499.74207565695</v>
      </c>
    </row>
    <row r="229" spans="1:7" x14ac:dyDescent="0.25">
      <c r="A229" s="53">
        <f>'A) Base RI'!A225</f>
        <v>5749</v>
      </c>
      <c r="B229" s="116" t="str">
        <f>'A) Base RI'!B225</f>
        <v>Chavornay</v>
      </c>
      <c r="C229" s="10">
        <f>'A) Base RI'!AN225</f>
        <v>4293</v>
      </c>
      <c r="D229" s="34">
        <f>'C) Prél. conj.'!H223</f>
        <v>560376.84499999997</v>
      </c>
      <c r="E229" s="15">
        <f>'D) Ecrêtage'!L223</f>
        <v>0</v>
      </c>
      <c r="F229" s="44">
        <f>$F$10*'D) Ecrêtage'!M223</f>
        <v>1758119.1920561197</v>
      </c>
      <c r="G229" s="67">
        <f t="shared" si="3"/>
        <v>2318496.0370561196</v>
      </c>
    </row>
    <row r="230" spans="1:7" x14ac:dyDescent="0.25">
      <c r="A230" s="53">
        <f>'A) Base RI'!A226</f>
        <v>5750</v>
      </c>
      <c r="B230" s="116" t="str">
        <f>'A) Base RI'!B226</f>
        <v>Les Clées</v>
      </c>
      <c r="C230" s="10">
        <f>'A) Base RI'!AN226</f>
        <v>176</v>
      </c>
      <c r="D230" s="34">
        <f>'C) Prél. conj.'!H224</f>
        <v>11266.619999999999</v>
      </c>
      <c r="E230" s="15">
        <f>'D) Ecrêtage'!L224</f>
        <v>0</v>
      </c>
      <c r="F230" s="44">
        <f>$F$10*'D) Ecrêtage'!M224</f>
        <v>70243.721533617863</v>
      </c>
      <c r="G230" s="67">
        <f t="shared" si="3"/>
        <v>81510.341533617859</v>
      </c>
    </row>
    <row r="231" spans="1:7" x14ac:dyDescent="0.25">
      <c r="A231" s="53">
        <f>'A) Base RI'!A227</f>
        <v>5751</v>
      </c>
      <c r="B231" s="116" t="str">
        <f>'A) Base RI'!B227</f>
        <v>Corcelles-sur-Chavornay</v>
      </c>
      <c r="C231" s="10">
        <f>'A) Base RI'!AN227</f>
        <v>354</v>
      </c>
      <c r="D231" s="34">
        <f>'C) Prél. conj.'!H225</f>
        <v>17755.12</v>
      </c>
      <c r="E231" s="15">
        <f>'D) Ecrêtage'!L225</f>
        <v>0</v>
      </c>
      <c r="F231" s="44">
        <f>$F$10*'D) Ecrêtage'!M225</f>
        <v>128645.95744778408</v>
      </c>
      <c r="G231" s="67">
        <f t="shared" si="3"/>
        <v>146401.07744778408</v>
      </c>
    </row>
    <row r="232" spans="1:7" x14ac:dyDescent="0.25">
      <c r="A232" s="53">
        <f>'A) Base RI'!A228</f>
        <v>5752</v>
      </c>
      <c r="B232" s="116" t="str">
        <f>'A) Base RI'!B228</f>
        <v>Croy</v>
      </c>
      <c r="C232" s="10">
        <f>'A) Base RI'!AN228</f>
        <v>344</v>
      </c>
      <c r="D232" s="34">
        <f>'C) Prél. conj.'!H226</f>
        <v>23269.055</v>
      </c>
      <c r="E232" s="15">
        <f>'D) Ecrêtage'!L226</f>
        <v>0</v>
      </c>
      <c r="F232" s="44">
        <f>$F$10*'D) Ecrêtage'!M226</f>
        <v>135110.88168551237</v>
      </c>
      <c r="G232" s="67">
        <f t="shared" si="3"/>
        <v>158379.93668551237</v>
      </c>
    </row>
    <row r="233" spans="1:7" x14ac:dyDescent="0.25">
      <c r="A233" s="53">
        <f>'A) Base RI'!A229</f>
        <v>5754</v>
      </c>
      <c r="B233" s="116" t="str">
        <f>'A) Base RI'!B229</f>
        <v>Juriens</v>
      </c>
      <c r="C233" s="10">
        <f>'A) Base RI'!AN229</f>
        <v>302</v>
      </c>
      <c r="D233" s="34">
        <f>'C) Prél. conj.'!H227</f>
        <v>15901.744999999999</v>
      </c>
      <c r="E233" s="15">
        <f>'D) Ecrêtage'!L227</f>
        <v>0</v>
      </c>
      <c r="F233" s="44">
        <f>$F$10*'D) Ecrêtage'!M227</f>
        <v>105621.56660687661</v>
      </c>
      <c r="G233" s="67">
        <f t="shared" ref="G233:G279" si="4">D233+F233+E233</f>
        <v>121523.31160687661</v>
      </c>
    </row>
    <row r="234" spans="1:7" x14ac:dyDescent="0.25">
      <c r="A234" s="53">
        <f>'A) Base RI'!A230</f>
        <v>5755</v>
      </c>
      <c r="B234" s="116" t="str">
        <f>'A) Base RI'!B230</f>
        <v>Lignerolle</v>
      </c>
      <c r="C234" s="10">
        <f>'A) Base RI'!AN230</f>
        <v>405</v>
      </c>
      <c r="D234" s="34">
        <f>'C) Prél. conj.'!H228</f>
        <v>39636.224999999999</v>
      </c>
      <c r="E234" s="15">
        <f>'D) Ecrêtage'!L228</f>
        <v>0</v>
      </c>
      <c r="F234" s="44">
        <f>$F$10*'D) Ecrêtage'!M228</f>
        <v>133683.91156802373</v>
      </c>
      <c r="G234" s="67">
        <f t="shared" si="4"/>
        <v>173320.13656802374</v>
      </c>
    </row>
    <row r="235" spans="1:7" x14ac:dyDescent="0.25">
      <c r="A235" s="53">
        <f>'A) Base RI'!A231</f>
        <v>5756</v>
      </c>
      <c r="B235" s="116" t="str">
        <f>'A) Base RI'!B231</f>
        <v>Montcherand</v>
      </c>
      <c r="C235" s="10">
        <f>'A) Base RI'!AN231</f>
        <v>469</v>
      </c>
      <c r="D235" s="34">
        <f>'C) Prél. conj.'!H229</f>
        <v>63340.315000000002</v>
      </c>
      <c r="E235" s="15">
        <f>'D) Ecrêtage'!L229</f>
        <v>0</v>
      </c>
      <c r="F235" s="44">
        <f>$F$10*'D) Ecrêtage'!M229</f>
        <v>214745.13817505044</v>
      </c>
      <c r="G235" s="67">
        <f t="shared" si="4"/>
        <v>278085.45317505044</v>
      </c>
    </row>
    <row r="236" spans="1:7" x14ac:dyDescent="0.25">
      <c r="A236" s="53">
        <f>'A) Base RI'!A232</f>
        <v>5757</v>
      </c>
      <c r="B236" s="116" t="str">
        <f>'A) Base RI'!B232</f>
        <v>Orbe</v>
      </c>
      <c r="C236" s="10">
        <f>'A) Base RI'!AN232</f>
        <v>6805</v>
      </c>
      <c r="D236" s="34">
        <f>'C) Prél. conj.'!H230</f>
        <v>1039770.845</v>
      </c>
      <c r="E236" s="15">
        <f>'D) Ecrêtage'!L230</f>
        <v>0</v>
      </c>
      <c r="F236" s="44">
        <f>$F$10*'D) Ecrêtage'!M230</f>
        <v>3218244.381376456</v>
      </c>
      <c r="G236" s="67">
        <f t="shared" si="4"/>
        <v>4258015.2263764562</v>
      </c>
    </row>
    <row r="237" spans="1:7" x14ac:dyDescent="0.25">
      <c r="A237" s="53">
        <f>'A) Base RI'!A233</f>
        <v>5758</v>
      </c>
      <c r="B237" s="116" t="str">
        <f>'A) Base RI'!B233</f>
        <v>La Praz</v>
      </c>
      <c r="C237" s="10">
        <f>'A) Base RI'!AN233</f>
        <v>159</v>
      </c>
      <c r="D237" s="34">
        <f>'C) Prél. conj.'!H231</f>
        <v>5834.2250000000004</v>
      </c>
      <c r="E237" s="15">
        <f>'D) Ecrêtage'!L231</f>
        <v>0</v>
      </c>
      <c r="F237" s="44">
        <f>$F$10*'D) Ecrêtage'!M231</f>
        <v>55617.54331472973</v>
      </c>
      <c r="G237" s="67">
        <f t="shared" si="4"/>
        <v>61451.768314729728</v>
      </c>
    </row>
    <row r="238" spans="1:7" x14ac:dyDescent="0.25">
      <c r="A238" s="53">
        <f>'A) Base RI'!A234</f>
        <v>5759</v>
      </c>
      <c r="B238" s="116" t="str">
        <f>'A) Base RI'!B234</f>
        <v>Premier</v>
      </c>
      <c r="C238" s="10">
        <f>'A) Base RI'!AN234</f>
        <v>196</v>
      </c>
      <c r="D238" s="34">
        <f>'C) Prél. conj.'!H232</f>
        <v>3147.2799999999997</v>
      </c>
      <c r="E238" s="15">
        <f>'D) Ecrêtage'!L232</f>
        <v>0</v>
      </c>
      <c r="F238" s="44">
        <f>$F$10*'D) Ecrêtage'!M232</f>
        <v>68769.238422804541</v>
      </c>
      <c r="G238" s="67">
        <f t="shared" si="4"/>
        <v>71916.51842280454</v>
      </c>
    </row>
    <row r="239" spans="1:7" x14ac:dyDescent="0.25">
      <c r="A239" s="53">
        <f>'A) Base RI'!A235</f>
        <v>5760</v>
      </c>
      <c r="B239" s="116" t="str">
        <f>'A) Base RI'!B235</f>
        <v>Rances</v>
      </c>
      <c r="C239" s="10">
        <f>'A) Base RI'!AN235</f>
        <v>473</v>
      </c>
      <c r="D239" s="34">
        <f>'C) Prél. conj.'!H233</f>
        <v>107330.85499999998</v>
      </c>
      <c r="E239" s="15">
        <f>'D) Ecrêtage'!L233</f>
        <v>0</v>
      </c>
      <c r="F239" s="44">
        <f>$F$10*'D) Ecrêtage'!M233</f>
        <v>193975.44959923712</v>
      </c>
      <c r="G239" s="67">
        <f t="shared" si="4"/>
        <v>301306.3045992371</v>
      </c>
    </row>
    <row r="240" spans="1:7" x14ac:dyDescent="0.25">
      <c r="A240" s="53">
        <f>'A) Base RI'!A236</f>
        <v>5761</v>
      </c>
      <c r="B240" s="116" t="str">
        <f>'A) Base RI'!B236</f>
        <v>Romainmôtier-Envy</v>
      </c>
      <c r="C240" s="10">
        <f>'A) Base RI'!AN236</f>
        <v>546</v>
      </c>
      <c r="D240" s="34">
        <f>'C) Prél. conj.'!H234</f>
        <v>74037.36</v>
      </c>
      <c r="E240" s="15">
        <f>'D) Ecrêtage'!L234</f>
        <v>0</v>
      </c>
      <c r="F240" s="44">
        <f>$F$10*'D) Ecrêtage'!M234</f>
        <v>178406.30491880226</v>
      </c>
      <c r="G240" s="67">
        <f t="shared" si="4"/>
        <v>252443.66491880227</v>
      </c>
    </row>
    <row r="241" spans="1:7" x14ac:dyDescent="0.25">
      <c r="A241" s="53">
        <f>'A) Base RI'!A237</f>
        <v>5762</v>
      </c>
      <c r="B241" s="116" t="str">
        <f>'A) Base RI'!B237</f>
        <v>Sergey</v>
      </c>
      <c r="C241" s="10">
        <f>'A) Base RI'!AN237</f>
        <v>140</v>
      </c>
      <c r="D241" s="34">
        <f>'C) Prél. conj.'!H235</f>
        <v>4126.4400000000005</v>
      </c>
      <c r="E241" s="15">
        <f>'D) Ecrêtage'!L235</f>
        <v>0</v>
      </c>
      <c r="F241" s="44">
        <f>$F$10*'D) Ecrêtage'!M235</f>
        <v>52594.716481767857</v>
      </c>
      <c r="G241" s="67">
        <f t="shared" si="4"/>
        <v>56721.156481767859</v>
      </c>
    </row>
    <row r="242" spans="1:7" x14ac:dyDescent="0.25">
      <c r="A242" s="53">
        <f>'A) Base RI'!A238</f>
        <v>5763</v>
      </c>
      <c r="B242" s="116" t="str">
        <f>'A) Base RI'!B238</f>
        <v>Valeyres-sous-Rances</v>
      </c>
      <c r="C242" s="10">
        <f>'A) Base RI'!AN238</f>
        <v>623</v>
      </c>
      <c r="D242" s="34">
        <f>'C) Prél. conj.'!H236</f>
        <v>49855.184999999998</v>
      </c>
      <c r="E242" s="15">
        <f>'D) Ecrêtage'!L236</f>
        <v>0</v>
      </c>
      <c r="F242" s="44">
        <f>$F$10*'D) Ecrêtage'!M236</f>
        <v>235889.94806737144</v>
      </c>
      <c r="G242" s="67">
        <f t="shared" si="4"/>
        <v>285745.13306737144</v>
      </c>
    </row>
    <row r="243" spans="1:7" x14ac:dyDescent="0.25">
      <c r="A243" s="53">
        <f>'A) Base RI'!A239</f>
        <v>5764</v>
      </c>
      <c r="B243" s="116" t="str">
        <f>'A) Base RI'!B239</f>
        <v>Vallorbe</v>
      </c>
      <c r="C243" s="10">
        <f>'A) Base RI'!AN239</f>
        <v>3747</v>
      </c>
      <c r="D243" s="34">
        <f>'C) Prél. conj.'!H237</f>
        <v>856554.87</v>
      </c>
      <c r="E243" s="15">
        <f>'D) Ecrêtage'!L237</f>
        <v>0</v>
      </c>
      <c r="F243" s="44">
        <f>$F$10*'D) Ecrêtage'!M237</f>
        <v>1239344.5007891979</v>
      </c>
      <c r="G243" s="67">
        <f t="shared" si="4"/>
        <v>2095899.3707891977</v>
      </c>
    </row>
    <row r="244" spans="1:7" x14ac:dyDescent="0.25">
      <c r="A244" s="53">
        <f>'A) Base RI'!A240</f>
        <v>5765</v>
      </c>
      <c r="B244" s="116" t="str">
        <f>'A) Base RI'!B240</f>
        <v>Vaulion</v>
      </c>
      <c r="C244" s="10">
        <f>'A) Base RI'!AN240</f>
        <v>494</v>
      </c>
      <c r="D244" s="34">
        <f>'C) Prél. conj.'!H238</f>
        <v>19605.504999999997</v>
      </c>
      <c r="E244" s="15">
        <f>'D) Ecrêtage'!L238</f>
        <v>0</v>
      </c>
      <c r="F244" s="44">
        <f>$F$10*'D) Ecrêtage'!M238</f>
        <v>149562.99307640834</v>
      </c>
      <c r="G244" s="67">
        <f t="shared" si="4"/>
        <v>169168.49807640834</v>
      </c>
    </row>
    <row r="245" spans="1:7" x14ac:dyDescent="0.25">
      <c r="A245" s="53">
        <f>'A) Base RI'!A241</f>
        <v>5766</v>
      </c>
      <c r="B245" s="116" t="str">
        <f>'A) Base RI'!B241</f>
        <v>Vuiteboeuf</v>
      </c>
      <c r="C245" s="10">
        <f>'A) Base RI'!AN241</f>
        <v>556</v>
      </c>
      <c r="D245" s="34">
        <f>'C) Prél. conj.'!H239</f>
        <v>28344.404999999999</v>
      </c>
      <c r="E245" s="15">
        <f>'D) Ecrêtage'!L239</f>
        <v>0</v>
      </c>
      <c r="F245" s="44">
        <f>$F$10*'D) Ecrêtage'!M239</f>
        <v>190989.05166879034</v>
      </c>
      <c r="G245" s="67">
        <f t="shared" si="4"/>
        <v>219333.45666879034</v>
      </c>
    </row>
    <row r="246" spans="1:7" x14ac:dyDescent="0.25">
      <c r="A246" s="53">
        <f>'A) Base RI'!A242</f>
        <v>5782</v>
      </c>
      <c r="B246" s="116" t="str">
        <f>'A) Base RI'!B242</f>
        <v>Carrouge</v>
      </c>
      <c r="C246" s="10">
        <f>'A) Base RI'!AN242</f>
        <v>1247</v>
      </c>
      <c r="D246" s="34">
        <f>'C) Prél. conj.'!H240</f>
        <v>174140.435</v>
      </c>
      <c r="E246" s="15">
        <f>'D) Ecrêtage'!L240</f>
        <v>0</v>
      </c>
      <c r="F246" s="44">
        <f>$F$10*'D) Ecrêtage'!M240</f>
        <v>477850.04754534503</v>
      </c>
      <c r="G246" s="67">
        <f t="shared" si="4"/>
        <v>651990.48254534509</v>
      </c>
    </row>
    <row r="247" spans="1:7" x14ac:dyDescent="0.25">
      <c r="A247" s="53">
        <f>'A) Base RI'!A243</f>
        <v>5785</v>
      </c>
      <c r="B247" s="116" t="str">
        <f>'A) Base RI'!B243</f>
        <v>Corcelles-le-Jorat</v>
      </c>
      <c r="C247" s="10">
        <f>'A) Base RI'!AN243</f>
        <v>425</v>
      </c>
      <c r="D247" s="34">
        <f>'C) Prél. conj.'!H241</f>
        <v>19752.75</v>
      </c>
      <c r="E247" s="15">
        <f>'D) Ecrêtage'!L241</f>
        <v>0</v>
      </c>
      <c r="F247" s="44">
        <f>$F$10*'D) Ecrêtage'!M241</f>
        <v>180009.31442793386</v>
      </c>
      <c r="G247" s="67">
        <f t="shared" si="4"/>
        <v>199762.06442793386</v>
      </c>
    </row>
    <row r="248" spans="1:7" x14ac:dyDescent="0.25">
      <c r="A248" s="53">
        <f>'A) Base RI'!A244</f>
        <v>5788</v>
      </c>
      <c r="B248" s="116" t="str">
        <f>'A) Base RI'!B244</f>
        <v>Essertes</v>
      </c>
      <c r="C248" s="10">
        <f>'A) Base RI'!AN244</f>
        <v>335</v>
      </c>
      <c r="D248" s="34">
        <f>'C) Prél. conj.'!H242</f>
        <v>13714.650000000001</v>
      </c>
      <c r="E248" s="15">
        <f>'D) Ecrêtage'!L242</f>
        <v>0</v>
      </c>
      <c r="F248" s="44">
        <f>$F$10*'D) Ecrêtage'!M242</f>
        <v>141705.61338284964</v>
      </c>
      <c r="G248" s="67">
        <f t="shared" si="4"/>
        <v>155420.26338284963</v>
      </c>
    </row>
    <row r="249" spans="1:7" x14ac:dyDescent="0.25">
      <c r="A249" s="53">
        <f>'A) Base RI'!A245</f>
        <v>5789</v>
      </c>
      <c r="B249" s="116" t="str">
        <f>'A) Base RI'!B245</f>
        <v>Ferlens</v>
      </c>
      <c r="C249" s="10">
        <f>'A) Base RI'!AN245</f>
        <v>350</v>
      </c>
      <c r="D249" s="34">
        <f>'C) Prél. conj.'!H243</f>
        <v>20251.150000000001</v>
      </c>
      <c r="E249" s="15">
        <f>'D) Ecrêtage'!L243</f>
        <v>0</v>
      </c>
      <c r="F249" s="44">
        <f>$F$10*'D) Ecrêtage'!M243</f>
        <v>135497.1400478713</v>
      </c>
      <c r="G249" s="67">
        <f t="shared" si="4"/>
        <v>155748.2900478713</v>
      </c>
    </row>
    <row r="250" spans="1:7" x14ac:dyDescent="0.25">
      <c r="A250" s="53">
        <f>'A) Base RI'!A246</f>
        <v>5790</v>
      </c>
      <c r="B250" s="116" t="str">
        <f>'A) Base RI'!B246</f>
        <v>Maracon</v>
      </c>
      <c r="C250" s="10">
        <f>'A) Base RI'!AN246</f>
        <v>449</v>
      </c>
      <c r="D250" s="34">
        <f>'C) Prél. conj.'!H244</f>
        <v>30147</v>
      </c>
      <c r="E250" s="15">
        <f>'D) Ecrêtage'!L244</f>
        <v>0</v>
      </c>
      <c r="F250" s="44">
        <f>$F$10*'D) Ecrêtage'!M244</f>
        <v>177113.36754144929</v>
      </c>
      <c r="G250" s="67">
        <f t="shared" si="4"/>
        <v>207260.36754144929</v>
      </c>
    </row>
    <row r="251" spans="1:7" x14ac:dyDescent="0.25">
      <c r="A251" s="53">
        <f>'A) Base RI'!A247</f>
        <v>5791</v>
      </c>
      <c r="B251" s="116" t="str">
        <f>'A) Base RI'!B247</f>
        <v>Mézières</v>
      </c>
      <c r="C251" s="10">
        <f>'A) Base RI'!AN247</f>
        <v>1217</v>
      </c>
      <c r="D251" s="34">
        <f>'C) Prél. conj.'!H245</f>
        <v>124051.61499999999</v>
      </c>
      <c r="E251" s="15">
        <f>'D) Ecrêtage'!L245</f>
        <v>0</v>
      </c>
      <c r="F251" s="44">
        <f>$F$10*'D) Ecrêtage'!M245</f>
        <v>700977.30083035142</v>
      </c>
      <c r="G251" s="67">
        <f t="shared" si="4"/>
        <v>825028.91583035141</v>
      </c>
    </row>
    <row r="252" spans="1:7" x14ac:dyDescent="0.25">
      <c r="A252" s="53">
        <f>'A) Base RI'!A248</f>
        <v>5792</v>
      </c>
      <c r="B252" s="116" t="str">
        <f>'A) Base RI'!B248</f>
        <v>Montpreveyres</v>
      </c>
      <c r="C252" s="10">
        <f>'A) Base RI'!AN248</f>
        <v>621</v>
      </c>
      <c r="D252" s="34">
        <f>'C) Prél. conj.'!H246</f>
        <v>67390.225000000006</v>
      </c>
      <c r="E252" s="15">
        <f>'D) Ecrêtage'!L246</f>
        <v>0</v>
      </c>
      <c r="F252" s="44">
        <f>$F$10*'D) Ecrêtage'!M246</f>
        <v>229804.48864672027</v>
      </c>
      <c r="G252" s="67">
        <f t="shared" si="4"/>
        <v>297194.71364672028</v>
      </c>
    </row>
    <row r="253" spans="1:7" x14ac:dyDescent="0.25">
      <c r="A253" s="53">
        <f>'A) Base RI'!A249</f>
        <v>5798</v>
      </c>
      <c r="B253" s="116" t="str">
        <f>'A) Base RI'!B249</f>
        <v>Ropraz</v>
      </c>
      <c r="C253" s="10">
        <f>'A) Base RI'!AN249</f>
        <v>438</v>
      </c>
      <c r="D253" s="34">
        <f>'C) Prél. conj.'!H247</f>
        <v>21120.375</v>
      </c>
      <c r="E253" s="15">
        <f>'D) Ecrêtage'!L247</f>
        <v>0</v>
      </c>
      <c r="F253" s="44">
        <f>$F$10*'D) Ecrêtage'!M247</f>
        <v>160898.05713153337</v>
      </c>
      <c r="G253" s="67">
        <f t="shared" si="4"/>
        <v>182018.43213153337</v>
      </c>
    </row>
    <row r="254" spans="1:7" x14ac:dyDescent="0.25">
      <c r="A254" s="53">
        <f>'A) Base RI'!A250</f>
        <v>5799</v>
      </c>
      <c r="B254" s="116" t="str">
        <f>'A) Base RI'!B250</f>
        <v>Servion</v>
      </c>
      <c r="C254" s="10">
        <f>'A) Base RI'!AN250</f>
        <v>1918</v>
      </c>
      <c r="D254" s="34">
        <f>'C) Prél. conj.'!H248</f>
        <v>125680.07</v>
      </c>
      <c r="E254" s="15">
        <f>'D) Ecrêtage'!L248</f>
        <v>0</v>
      </c>
      <c r="F254" s="44">
        <f>$F$10*'D) Ecrêtage'!M248</f>
        <v>888645.21291456616</v>
      </c>
      <c r="G254" s="67">
        <f t="shared" si="4"/>
        <v>1014325.2829145661</v>
      </c>
    </row>
    <row r="255" spans="1:7" x14ac:dyDescent="0.25">
      <c r="A255" s="53">
        <f>'A) Base RI'!A251</f>
        <v>5803</v>
      </c>
      <c r="B255" s="116" t="str">
        <f>'A) Base RI'!B251</f>
        <v>Vulliens</v>
      </c>
      <c r="C255" s="10">
        <f>'A) Base RI'!AN251</f>
        <v>466</v>
      </c>
      <c r="D255" s="34">
        <f>'C) Prél. conj.'!H249</f>
        <v>78693.024999999994</v>
      </c>
      <c r="E255" s="15">
        <f>'D) Ecrêtage'!L249</f>
        <v>0</v>
      </c>
      <c r="F255" s="44">
        <f>$F$10*'D) Ecrêtage'!M249</f>
        <v>208456.23036916478</v>
      </c>
      <c r="G255" s="67">
        <f t="shared" si="4"/>
        <v>287149.25536916475</v>
      </c>
    </row>
    <row r="256" spans="1:7" x14ac:dyDescent="0.25">
      <c r="A256" s="53">
        <f>'A) Base RI'!A252</f>
        <v>5804</v>
      </c>
      <c r="B256" s="116" t="str">
        <f>'A) Base RI'!B252</f>
        <v>Jorat-Menthue</v>
      </c>
      <c r="C256" s="10">
        <f>'A) Base RI'!AN252</f>
        <v>1545</v>
      </c>
      <c r="D256" s="34">
        <f>'C) Prél. conj.'!H250</f>
        <v>66919.794999999998</v>
      </c>
      <c r="E256" s="15">
        <f>'D) Ecrêtage'!L250</f>
        <v>0</v>
      </c>
      <c r="F256" s="44">
        <f>$F$10*'D) Ecrêtage'!M250</f>
        <v>712024.57791943836</v>
      </c>
      <c r="G256" s="67">
        <f>D256+F256+E256</f>
        <v>778944.37291943841</v>
      </c>
    </row>
    <row r="257" spans="1:7" x14ac:dyDescent="0.25">
      <c r="A257" s="53">
        <f>'A) Base RI'!A253</f>
        <v>5805</v>
      </c>
      <c r="B257" s="116" t="str">
        <f>'A) Base RI'!B253</f>
        <v>Oron</v>
      </c>
      <c r="C257" s="10">
        <f>'A) Base RI'!AN253</f>
        <v>5397</v>
      </c>
      <c r="D257" s="34">
        <f>'C) Prél. conj.'!H251</f>
        <v>422980.19500000007</v>
      </c>
      <c r="E257" s="15">
        <f>'D) Ecrêtage'!L251</f>
        <v>0</v>
      </c>
      <c r="F257" s="44">
        <f>$F$10*'D) Ecrêtage'!M251</f>
        <v>2157201.2169351955</v>
      </c>
      <c r="G257" s="67">
        <f>D257+F257+E257</f>
        <v>2580181.4119351953</v>
      </c>
    </row>
    <row r="258" spans="1:7" x14ac:dyDescent="0.25">
      <c r="A258" s="53">
        <f>'A) Base RI'!A254</f>
        <v>5812</v>
      </c>
      <c r="B258" s="116" t="str">
        <f>'A) Base RI'!B254</f>
        <v>Champtauroz</v>
      </c>
      <c r="C258" s="10">
        <f>'A) Base RI'!AN254</f>
        <v>130</v>
      </c>
      <c r="D258" s="34">
        <f>'C) Prél. conj.'!H252</f>
        <v>9708.6</v>
      </c>
      <c r="E258" s="15">
        <f>'D) Ecrêtage'!L252</f>
        <v>0</v>
      </c>
      <c r="F258" s="44">
        <f>$F$10*'D) Ecrêtage'!M252</f>
        <v>34117.928164240628</v>
      </c>
      <c r="G258" s="67">
        <f>D258+F258+E258</f>
        <v>43826.528164240626</v>
      </c>
    </row>
    <row r="259" spans="1:7" x14ac:dyDescent="0.25">
      <c r="A259" s="53">
        <f>'A) Base RI'!A255</f>
        <v>5813</v>
      </c>
      <c r="B259" s="116" t="str">
        <f>'A) Base RI'!B255</f>
        <v>Chevroux</v>
      </c>
      <c r="C259" s="10">
        <f>'A) Base RI'!AN255</f>
        <v>446</v>
      </c>
      <c r="D259" s="34">
        <f>'C) Prél. conj.'!H253</f>
        <v>32244.724999999999</v>
      </c>
      <c r="E259" s="15">
        <f>'D) Ecrêtage'!L253</f>
        <v>0</v>
      </c>
      <c r="F259" s="44">
        <f>$F$10*'D) Ecrêtage'!M253</f>
        <v>168689.85977887263</v>
      </c>
      <c r="G259" s="67">
        <f t="shared" si="4"/>
        <v>200934.58477887264</v>
      </c>
    </row>
    <row r="260" spans="1:7" x14ac:dyDescent="0.25">
      <c r="A260" s="53">
        <f>'A) Base RI'!A256</f>
        <v>5816</v>
      </c>
      <c r="B260" s="116" t="str">
        <f>'A) Base RI'!B256</f>
        <v>Corcelles-près-Payerne</v>
      </c>
      <c r="C260" s="10">
        <f>'A) Base RI'!AN256</f>
        <v>2393</v>
      </c>
      <c r="D260" s="34">
        <f>'C) Prél. conj.'!H254</f>
        <v>126267.43500000001</v>
      </c>
      <c r="E260" s="15">
        <f>'D) Ecrêtage'!L254</f>
        <v>0</v>
      </c>
      <c r="F260" s="44">
        <f>$F$10*'D) Ecrêtage'!M254</f>
        <v>830609.36647261074</v>
      </c>
      <c r="G260" s="67">
        <f t="shared" si="4"/>
        <v>956876.80147261079</v>
      </c>
    </row>
    <row r="261" spans="1:7" x14ac:dyDescent="0.25">
      <c r="A261" s="53">
        <f>'A) Base RI'!A257</f>
        <v>5817</v>
      </c>
      <c r="B261" s="116" t="str">
        <f>'A) Base RI'!B257</f>
        <v>Grandcour</v>
      </c>
      <c r="C261" s="10">
        <f>'A) Base RI'!AN257</f>
        <v>885</v>
      </c>
      <c r="D261" s="34">
        <f>'C) Prél. conj.'!H255</f>
        <v>38258.555</v>
      </c>
      <c r="E261" s="15">
        <f>'D) Ecrêtage'!L255</f>
        <v>0</v>
      </c>
      <c r="F261" s="44">
        <f>$F$10*'D) Ecrêtage'!M255</f>
        <v>307814.60642765695</v>
      </c>
      <c r="G261" s="67">
        <f t="shared" si="4"/>
        <v>346073.16142765695</v>
      </c>
    </row>
    <row r="262" spans="1:7" x14ac:dyDescent="0.25">
      <c r="A262" s="53">
        <f>'A) Base RI'!A258</f>
        <v>5819</v>
      </c>
      <c r="B262" s="116" t="str">
        <f>'A) Base RI'!B258</f>
        <v>Henniez</v>
      </c>
      <c r="C262" s="10">
        <f>'A) Base RI'!AN258</f>
        <v>338</v>
      </c>
      <c r="D262" s="34">
        <f>'C) Prél. conj.'!H256</f>
        <v>23974.145</v>
      </c>
      <c r="E262" s="15">
        <f>'D) Ecrêtage'!L256</f>
        <v>0</v>
      </c>
      <c r="F262" s="44">
        <f>$F$10*'D) Ecrêtage'!M256</f>
        <v>219229.57997099287</v>
      </c>
      <c r="G262" s="67">
        <f t="shared" si="4"/>
        <v>243203.72497099286</v>
      </c>
    </row>
    <row r="263" spans="1:7" x14ac:dyDescent="0.25">
      <c r="A263" s="53">
        <f>'A) Base RI'!A259</f>
        <v>5821</v>
      </c>
      <c r="B263" s="116" t="str">
        <f>'A) Base RI'!B259</f>
        <v>Missy</v>
      </c>
      <c r="C263" s="10">
        <f>'A) Base RI'!AN259</f>
        <v>361</v>
      </c>
      <c r="D263" s="34">
        <f>'C) Prél. conj.'!H257</f>
        <v>19298.05</v>
      </c>
      <c r="E263" s="15">
        <f>'D) Ecrêtage'!L257</f>
        <v>0</v>
      </c>
      <c r="F263" s="44">
        <f>$F$10*'D) Ecrêtage'!M257</f>
        <v>114034.45384932388</v>
      </c>
      <c r="G263" s="67">
        <f t="shared" si="4"/>
        <v>133332.50384932387</v>
      </c>
    </row>
    <row r="264" spans="1:7" x14ac:dyDescent="0.25">
      <c r="A264" s="53">
        <f>'A) Base RI'!A260</f>
        <v>5822</v>
      </c>
      <c r="B264" s="116" t="str">
        <f>'A) Base RI'!B260</f>
        <v>Payerne</v>
      </c>
      <c r="C264" s="10">
        <f>'A) Base RI'!AN260</f>
        <v>9301</v>
      </c>
      <c r="D264" s="34">
        <f>'C) Prél. conj.'!H258</f>
        <v>1245602.7749999999</v>
      </c>
      <c r="E264" s="15">
        <f>'D) Ecrêtage'!L258</f>
        <v>0</v>
      </c>
      <c r="F264" s="44">
        <f>$F$10*'D) Ecrêtage'!M258</f>
        <v>3394724.4004773563</v>
      </c>
      <c r="G264" s="67">
        <f t="shared" si="4"/>
        <v>4640327.1754773557</v>
      </c>
    </row>
    <row r="265" spans="1:7" x14ac:dyDescent="0.25">
      <c r="A265" s="53">
        <f>'A) Base RI'!A261</f>
        <v>5827</v>
      </c>
      <c r="B265" s="116" t="str">
        <f>'A) Base RI'!B261</f>
        <v>Trey</v>
      </c>
      <c r="C265" s="10">
        <f>'A) Base RI'!AN261</f>
        <v>260</v>
      </c>
      <c r="D265" s="34">
        <f>'C) Prél. conj.'!H259</f>
        <v>36607.425000000003</v>
      </c>
      <c r="E265" s="15">
        <f>'D) Ecrêtage'!L259</f>
        <v>0</v>
      </c>
      <c r="F265" s="44">
        <f>$F$10*'D) Ecrêtage'!M259</f>
        <v>90991.621043185529</v>
      </c>
      <c r="G265" s="67">
        <f t="shared" si="4"/>
        <v>127599.04604318553</v>
      </c>
    </row>
    <row r="266" spans="1:7" x14ac:dyDescent="0.25">
      <c r="A266" s="53">
        <f>'A) Base RI'!A262</f>
        <v>5828</v>
      </c>
      <c r="B266" s="116" t="str">
        <f>'A) Base RI'!B262</f>
        <v>Treytorrens (Payerne)</v>
      </c>
      <c r="C266" s="10">
        <f>'A) Base RI'!AN262</f>
        <v>131</v>
      </c>
      <c r="D266" s="34">
        <f>'C) Prél. conj.'!H260</f>
        <v>5149.8</v>
      </c>
      <c r="E266" s="15">
        <f>'D) Ecrêtage'!L260</f>
        <v>0</v>
      </c>
      <c r="F266" s="44">
        <f>$F$10*'D) Ecrêtage'!M260</f>
        <v>34498.608700679739</v>
      </c>
      <c r="G266" s="67">
        <f t="shared" si="4"/>
        <v>39648.408700679742</v>
      </c>
    </row>
    <row r="267" spans="1:7" x14ac:dyDescent="0.25">
      <c r="A267" s="53">
        <f>'A) Base RI'!A263</f>
        <v>5830</v>
      </c>
      <c r="B267" s="116" t="str">
        <f>'A) Base RI'!B263</f>
        <v>Villarzel</v>
      </c>
      <c r="C267" s="10">
        <f>'A) Base RI'!AN263</f>
        <v>424</v>
      </c>
      <c r="D267" s="34">
        <f>'C) Prél. conj.'!H261</f>
        <v>28607.275000000001</v>
      </c>
      <c r="E267" s="15">
        <f>'D) Ecrêtage'!L261</f>
        <v>0</v>
      </c>
      <c r="F267" s="44">
        <f>$F$10*'D) Ecrêtage'!M261</f>
        <v>142793.33279955952</v>
      </c>
      <c r="G267" s="67">
        <f t="shared" si="4"/>
        <v>171400.60779955951</v>
      </c>
    </row>
    <row r="268" spans="1:7" x14ac:dyDescent="0.25">
      <c r="A268" s="53">
        <f>'A) Base RI'!A264</f>
        <v>5831</v>
      </c>
      <c r="B268" s="116" t="str">
        <f>'A) Base RI'!B264</f>
        <v>Valbroye</v>
      </c>
      <c r="C268" s="10">
        <f>'A) Base RI'!AN264</f>
        <v>2974</v>
      </c>
      <c r="D268" s="34">
        <f>'C) Prél. conj.'!H262</f>
        <v>170415.98499999999</v>
      </c>
      <c r="E268" s="15">
        <f>'D) Ecrêtage'!L262</f>
        <v>0</v>
      </c>
      <c r="F268" s="44">
        <f>$F$10*'D) Ecrêtage'!M262</f>
        <v>1101925.2877270617</v>
      </c>
      <c r="G268" s="67">
        <f>D268+F268+E268</f>
        <v>1272341.2727270615</v>
      </c>
    </row>
    <row r="269" spans="1:7" x14ac:dyDescent="0.25">
      <c r="A269" s="53">
        <f>'A) Base RI'!A265</f>
        <v>5841</v>
      </c>
      <c r="B269" s="116" t="str">
        <f>'A) Base RI'!B265</f>
        <v>Château-d'Oex</v>
      </c>
      <c r="C269" s="10">
        <f>'A) Base RI'!AN265</f>
        <v>3477</v>
      </c>
      <c r="D269" s="34">
        <f>'C) Prél. conj.'!H263</f>
        <v>583906.64999999991</v>
      </c>
      <c r="E269" s="15">
        <f>'D) Ecrêtage'!L263</f>
        <v>0</v>
      </c>
      <c r="F269" s="44">
        <f>$F$10*'D) Ecrêtage'!M263</f>
        <v>1561137.2573032696</v>
      </c>
      <c r="G269" s="67">
        <f>D269+F269+E269</f>
        <v>2145043.9073032695</v>
      </c>
    </row>
    <row r="270" spans="1:7" x14ac:dyDescent="0.25">
      <c r="A270" s="53">
        <f>'A) Base RI'!A266</f>
        <v>5842</v>
      </c>
      <c r="B270" s="116" t="str">
        <f>'A) Base RI'!B266</f>
        <v>Rossinière</v>
      </c>
      <c r="C270" s="10">
        <f>'A) Base RI'!AN266</f>
        <v>546</v>
      </c>
      <c r="D270" s="34">
        <f>'C) Prél. conj.'!H264</f>
        <v>106425.37500000001</v>
      </c>
      <c r="E270" s="15">
        <f>'D) Ecrêtage'!L264</f>
        <v>0</v>
      </c>
      <c r="F270" s="44">
        <f>$F$10*'D) Ecrêtage'!M264</f>
        <v>198254.38655911869</v>
      </c>
      <c r="G270" s="67">
        <f t="shared" si="4"/>
        <v>304679.76155911869</v>
      </c>
    </row>
    <row r="271" spans="1:7" x14ac:dyDescent="0.25">
      <c r="A271" s="53">
        <f>'A) Base RI'!A267</f>
        <v>5843</v>
      </c>
      <c r="B271" s="116" t="str">
        <f>'A) Base RI'!B267</f>
        <v>Rougemont</v>
      </c>
      <c r="C271" s="10">
        <f>'A) Base RI'!AN267</f>
        <v>892</v>
      </c>
      <c r="D271" s="34">
        <f>'C) Prél. conj.'!H265</f>
        <v>840347.17500000005</v>
      </c>
      <c r="E271" s="15">
        <f>'D) Ecrêtage'!L265</f>
        <v>1158926.4347334299</v>
      </c>
      <c r="F271" s="44">
        <f>$F$10*'D) Ecrêtage'!M265</f>
        <v>1047295.9074419807</v>
      </c>
      <c r="G271" s="67">
        <f t="shared" si="4"/>
        <v>3046569.5171754109</v>
      </c>
    </row>
    <row r="272" spans="1:7" x14ac:dyDescent="0.25">
      <c r="A272" s="53">
        <f>'A) Base RI'!A268</f>
        <v>5851</v>
      </c>
      <c r="B272" s="116" t="str">
        <f>'A) Base RI'!B268</f>
        <v>Allaman</v>
      </c>
      <c r="C272" s="10">
        <f>'A) Base RI'!AN268</f>
        <v>432</v>
      </c>
      <c r="D272" s="34">
        <f>'C) Prél. conj.'!H266</f>
        <v>448572.15499999997</v>
      </c>
      <c r="E272" s="15">
        <f>'D) Ecrêtage'!L266</f>
        <v>59603.454407701713</v>
      </c>
      <c r="F272" s="44">
        <f>$F$10*'D) Ecrêtage'!M266</f>
        <v>380384.98892150534</v>
      </c>
      <c r="G272" s="67">
        <f t="shared" si="4"/>
        <v>888560.59832920705</v>
      </c>
    </row>
    <row r="273" spans="1:7" x14ac:dyDescent="0.25">
      <c r="A273" s="53">
        <f>'A) Base RI'!A269</f>
        <v>5852</v>
      </c>
      <c r="B273" s="116" t="str">
        <f>'A) Base RI'!B269</f>
        <v>Bursinel</v>
      </c>
      <c r="C273" s="10">
        <f>'A) Base RI'!AN269</f>
        <v>485</v>
      </c>
      <c r="D273" s="34">
        <f>'C) Prél. conj.'!H267</f>
        <v>16100.01</v>
      </c>
      <c r="E273" s="15">
        <f>'D) Ecrêtage'!L267</f>
        <v>64122.939307905886</v>
      </c>
      <c r="F273" s="44">
        <f>$F$10*'D) Ecrêtage'!M267</f>
        <v>424437.42638779001</v>
      </c>
      <c r="G273" s="67">
        <f t="shared" si="4"/>
        <v>504660.37569569593</v>
      </c>
    </row>
    <row r="274" spans="1:7" x14ac:dyDescent="0.25">
      <c r="A274" s="53">
        <f>'A) Base RI'!A270</f>
        <v>5853</v>
      </c>
      <c r="B274" s="116" t="str">
        <f>'A) Base RI'!B270</f>
        <v>Bursins</v>
      </c>
      <c r="C274" s="10">
        <f>'A) Base RI'!AN270</f>
        <v>766</v>
      </c>
      <c r="D274" s="34">
        <f>'C) Prél. conj.'!H268</f>
        <v>190470.95499999999</v>
      </c>
      <c r="E274" s="15">
        <f>'D) Ecrêtage'!L268</f>
        <v>0</v>
      </c>
      <c r="F274" s="44">
        <f>$F$10*'D) Ecrêtage'!M268</f>
        <v>594543.55227217055</v>
      </c>
      <c r="G274" s="67">
        <f t="shared" si="4"/>
        <v>785014.50727217051</v>
      </c>
    </row>
    <row r="275" spans="1:7" x14ac:dyDescent="0.25">
      <c r="A275" s="53">
        <f>'A) Base RI'!A271</f>
        <v>5854</v>
      </c>
      <c r="B275" s="116" t="str">
        <f>'A) Base RI'!B271</f>
        <v>Burtigny</v>
      </c>
      <c r="C275" s="10">
        <f>'A) Base RI'!AN271</f>
        <v>359</v>
      </c>
      <c r="D275" s="34">
        <f>'C) Prél. conj.'!H269</f>
        <v>27127.069999999996</v>
      </c>
      <c r="E275" s="15">
        <f>'D) Ecrêtage'!L269</f>
        <v>0</v>
      </c>
      <c r="F275" s="44">
        <f>$F$10*'D) Ecrêtage'!M269</f>
        <v>155117.30516893227</v>
      </c>
      <c r="G275" s="67">
        <f t="shared" si="4"/>
        <v>182244.37516893228</v>
      </c>
    </row>
    <row r="276" spans="1:7" x14ac:dyDescent="0.25">
      <c r="A276" s="53">
        <f>'A) Base RI'!A272</f>
        <v>5855</v>
      </c>
      <c r="B276" s="116" t="str">
        <f>'A) Base RI'!B272</f>
        <v>Dully</v>
      </c>
      <c r="C276" s="10">
        <f>'A) Base RI'!AN272</f>
        <v>633</v>
      </c>
      <c r="D276" s="34">
        <f>'C) Prél. conj.'!H270</f>
        <v>460472.34</v>
      </c>
      <c r="E276" s="15">
        <f>'D) Ecrêtage'!L270</f>
        <v>1044698.3279044975</v>
      </c>
      <c r="F276" s="44">
        <f>$F$10*'D) Ecrêtage'!M270</f>
        <v>851525.71909409703</v>
      </c>
      <c r="G276" s="67">
        <f t="shared" si="4"/>
        <v>2356696.3869985947</v>
      </c>
    </row>
    <row r="277" spans="1:7" x14ac:dyDescent="0.25">
      <c r="A277" s="53">
        <f>'A) Base RI'!A273</f>
        <v>5856</v>
      </c>
      <c r="B277" s="116" t="str">
        <f>'A) Base RI'!B273</f>
        <v>Essertines-sur-Rolle</v>
      </c>
      <c r="C277" s="10">
        <f>'A) Base RI'!AN273</f>
        <v>695</v>
      </c>
      <c r="D277" s="34">
        <f>'C) Prél. conj.'!H271</f>
        <v>57417.53</v>
      </c>
      <c r="E277" s="15">
        <f>'D) Ecrêtage'!L271</f>
        <v>0</v>
      </c>
      <c r="F277" s="44">
        <f>$F$10*'D) Ecrêtage'!M271</f>
        <v>467250.06243888015</v>
      </c>
      <c r="G277" s="67">
        <f t="shared" si="4"/>
        <v>524667.59243888012</v>
      </c>
    </row>
    <row r="278" spans="1:7" x14ac:dyDescent="0.25">
      <c r="A278" s="53">
        <f>'A) Base RI'!A274</f>
        <v>5857</v>
      </c>
      <c r="B278" s="116" t="str">
        <f>'A) Base RI'!B274</f>
        <v>Gilly</v>
      </c>
      <c r="C278" s="10">
        <f>'A) Base RI'!AN274</f>
        <v>1230</v>
      </c>
      <c r="D278" s="34">
        <f>'C) Prél. conj.'!H272</f>
        <v>514660.05499999999</v>
      </c>
      <c r="E278" s="15">
        <f>'D) Ecrêtage'!L272</f>
        <v>0</v>
      </c>
      <c r="F278" s="44">
        <f>$F$10*'D) Ecrêtage'!M272</f>
        <v>917120.43570259877</v>
      </c>
      <c r="G278" s="67">
        <f t="shared" si="4"/>
        <v>1431780.4907025988</v>
      </c>
    </row>
    <row r="279" spans="1:7" x14ac:dyDescent="0.25">
      <c r="A279" s="53">
        <f>'A) Base RI'!A275</f>
        <v>5858</v>
      </c>
      <c r="B279" s="116" t="str">
        <f>'A) Base RI'!B275</f>
        <v>Luins</v>
      </c>
      <c r="C279" s="10">
        <f>'A) Base RI'!AN275</f>
        <v>625</v>
      </c>
      <c r="D279" s="34">
        <f>'C) Prél. conj.'!H273</f>
        <v>888.06999999999971</v>
      </c>
      <c r="E279" s="15">
        <f>'D) Ecrêtage'!L273</f>
        <v>0</v>
      </c>
      <c r="F279" s="44">
        <f>$F$10*'D) Ecrêtage'!M273</f>
        <v>513919.62876425928</v>
      </c>
      <c r="G279" s="67">
        <f t="shared" si="4"/>
        <v>514807.69876425929</v>
      </c>
    </row>
    <row r="280" spans="1:7" x14ac:dyDescent="0.25">
      <c r="A280" s="53">
        <f>'A) Base RI'!A276</f>
        <v>5859</v>
      </c>
      <c r="B280" s="116" t="str">
        <f>'A) Base RI'!B276</f>
        <v>Mont-sur-Rolle</v>
      </c>
      <c r="C280" s="10">
        <f>'A) Base RI'!AN276</f>
        <v>2660</v>
      </c>
      <c r="D280" s="34">
        <f>'C) Prél. conj.'!H274</f>
        <v>350852.375</v>
      </c>
      <c r="E280" s="15">
        <f>'D) Ecrêtage'!L274</f>
        <v>0</v>
      </c>
      <c r="F280" s="44">
        <f>$F$10*'D) Ecrêtage'!M274</f>
        <v>1912688.1274198005</v>
      </c>
      <c r="G280" s="67">
        <f t="shared" ref="G280:G328" si="5">D280+F280+E280</f>
        <v>2263540.5024198005</v>
      </c>
    </row>
    <row r="281" spans="1:7" x14ac:dyDescent="0.25">
      <c r="A281" s="53">
        <f>'A) Base RI'!A277</f>
        <v>5860</v>
      </c>
      <c r="B281" s="116" t="str">
        <f>'A) Base RI'!B277</f>
        <v>Perroy</v>
      </c>
      <c r="C281" s="10">
        <f>'A) Base RI'!AN277</f>
        <v>1453</v>
      </c>
      <c r="D281" s="34">
        <f>'C) Prél. conj.'!H275</f>
        <v>249820.155</v>
      </c>
      <c r="E281" s="15">
        <f>'D) Ecrêtage'!L275</f>
        <v>243069.46297173837</v>
      </c>
      <c r="F281" s="44">
        <f>$F$10*'D) Ecrêtage'!M275</f>
        <v>1300715.3455314164</v>
      </c>
      <c r="G281" s="67">
        <f t="shared" si="5"/>
        <v>1793604.9635031547</v>
      </c>
    </row>
    <row r="282" spans="1:7" x14ac:dyDescent="0.25">
      <c r="A282" s="53">
        <f>'A) Base RI'!A278</f>
        <v>5861</v>
      </c>
      <c r="B282" s="116" t="str">
        <f>'A) Base RI'!B278</f>
        <v>Rolle</v>
      </c>
      <c r="C282" s="10">
        <f>'A) Base RI'!AN278</f>
        <v>6142</v>
      </c>
      <c r="D282" s="34">
        <f>'C) Prél. conj.'!H276</f>
        <v>983720.18499999994</v>
      </c>
      <c r="E282" s="15">
        <f>'D) Ecrêtage'!L276</f>
        <v>14457625.932599708</v>
      </c>
      <c r="F282" s="44">
        <f>$F$10*'D) Ecrêtage'!M276</f>
        <v>8678459.3837882467</v>
      </c>
      <c r="G282" s="67">
        <f t="shared" si="5"/>
        <v>24119805.501387954</v>
      </c>
    </row>
    <row r="283" spans="1:7" x14ac:dyDescent="0.25">
      <c r="A283" s="53">
        <f>'A) Base RI'!A279</f>
        <v>5862</v>
      </c>
      <c r="B283" s="116" t="str">
        <f>'A) Base RI'!B279</f>
        <v>Tartegnin</v>
      </c>
      <c r="C283" s="10">
        <f>'A) Base RI'!AN279</f>
        <v>236</v>
      </c>
      <c r="D283" s="34">
        <f>'C) Prél. conj.'!H277</f>
        <v>27484.420000000002</v>
      </c>
      <c r="E283" s="15">
        <f>'D) Ecrêtage'!L277</f>
        <v>0</v>
      </c>
      <c r="F283" s="44">
        <f>$F$10*'D) Ecrêtage'!M277</f>
        <v>121735.67535884646</v>
      </c>
      <c r="G283" s="67">
        <f t="shared" si="5"/>
        <v>149220.09535884648</v>
      </c>
    </row>
    <row r="284" spans="1:7" x14ac:dyDescent="0.25">
      <c r="A284" s="53">
        <f>'A) Base RI'!A280</f>
        <v>5863</v>
      </c>
      <c r="B284" s="116" t="str">
        <f>'A) Base RI'!B280</f>
        <v>Vinzel</v>
      </c>
      <c r="C284" s="10">
        <f>'A) Base RI'!AN280</f>
        <v>352</v>
      </c>
      <c r="D284" s="34">
        <f>'C) Prél. conj.'!H278</f>
        <v>13534.060000000001</v>
      </c>
      <c r="E284" s="15">
        <f>'D) Ecrêtage'!L278</f>
        <v>120587.69181162512</v>
      </c>
      <c r="F284" s="44">
        <f>$F$10*'D) Ecrêtage'!M278</f>
        <v>334432.6037469377</v>
      </c>
      <c r="G284" s="67">
        <f t="shared" si="5"/>
        <v>468554.35555856279</v>
      </c>
    </row>
    <row r="285" spans="1:7" x14ac:dyDescent="0.25">
      <c r="A285" s="53">
        <f>'A) Base RI'!A281</f>
        <v>5871</v>
      </c>
      <c r="B285" s="116" t="str">
        <f>'A) Base RI'!B281</f>
        <v>L'Abbaye</v>
      </c>
      <c r="C285" s="10">
        <f>'A) Base RI'!AN281</f>
        <v>1439</v>
      </c>
      <c r="D285" s="34">
        <f>'C) Prél. conj.'!H279</f>
        <v>293471.47499999998</v>
      </c>
      <c r="E285" s="15">
        <f>'D) Ecrêtage'!L279</f>
        <v>0</v>
      </c>
      <c r="F285" s="44">
        <f>$F$10*'D) Ecrêtage'!M279</f>
        <v>603726.54816173622</v>
      </c>
      <c r="G285" s="67">
        <f t="shared" si="5"/>
        <v>897198.0231617362</v>
      </c>
    </row>
    <row r="286" spans="1:7" x14ac:dyDescent="0.25">
      <c r="A286" s="53">
        <f>'A) Base RI'!A282</f>
        <v>5872</v>
      </c>
      <c r="B286" s="116" t="str">
        <f>'A) Base RI'!B282</f>
        <v>Le Chenit</v>
      </c>
      <c r="C286" s="10">
        <f>'A) Base RI'!AN282</f>
        <v>4608</v>
      </c>
      <c r="D286" s="34">
        <f>'C) Prél. conj.'!H280</f>
        <v>1735280.145</v>
      </c>
      <c r="E286" s="15">
        <f>'D) Ecrêtage'!L280</f>
        <v>1431957.0927796855</v>
      </c>
      <c r="F286" s="44">
        <f>$F$10*'D) Ecrêtage'!M280</f>
        <v>4325707.0635974007</v>
      </c>
      <c r="G286" s="67">
        <f t="shared" si="5"/>
        <v>7492944.3013770869</v>
      </c>
    </row>
    <row r="287" spans="1:7" x14ac:dyDescent="0.25">
      <c r="A287" s="53">
        <f>'A) Base RI'!A283</f>
        <v>5873</v>
      </c>
      <c r="B287" s="116" t="str">
        <f>'A) Base RI'!B283</f>
        <v>Le Lieu</v>
      </c>
      <c r="C287" s="10">
        <f>'A) Base RI'!AN283</f>
        <v>873</v>
      </c>
      <c r="D287" s="34">
        <f>'C) Prél. conj.'!H281</f>
        <v>300418.43</v>
      </c>
      <c r="E287" s="15">
        <f>'D) Ecrêtage'!L281</f>
        <v>0</v>
      </c>
      <c r="F287" s="44">
        <f>$F$10*'D) Ecrêtage'!M281</f>
        <v>448542.12287067634</v>
      </c>
      <c r="G287" s="67">
        <f t="shared" si="5"/>
        <v>748960.55287067639</v>
      </c>
    </row>
    <row r="288" spans="1:7" x14ac:dyDescent="0.25">
      <c r="A288" s="53">
        <f>'A) Base RI'!A284</f>
        <v>5881</v>
      </c>
      <c r="B288" s="116" t="str">
        <f>'A) Base RI'!B284</f>
        <v>Blonay</v>
      </c>
      <c r="C288" s="10">
        <f>'A) Base RI'!AN284</f>
        <v>6116</v>
      </c>
      <c r="D288" s="34">
        <f>'C) Prél. conj.'!H282</f>
        <v>1425026.3149999999</v>
      </c>
      <c r="E288" s="15">
        <f>'D) Ecrêtage'!L282</f>
        <v>0</v>
      </c>
      <c r="F288" s="44">
        <f>$F$10*'D) Ecrêtage'!M282</f>
        <v>4874574.2036384651</v>
      </c>
      <c r="G288" s="67">
        <f t="shared" si="5"/>
        <v>6299600.5186384656</v>
      </c>
    </row>
    <row r="289" spans="1:7" x14ac:dyDescent="0.25">
      <c r="A289" s="53">
        <f>'A) Base RI'!A285</f>
        <v>5882</v>
      </c>
      <c r="B289" s="116" t="str">
        <f>'A) Base RI'!B285</f>
        <v>Chardonne</v>
      </c>
      <c r="C289" s="10">
        <f>'A) Base RI'!AN285</f>
        <v>2916</v>
      </c>
      <c r="D289" s="34">
        <f>'C) Prél. conj.'!H283</f>
        <v>602834.52</v>
      </c>
      <c r="E289" s="15">
        <f>'D) Ecrêtage'!L283</f>
        <v>0</v>
      </c>
      <c r="F289" s="44">
        <f>$F$10*'D) Ecrêtage'!M283</f>
        <v>2215641.9850710109</v>
      </c>
      <c r="G289" s="67">
        <f t="shared" si="5"/>
        <v>2818476.5050710109</v>
      </c>
    </row>
    <row r="290" spans="1:7" x14ac:dyDescent="0.25">
      <c r="A290" s="53">
        <f>'A) Base RI'!A286</f>
        <v>5883</v>
      </c>
      <c r="B290" s="116" t="str">
        <f>'A) Base RI'!B286</f>
        <v>Corseaux</v>
      </c>
      <c r="C290" s="10">
        <f>'A) Base RI'!AN286</f>
        <v>2212</v>
      </c>
      <c r="D290" s="34">
        <f>'C) Prél. conj.'!H284</f>
        <v>474025.02500000002</v>
      </c>
      <c r="E290" s="15">
        <f>'D) Ecrêtage'!L284</f>
        <v>623229.9563504284</v>
      </c>
      <c r="F290" s="44">
        <f>$F$10*'D) Ecrêtage'!M284</f>
        <v>2073253.1730045646</v>
      </c>
      <c r="G290" s="67">
        <f t="shared" si="5"/>
        <v>3170508.1543549933</v>
      </c>
    </row>
    <row r="291" spans="1:7" x14ac:dyDescent="0.25">
      <c r="A291" s="53">
        <f>'A) Base RI'!A287</f>
        <v>5884</v>
      </c>
      <c r="B291" s="116" t="str">
        <f>'A) Base RI'!B287</f>
        <v>Corsier-sur-Vevey</v>
      </c>
      <c r="C291" s="10">
        <f>'A) Base RI'!AN287</f>
        <v>3403</v>
      </c>
      <c r="D291" s="34">
        <f>'C) Prél. conj.'!H285</f>
        <v>337201.98499999999</v>
      </c>
      <c r="E291" s="15">
        <f>'D) Ecrêtage'!L285</f>
        <v>0</v>
      </c>
      <c r="F291" s="44">
        <f>$F$10*'D) Ecrêtage'!M285</f>
        <v>1707536.1733040598</v>
      </c>
      <c r="G291" s="67">
        <f t="shared" si="5"/>
        <v>2044738.1583040599</v>
      </c>
    </row>
    <row r="292" spans="1:7" x14ac:dyDescent="0.25">
      <c r="A292" s="53">
        <f>'A) Base RI'!A288</f>
        <v>5885</v>
      </c>
      <c r="B292" s="116" t="str">
        <f>'A) Base RI'!B288</f>
        <v>Jongny</v>
      </c>
      <c r="C292" s="10">
        <f>'A) Base RI'!AN288</f>
        <v>1488</v>
      </c>
      <c r="D292" s="34">
        <f>'C) Prél. conj.'!H286</f>
        <v>216300.95</v>
      </c>
      <c r="E292" s="15">
        <f>'D) Ecrêtage'!L286</f>
        <v>0</v>
      </c>
      <c r="F292" s="44">
        <f>$F$10*'D) Ecrêtage'!M286</f>
        <v>1200183.336135071</v>
      </c>
      <c r="G292" s="67">
        <f t="shared" si="5"/>
        <v>1416484.286135071</v>
      </c>
    </row>
    <row r="293" spans="1:7" x14ac:dyDescent="0.25">
      <c r="A293" s="53">
        <f>'A) Base RI'!A289</f>
        <v>5886</v>
      </c>
      <c r="B293" s="116" t="str">
        <f>'A) Base RI'!B289</f>
        <v>Montreux</v>
      </c>
      <c r="C293" s="10">
        <f>'A) Base RI'!AN289</f>
        <v>26402</v>
      </c>
      <c r="D293" s="34">
        <f>'C) Prél. conj.'!H287</f>
        <v>7081694.5350000001</v>
      </c>
      <c r="E293" s="15">
        <f>'D) Ecrêtage'!L287</f>
        <v>0</v>
      </c>
      <c r="F293" s="44">
        <f>$F$10*'D) Ecrêtage'!M287</f>
        <v>17234218.74762499</v>
      </c>
      <c r="G293" s="67">
        <f t="shared" si="5"/>
        <v>24315913.28262499</v>
      </c>
    </row>
    <row r="294" spans="1:7" x14ac:dyDescent="0.25">
      <c r="A294" s="53">
        <f>'A) Base RI'!A290</f>
        <v>5888</v>
      </c>
      <c r="B294" s="116" t="str">
        <f>'A) Base RI'!B290</f>
        <v>Saint-Légier-La Chiésaz</v>
      </c>
      <c r="C294" s="10">
        <f>'A) Base RI'!AN290</f>
        <v>5130</v>
      </c>
      <c r="D294" s="34">
        <f>'C) Prél. conj.'!H288</f>
        <v>724962.28</v>
      </c>
      <c r="E294" s="15">
        <f>'D) Ecrêtage'!L288</f>
        <v>467969.36898578383</v>
      </c>
      <c r="F294" s="44">
        <f>$F$10*'D) Ecrêtage'!M288</f>
        <v>4401545.5220747823</v>
      </c>
      <c r="G294" s="67">
        <f t="shared" si="5"/>
        <v>5594477.1710605668</v>
      </c>
    </row>
    <row r="295" spans="1:7" x14ac:dyDescent="0.25">
      <c r="A295" s="53">
        <f>'A) Base RI'!A291</f>
        <v>5889</v>
      </c>
      <c r="B295" s="116" t="str">
        <f>'A) Base RI'!B291</f>
        <v>La Tour-de-Peilz</v>
      </c>
      <c r="C295" s="10">
        <f>'A) Base RI'!AN291</f>
        <v>11637</v>
      </c>
      <c r="D295" s="34">
        <f>'C) Prél. conj.'!H289</f>
        <v>2161451.4499999997</v>
      </c>
      <c r="E295" s="15">
        <f>'D) Ecrêtage'!L289</f>
        <v>0</v>
      </c>
      <c r="F295" s="44">
        <f>$F$10*'D) Ecrêtage'!M289</f>
        <v>9071582.5227949582</v>
      </c>
      <c r="G295" s="67">
        <f t="shared" si="5"/>
        <v>11233033.972794957</v>
      </c>
    </row>
    <row r="296" spans="1:7" x14ac:dyDescent="0.25">
      <c r="A296" s="53">
        <f>'A) Base RI'!A292</f>
        <v>5890</v>
      </c>
      <c r="B296" s="116" t="str">
        <f>'A) Base RI'!B292</f>
        <v>Vevey</v>
      </c>
      <c r="C296" s="10">
        <f>'A) Base RI'!AN292</f>
        <v>19605</v>
      </c>
      <c r="D296" s="34">
        <f>'C) Prél. conj.'!H290</f>
        <v>2334068.0449999999</v>
      </c>
      <c r="E296" s="15">
        <f>'D) Ecrêtage'!L290</f>
        <v>0</v>
      </c>
      <c r="F296" s="44">
        <f>$F$10*'D) Ecrêtage'!M290</f>
        <v>13333095.580780936</v>
      </c>
      <c r="G296" s="67">
        <f t="shared" si="5"/>
        <v>15667163.625780936</v>
      </c>
    </row>
    <row r="297" spans="1:7" x14ac:dyDescent="0.25">
      <c r="A297" s="53">
        <f>'A) Base RI'!A293</f>
        <v>5891</v>
      </c>
      <c r="B297" s="116" t="str">
        <f>'A) Base RI'!B293</f>
        <v>Veytaux</v>
      </c>
      <c r="C297" s="10">
        <f>'A) Base RI'!AN293</f>
        <v>850</v>
      </c>
      <c r="D297" s="34">
        <f>'C) Prél. conj.'!H291</f>
        <v>160980.79999999999</v>
      </c>
      <c r="E297" s="15">
        <f>'D) Ecrêtage'!L291</f>
        <v>0</v>
      </c>
      <c r="F297" s="44">
        <f>$F$10*'D) Ecrêtage'!M291</f>
        <v>579398.97877078818</v>
      </c>
      <c r="G297" s="67">
        <f t="shared" si="5"/>
        <v>740379.77877078811</v>
      </c>
    </row>
    <row r="298" spans="1:7" x14ac:dyDescent="0.25">
      <c r="A298" s="53">
        <f>'A) Base RI'!A294</f>
        <v>5902</v>
      </c>
      <c r="B298" s="116" t="str">
        <f>'A) Base RI'!B294</f>
        <v>Belmont-sur-Yverdon</v>
      </c>
      <c r="C298" s="10">
        <f>'A) Base RI'!AN294</f>
        <v>368</v>
      </c>
      <c r="D298" s="34">
        <f>'C) Prél. conj.'!H292</f>
        <v>8227.2999999999993</v>
      </c>
      <c r="E298" s="15">
        <f>'D) Ecrêtage'!L292</f>
        <v>0</v>
      </c>
      <c r="F298" s="44">
        <f>$F$10*'D) Ecrêtage'!M292</f>
        <v>135310.8862594552</v>
      </c>
      <c r="G298" s="67">
        <f t="shared" si="5"/>
        <v>143538.18625945519</v>
      </c>
    </row>
    <row r="299" spans="1:7" x14ac:dyDescent="0.25">
      <c r="A299" s="53">
        <f>'A) Base RI'!A295</f>
        <v>5903</v>
      </c>
      <c r="B299" s="116" t="str">
        <f>'A) Base RI'!B295</f>
        <v>Bioley-Magnoux</v>
      </c>
      <c r="C299" s="10">
        <f>'A) Base RI'!AN295</f>
        <v>230</v>
      </c>
      <c r="D299" s="34">
        <f>'C) Prél. conj.'!H293</f>
        <v>12949.61</v>
      </c>
      <c r="E299" s="15">
        <f>'D) Ecrêtage'!L293</f>
        <v>0</v>
      </c>
      <c r="F299" s="44">
        <f>$F$10*'D) Ecrêtage'!M293</f>
        <v>87310.756147003965</v>
      </c>
      <c r="G299" s="67">
        <f t="shared" si="5"/>
        <v>100260.36614700397</v>
      </c>
    </row>
    <row r="300" spans="1:7" x14ac:dyDescent="0.25">
      <c r="A300" s="53">
        <f>'A) Base RI'!A296</f>
        <v>5904</v>
      </c>
      <c r="B300" s="116" t="str">
        <f>'A) Base RI'!B296</f>
        <v>Chamblon</v>
      </c>
      <c r="C300" s="10">
        <f>'A) Base RI'!AN296</f>
        <v>548</v>
      </c>
      <c r="D300" s="34">
        <f>'C) Prél. conj.'!H294</f>
        <v>33879.820000000007</v>
      </c>
      <c r="E300" s="15">
        <f>'D) Ecrêtage'!L294</f>
        <v>0</v>
      </c>
      <c r="F300" s="44">
        <f>$F$10*'D) Ecrêtage'!M294</f>
        <v>336021.05792958359</v>
      </c>
      <c r="G300" s="67">
        <f t="shared" si="5"/>
        <v>369900.8779295836</v>
      </c>
    </row>
    <row r="301" spans="1:7" x14ac:dyDescent="0.25">
      <c r="A301" s="53">
        <f>'A) Base RI'!A297</f>
        <v>5905</v>
      </c>
      <c r="B301" s="116" t="str">
        <f>'A) Base RI'!B297</f>
        <v>Champvent</v>
      </c>
      <c r="C301" s="10">
        <f>'A) Base RI'!AN297</f>
        <v>652</v>
      </c>
      <c r="D301" s="34">
        <f>'C) Prél. conj.'!H295</f>
        <v>132936.625</v>
      </c>
      <c r="E301" s="15">
        <f>'D) Ecrêtage'!L295</f>
        <v>0</v>
      </c>
      <c r="F301" s="44">
        <f>$F$10*'D) Ecrêtage'!M295</f>
        <v>308521.28310924215</v>
      </c>
      <c r="G301" s="67">
        <f t="shared" si="5"/>
        <v>441457.90810924215</v>
      </c>
    </row>
    <row r="302" spans="1:7" x14ac:dyDescent="0.25">
      <c r="A302" s="53">
        <f>'A) Base RI'!A298</f>
        <v>5907</v>
      </c>
      <c r="B302" s="116" t="str">
        <f>'A) Base RI'!B298</f>
        <v>Chavannes-le-Chêne</v>
      </c>
      <c r="C302" s="10">
        <f>'A) Base RI'!AN298</f>
        <v>300</v>
      </c>
      <c r="D302" s="34">
        <f>'C) Prél. conj.'!H296</f>
        <v>27228.985000000001</v>
      </c>
      <c r="E302" s="15">
        <f>'D) Ecrêtage'!L296</f>
        <v>0</v>
      </c>
      <c r="F302" s="44">
        <f>$F$10*'D) Ecrêtage'!M296</f>
        <v>129330.90179271331</v>
      </c>
      <c r="G302" s="67">
        <f t="shared" si="5"/>
        <v>156559.88679271331</v>
      </c>
    </row>
    <row r="303" spans="1:7" x14ac:dyDescent="0.25">
      <c r="A303" s="53">
        <f>'A) Base RI'!A299</f>
        <v>5908</v>
      </c>
      <c r="B303" s="116" t="str">
        <f>'A) Base RI'!B299</f>
        <v>Chêne-Pâquier</v>
      </c>
      <c r="C303" s="10">
        <f>'A) Base RI'!AN299</f>
        <v>140</v>
      </c>
      <c r="D303" s="34">
        <f>'C) Prél. conj.'!H297</f>
        <v>5983</v>
      </c>
      <c r="E303" s="15">
        <f>'D) Ecrêtage'!L297</f>
        <v>0</v>
      </c>
      <c r="F303" s="44">
        <f>$F$10*'D) Ecrêtage'!M297</f>
        <v>42748.722189448061</v>
      </c>
      <c r="G303" s="67">
        <f t="shared" si="5"/>
        <v>48731.722189448061</v>
      </c>
    </row>
    <row r="304" spans="1:7" x14ac:dyDescent="0.25">
      <c r="A304" s="53">
        <f>'A) Base RI'!A300</f>
        <v>5909</v>
      </c>
      <c r="B304" s="116" t="str">
        <f>'A) Base RI'!B300</f>
        <v>Cheseaux-Noréaz</v>
      </c>
      <c r="C304" s="10">
        <f>'A) Base RI'!AN300</f>
        <v>670</v>
      </c>
      <c r="D304" s="34">
        <f>'C) Prél. conj.'!H298</f>
        <v>51650.130000000005</v>
      </c>
      <c r="E304" s="15">
        <f>'D) Ecrêtage'!L298</f>
        <v>0</v>
      </c>
      <c r="F304" s="44">
        <f>$F$10*'D) Ecrêtage'!M298</f>
        <v>363254.39900509251</v>
      </c>
      <c r="G304" s="67">
        <f t="shared" si="5"/>
        <v>414904.52900509251</v>
      </c>
    </row>
    <row r="305" spans="1:7" x14ac:dyDescent="0.25">
      <c r="A305" s="53">
        <f>'A) Base RI'!A301</f>
        <v>5910</v>
      </c>
      <c r="B305" s="116" t="str">
        <f>'A) Base RI'!B301</f>
        <v>Cronay</v>
      </c>
      <c r="C305" s="10">
        <f>'A) Base RI'!AN301</f>
        <v>380</v>
      </c>
      <c r="D305" s="34">
        <f>'C) Prél. conj.'!H299</f>
        <v>18777.7</v>
      </c>
      <c r="E305" s="15">
        <f>'D) Ecrêtage'!L299</f>
        <v>0</v>
      </c>
      <c r="F305" s="44">
        <f>$F$10*'D) Ecrêtage'!M299</f>
        <v>148070.75003250496</v>
      </c>
      <c r="G305" s="67">
        <f t="shared" si="5"/>
        <v>166848.45003250497</v>
      </c>
    </row>
    <row r="306" spans="1:7" x14ac:dyDescent="0.25">
      <c r="A306" s="53">
        <f>'A) Base RI'!A302</f>
        <v>5911</v>
      </c>
      <c r="B306" s="116" t="str">
        <f>'A) Base RI'!B302</f>
        <v>Cuarny</v>
      </c>
      <c r="C306" s="10">
        <f>'A) Base RI'!AN302</f>
        <v>237</v>
      </c>
      <c r="D306" s="34">
        <f>'C) Prél. conj.'!H300</f>
        <v>1040.875</v>
      </c>
      <c r="E306" s="15">
        <f>'D) Ecrêtage'!L300</f>
        <v>0</v>
      </c>
      <c r="F306" s="44">
        <f>$F$10*'D) Ecrêtage'!M300</f>
        <v>113525.87644681893</v>
      </c>
      <c r="G306" s="67">
        <f t="shared" si="5"/>
        <v>114566.75144681893</v>
      </c>
    </row>
    <row r="307" spans="1:7" x14ac:dyDescent="0.25">
      <c r="A307" s="53">
        <f>'A) Base RI'!A303</f>
        <v>5912</v>
      </c>
      <c r="B307" s="116" t="str">
        <f>'A) Base RI'!B303</f>
        <v>Démoret</v>
      </c>
      <c r="C307" s="10">
        <f>'A) Base RI'!AN303</f>
        <v>126</v>
      </c>
      <c r="D307" s="34">
        <f>'C) Prél. conj.'!H301</f>
        <v>5009.8500000000004</v>
      </c>
      <c r="E307" s="15">
        <f>'D) Ecrêtage'!L301</f>
        <v>0</v>
      </c>
      <c r="F307" s="44">
        <f>$F$10*'D) Ecrêtage'!M301</f>
        <v>40500.548561168383</v>
      </c>
      <c r="G307" s="67">
        <f t="shared" si="5"/>
        <v>45510.398561168382</v>
      </c>
    </row>
    <row r="308" spans="1:7" x14ac:dyDescent="0.25">
      <c r="A308" s="53">
        <f>'A) Base RI'!A304</f>
        <v>5913</v>
      </c>
      <c r="B308" s="116" t="str">
        <f>'A) Base RI'!B304</f>
        <v>Donneloye</v>
      </c>
      <c r="C308" s="10">
        <f>'A) Base RI'!AN304</f>
        <v>779</v>
      </c>
      <c r="D308" s="34">
        <f>'C) Prél. conj.'!H302</f>
        <v>65885.044999999998</v>
      </c>
      <c r="E308" s="15">
        <f>'D) Ecrêtage'!L302</f>
        <v>0</v>
      </c>
      <c r="F308" s="44">
        <f>$F$10*'D) Ecrêtage'!M302</f>
        <v>308305.121213337</v>
      </c>
      <c r="G308" s="67">
        <f t="shared" si="5"/>
        <v>374190.16621333698</v>
      </c>
    </row>
    <row r="309" spans="1:7" x14ac:dyDescent="0.25">
      <c r="A309" s="53">
        <f>'A) Base RI'!A305</f>
        <v>5914</v>
      </c>
      <c r="B309" s="116" t="str">
        <f>'A) Base RI'!B305</f>
        <v>Ependes</v>
      </c>
      <c r="C309" s="10">
        <f>'A) Base RI'!AN305</f>
        <v>350</v>
      </c>
      <c r="D309" s="34">
        <f>'C) Prél. conj.'!H303</f>
        <v>7073.875</v>
      </c>
      <c r="E309" s="15">
        <f>'D) Ecrêtage'!L303</f>
        <v>0</v>
      </c>
      <c r="F309" s="44">
        <f>$F$10*'D) Ecrêtage'!M303</f>
        <v>129605.19911250714</v>
      </c>
      <c r="G309" s="67">
        <f t="shared" si="5"/>
        <v>136679.07411250714</v>
      </c>
    </row>
    <row r="310" spans="1:7" x14ac:dyDescent="0.25">
      <c r="A310" s="53">
        <f>'A) Base RI'!A306</f>
        <v>5915</v>
      </c>
      <c r="B310" s="116" t="str">
        <f>'A) Base RI'!B306</f>
        <v>Essert-Pittet</v>
      </c>
      <c r="C310" s="10">
        <f>'A) Base RI'!AN306</f>
        <v>170</v>
      </c>
      <c r="D310" s="34">
        <f>'C) Prél. conj.'!H304</f>
        <v>63.15</v>
      </c>
      <c r="E310" s="15">
        <f>'D) Ecrêtage'!L304</f>
        <v>0</v>
      </c>
      <c r="F310" s="44">
        <f>$F$10*'D) Ecrêtage'!M304</f>
        <v>56610.357962618022</v>
      </c>
      <c r="G310" s="67">
        <f t="shared" si="5"/>
        <v>56673.507962618023</v>
      </c>
    </row>
    <row r="311" spans="1:7" x14ac:dyDescent="0.25">
      <c r="A311" s="53">
        <f>'A) Base RI'!A307</f>
        <v>5919</v>
      </c>
      <c r="B311" s="116" t="str">
        <f>'A) Base RI'!B307</f>
        <v>Mathod</v>
      </c>
      <c r="C311" s="10">
        <f>'A) Base RI'!AN307</f>
        <v>614</v>
      </c>
      <c r="D311" s="34">
        <f>'C) Prél. conj.'!H305</f>
        <v>85624.265000000014</v>
      </c>
      <c r="E311" s="15">
        <f>'D) Ecrêtage'!L305</f>
        <v>0</v>
      </c>
      <c r="F311" s="44">
        <f>$F$10*'D) Ecrêtage'!M305</f>
        <v>247592.58041399074</v>
      </c>
      <c r="G311" s="67">
        <f t="shared" si="5"/>
        <v>333216.84541399078</v>
      </c>
    </row>
    <row r="312" spans="1:7" x14ac:dyDescent="0.25">
      <c r="A312" s="53">
        <f>'A) Base RI'!A308</f>
        <v>5921</v>
      </c>
      <c r="B312" s="116" t="str">
        <f>'A) Base RI'!B308</f>
        <v>Molondin</v>
      </c>
      <c r="C312" s="10">
        <f>'A) Base RI'!AN308</f>
        <v>218</v>
      </c>
      <c r="D312" s="34">
        <f>'C) Prél. conj.'!H306</f>
        <v>17582.224999999999</v>
      </c>
      <c r="E312" s="15">
        <f>'D) Ecrêtage'!L306</f>
        <v>0</v>
      </c>
      <c r="F312" s="44">
        <f>$F$10*'D) Ecrêtage'!M306</f>
        <v>80919.597249687053</v>
      </c>
      <c r="G312" s="67">
        <f t="shared" si="5"/>
        <v>98501.822249687044</v>
      </c>
    </row>
    <row r="313" spans="1:7" x14ac:dyDescent="0.25">
      <c r="A313" s="53">
        <f>'A) Base RI'!A309</f>
        <v>5922</v>
      </c>
      <c r="B313" s="116" t="str">
        <f>'A) Base RI'!B309</f>
        <v>Montagny-près-Yverdon</v>
      </c>
      <c r="C313" s="10">
        <f>'A) Base RI'!AN309</f>
        <v>733</v>
      </c>
      <c r="D313" s="34">
        <f>'C) Prél. conj.'!H307</f>
        <v>64743.45</v>
      </c>
      <c r="E313" s="15">
        <f>'D) Ecrêtage'!L307</f>
        <v>85986.292175713897</v>
      </c>
      <c r="F313" s="44">
        <f>$F$10*'D) Ecrêtage'!M307</f>
        <v>639645.6206576972</v>
      </c>
      <c r="G313" s="67">
        <f t="shared" si="5"/>
        <v>790375.36283341108</v>
      </c>
    </row>
    <row r="314" spans="1:7" x14ac:dyDescent="0.25">
      <c r="A314" s="53">
        <f>'A) Base RI'!A310</f>
        <v>5923</v>
      </c>
      <c r="B314" s="116" t="str">
        <f>'A) Base RI'!B310</f>
        <v>Oppens</v>
      </c>
      <c r="C314" s="10">
        <f>'A) Base RI'!AN310</f>
        <v>182</v>
      </c>
      <c r="D314" s="34">
        <f>'C) Prél. conj.'!H308</f>
        <v>31027.084999999999</v>
      </c>
      <c r="E314" s="15">
        <f>'D) Ecrêtage'!L308</f>
        <v>0</v>
      </c>
      <c r="F314" s="44">
        <f>$F$10*'D) Ecrêtage'!M308</f>
        <v>71577.440123567285</v>
      </c>
      <c r="G314" s="67">
        <f t="shared" si="5"/>
        <v>102604.52512356729</v>
      </c>
    </row>
    <row r="315" spans="1:7" x14ac:dyDescent="0.25">
      <c r="A315" s="53">
        <f>'A) Base RI'!A311</f>
        <v>5924</v>
      </c>
      <c r="B315" s="116" t="str">
        <f>'A) Base RI'!B311</f>
        <v>Orges</v>
      </c>
      <c r="C315" s="10">
        <f>'A) Base RI'!AN311</f>
        <v>292</v>
      </c>
      <c r="D315" s="34">
        <f>'C) Prél. conj.'!H309</f>
        <v>19091.244999999999</v>
      </c>
      <c r="E315" s="15">
        <f>'D) Ecrêtage'!L309</f>
        <v>0</v>
      </c>
      <c r="F315" s="44">
        <f>$F$10*'D) Ecrêtage'!M309</f>
        <v>138966.78191959253</v>
      </c>
      <c r="G315" s="67">
        <f t="shared" si="5"/>
        <v>158058.02691959252</v>
      </c>
    </row>
    <row r="316" spans="1:7" x14ac:dyDescent="0.25">
      <c r="A316" s="53">
        <f>'A) Base RI'!A312</f>
        <v>5925</v>
      </c>
      <c r="B316" s="116" t="str">
        <f>'A) Base RI'!B312</f>
        <v>Orzens</v>
      </c>
      <c r="C316" s="10">
        <f>'A) Base RI'!AN312</f>
        <v>200</v>
      </c>
      <c r="D316" s="34">
        <f>'C) Prél. conj.'!H310</f>
        <v>12069.105</v>
      </c>
      <c r="E316" s="15">
        <f>'D) Ecrêtage'!L310</f>
        <v>0</v>
      </c>
      <c r="F316" s="44">
        <f>$F$10*'D) Ecrêtage'!M310</f>
        <v>71495.622578737326</v>
      </c>
      <c r="G316" s="67">
        <f t="shared" si="5"/>
        <v>83564.727578737322</v>
      </c>
    </row>
    <row r="317" spans="1:7" x14ac:dyDescent="0.25">
      <c r="A317" s="53">
        <f>'A) Base RI'!A313</f>
        <v>5926</v>
      </c>
      <c r="B317" s="116" t="str">
        <f>'A) Base RI'!B313</f>
        <v>Pomy</v>
      </c>
      <c r="C317" s="10">
        <f>'A) Base RI'!AN313</f>
        <v>760</v>
      </c>
      <c r="D317" s="34">
        <f>'C) Prél. conj.'!H311</f>
        <v>71840.260000000009</v>
      </c>
      <c r="E317" s="15">
        <f>'D) Ecrêtage'!L311</f>
        <v>0</v>
      </c>
      <c r="F317" s="44">
        <f>$F$10*'D) Ecrêtage'!M311</f>
        <v>333974.14844017086</v>
      </c>
      <c r="G317" s="67">
        <f t="shared" si="5"/>
        <v>405814.40844017087</v>
      </c>
    </row>
    <row r="318" spans="1:7" x14ac:dyDescent="0.25">
      <c r="A318" s="53">
        <f>'A) Base RI'!A314</f>
        <v>5928</v>
      </c>
      <c r="B318" s="116" t="str">
        <f>'A) Base RI'!B314</f>
        <v>Rovray</v>
      </c>
      <c r="C318" s="10">
        <f>'A) Base RI'!AN314</f>
        <v>172</v>
      </c>
      <c r="D318" s="34">
        <f>'C) Prél. conj.'!H312</f>
        <v>9351.9500000000007</v>
      </c>
      <c r="E318" s="15">
        <f>'D) Ecrêtage'!L312</f>
        <v>0</v>
      </c>
      <c r="F318" s="44">
        <f>$F$10*'D) Ecrêtage'!M312</f>
        <v>65282.08880568813</v>
      </c>
      <c r="G318" s="67">
        <f t="shared" si="5"/>
        <v>74634.038805688135</v>
      </c>
    </row>
    <row r="319" spans="1:7" x14ac:dyDescent="0.25">
      <c r="A319" s="53">
        <f>'A) Base RI'!A315</f>
        <v>5929</v>
      </c>
      <c r="B319" s="116" t="str">
        <f>'A) Base RI'!B315</f>
        <v>Suchy</v>
      </c>
      <c r="C319" s="10">
        <f>'A) Base RI'!AN315</f>
        <v>606</v>
      </c>
      <c r="D319" s="34">
        <f>'C) Prél. conj.'!H313</f>
        <v>28317.235000000001</v>
      </c>
      <c r="E319" s="15">
        <f>'D) Ecrêtage'!L313</f>
        <v>0</v>
      </c>
      <c r="F319" s="44">
        <f>$F$10*'D) Ecrêtage'!M313</f>
        <v>243191.92359155905</v>
      </c>
      <c r="G319" s="67">
        <f t="shared" si="5"/>
        <v>271509.15859155904</v>
      </c>
    </row>
    <row r="320" spans="1:7" x14ac:dyDescent="0.25">
      <c r="A320" s="53">
        <f>'A) Base RI'!A316</f>
        <v>5930</v>
      </c>
      <c r="B320" s="116" t="str">
        <f>'A) Base RI'!B316</f>
        <v>Suscévaz</v>
      </c>
      <c r="C320" s="10">
        <f>'A) Base RI'!AN316</f>
        <v>202</v>
      </c>
      <c r="D320" s="34">
        <f>'C) Prél. conj.'!H314</f>
        <v>12969.630000000001</v>
      </c>
      <c r="E320" s="15">
        <f>'D) Ecrêtage'!L314</f>
        <v>0</v>
      </c>
      <c r="F320" s="44">
        <f>$F$10*'D) Ecrêtage'!M314</f>
        <v>71658.107777063298</v>
      </c>
      <c r="G320" s="67">
        <f t="shared" si="5"/>
        <v>84627.737777063303</v>
      </c>
    </row>
    <row r="321" spans="1:13" x14ac:dyDescent="0.25">
      <c r="A321" s="53">
        <f>'A) Base RI'!A317</f>
        <v>5931</v>
      </c>
      <c r="B321" s="116" t="str">
        <f>'A) Base RI'!B317</f>
        <v>Treycovagnes</v>
      </c>
      <c r="C321" s="10">
        <f>'A) Base RI'!AN317</f>
        <v>446</v>
      </c>
      <c r="D321" s="34">
        <f>'C) Prél. conj.'!H315</f>
        <v>13962.455</v>
      </c>
      <c r="E321" s="15">
        <f>'D) Ecrêtage'!L315</f>
        <v>0</v>
      </c>
      <c r="F321" s="44">
        <f>$F$10*'D) Ecrêtage'!M315</f>
        <v>240038.8602966789</v>
      </c>
      <c r="G321" s="67">
        <f t="shared" si="5"/>
        <v>254001.31529667889</v>
      </c>
    </row>
    <row r="322" spans="1:13" x14ac:dyDescent="0.25">
      <c r="A322" s="53">
        <f>'A) Base RI'!A318</f>
        <v>5932</v>
      </c>
      <c r="B322" s="116" t="str">
        <f>'A) Base RI'!B318</f>
        <v>Ursins</v>
      </c>
      <c r="C322" s="10">
        <f>'A) Base RI'!AN318</f>
        <v>210</v>
      </c>
      <c r="D322" s="34">
        <f>'C) Prél. conj.'!H316</f>
        <v>8642.7000000000007</v>
      </c>
      <c r="E322" s="15">
        <f>'D) Ecrêtage'!L316</f>
        <v>0</v>
      </c>
      <c r="F322" s="44">
        <f>$F$10*'D) Ecrêtage'!M316</f>
        <v>93357.822877758139</v>
      </c>
      <c r="G322" s="67">
        <f t="shared" si="5"/>
        <v>102000.52287775814</v>
      </c>
    </row>
    <row r="323" spans="1:13" x14ac:dyDescent="0.25">
      <c r="A323" s="53">
        <f>'A) Base RI'!A319</f>
        <v>5933</v>
      </c>
      <c r="B323" s="116" t="str">
        <f>'A) Base RI'!B319</f>
        <v>Valeyres-sous-Montagny</v>
      </c>
      <c r="C323" s="10">
        <f>'A) Base RI'!AN319</f>
        <v>689</v>
      </c>
      <c r="D323" s="34">
        <f>'C) Prél. conj.'!H317</f>
        <v>46982.324999999997</v>
      </c>
      <c r="E323" s="15">
        <f>'D) Ecrêtage'!L317</f>
        <v>0</v>
      </c>
      <c r="F323" s="44">
        <f>$F$10*'D) Ecrêtage'!M317</f>
        <v>287107.13541869592</v>
      </c>
      <c r="G323" s="67">
        <f t="shared" si="5"/>
        <v>334089.46041869593</v>
      </c>
    </row>
    <row r="324" spans="1:13" x14ac:dyDescent="0.25">
      <c r="A324" s="53">
        <f>'A) Base RI'!A320</f>
        <v>5934</v>
      </c>
      <c r="B324" s="116" t="str">
        <f>'A) Base RI'!B320</f>
        <v>Valeyres-sous-Ursins</v>
      </c>
      <c r="C324" s="10">
        <f>'A) Base RI'!AN320</f>
        <v>247</v>
      </c>
      <c r="D324" s="34">
        <f>'C) Prél. conj.'!H318</f>
        <v>18062.47</v>
      </c>
      <c r="E324" s="15">
        <f>'D) Ecrêtage'!L318</f>
        <v>0</v>
      </c>
      <c r="F324" s="44">
        <f>$F$10*'D) Ecrêtage'!M318</f>
        <v>100540.44121872519</v>
      </c>
      <c r="G324" s="67">
        <f t="shared" si="5"/>
        <v>118602.91121872519</v>
      </c>
    </row>
    <row r="325" spans="1:13" x14ac:dyDescent="0.25">
      <c r="A325" s="53">
        <f>'A) Base RI'!A321</f>
        <v>5935</v>
      </c>
      <c r="B325" s="116" t="str">
        <f>'A) Base RI'!B321</f>
        <v>Villars-Epeney</v>
      </c>
      <c r="C325" s="10">
        <f>'A) Base RI'!AN321</f>
        <v>105</v>
      </c>
      <c r="D325" s="34">
        <f>'C) Prél. conj.'!H319</f>
        <v>10062.025</v>
      </c>
      <c r="E325" s="15">
        <f>'D) Ecrêtage'!L319</f>
        <v>0</v>
      </c>
      <c r="F325" s="44">
        <f>$F$10*'D) Ecrêtage'!M319</f>
        <v>62362.503688540688</v>
      </c>
      <c r="G325" s="67">
        <f t="shared" si="5"/>
        <v>72424.528688540682</v>
      </c>
    </row>
    <row r="326" spans="1:13" x14ac:dyDescent="0.25">
      <c r="A326" s="53">
        <f>'A) Base RI'!A322</f>
        <v>5937</v>
      </c>
      <c r="B326" s="116" t="str">
        <f>'A) Base RI'!B322</f>
        <v>Vugelles-La Mothe</v>
      </c>
      <c r="C326" s="10">
        <f>'A) Base RI'!AN322</f>
        <v>134</v>
      </c>
      <c r="D326" s="34">
        <f>'C) Prél. conj.'!H320</f>
        <v>7328.1750000000002</v>
      </c>
      <c r="E326" s="15">
        <f>'D) Ecrêtage'!L320</f>
        <v>0</v>
      </c>
      <c r="F326" s="44">
        <f>$F$10*'D) Ecrêtage'!M320</f>
        <v>33332.006834418731</v>
      </c>
      <c r="G326" s="67">
        <f t="shared" si="5"/>
        <v>40660.181834418734</v>
      </c>
    </row>
    <row r="327" spans="1:13" x14ac:dyDescent="0.25">
      <c r="A327" s="53">
        <f>'A) Base RI'!A323</f>
        <v>5938</v>
      </c>
      <c r="B327" s="116" t="str">
        <f>'A) Base RI'!B323</f>
        <v>Yverdon-les-Bains</v>
      </c>
      <c r="C327" s="10">
        <f>'A) Base RI'!AN323</f>
        <v>29570</v>
      </c>
      <c r="D327" s="34">
        <f>'C) Prél. conj.'!H321</f>
        <v>3033962.34</v>
      </c>
      <c r="E327" s="15">
        <f>'D) Ecrêtage'!L321</f>
        <v>0</v>
      </c>
      <c r="F327" s="44">
        <f>$F$10*'D) Ecrêtage'!M321</f>
        <v>11867122.702176116</v>
      </c>
      <c r="G327" s="67">
        <f t="shared" si="5"/>
        <v>14901085.042176116</v>
      </c>
    </row>
    <row r="328" spans="1:13" x14ac:dyDescent="0.25">
      <c r="A328" s="55">
        <f>'A) Base RI'!A324</f>
        <v>5939</v>
      </c>
      <c r="B328" s="117" t="str">
        <f>'A) Base RI'!B324</f>
        <v>Yvonand</v>
      </c>
      <c r="C328" s="20">
        <f>'A) Base RI'!AN324</f>
        <v>3236</v>
      </c>
      <c r="D328" s="34">
        <f>'C) Prél. conj.'!H322</f>
        <v>446911.73499999993</v>
      </c>
      <c r="E328" s="96">
        <f>'D) Ecrêtage'!L322</f>
        <v>0</v>
      </c>
      <c r="F328" s="95">
        <f>$F$10*'D) Ecrêtage'!M322</f>
        <v>1294298.8841769039</v>
      </c>
      <c r="G328" s="141">
        <f t="shared" si="5"/>
        <v>1741210.6191769037</v>
      </c>
    </row>
    <row r="329" spans="1:13" x14ac:dyDescent="0.25">
      <c r="A329" s="33"/>
      <c r="B329" s="68">
        <f>COUNTA(B11:B328)</f>
        <v>318</v>
      </c>
      <c r="C329" s="95">
        <f>SUM(C11:C328)</f>
        <v>778251</v>
      </c>
      <c r="D329" s="11">
        <f>SUM(D11:D328)</f>
        <v>123522825.06499998</v>
      </c>
      <c r="E329" s="98">
        <f>SUM(E11:E328)</f>
        <v>113838849.30813636</v>
      </c>
      <c r="F329" s="97">
        <f>SUM(F11:F328)</f>
        <v>503239868.62686408</v>
      </c>
      <c r="G329" s="40">
        <f>SUM(G11:G328)</f>
        <v>740601543.0000006</v>
      </c>
    </row>
    <row r="330" spans="1:13" x14ac:dyDescent="0.25">
      <c r="C330" s="99"/>
      <c r="D330" s="99"/>
      <c r="E330" s="99"/>
      <c r="F330" s="99"/>
    </row>
    <row r="331" spans="1:13" x14ac:dyDescent="0.25">
      <c r="A331" s="100"/>
      <c r="B331" s="101"/>
      <c r="C331" s="101"/>
      <c r="D331" s="48"/>
      <c r="E331" s="102"/>
      <c r="F331" s="17"/>
      <c r="G331" s="17"/>
      <c r="H331" s="17"/>
      <c r="I331" s="17"/>
      <c r="J331" s="17"/>
      <c r="M331" s="17"/>
    </row>
    <row r="332" spans="1:13" x14ac:dyDescent="0.25">
      <c r="F332" s="100"/>
      <c r="G332" s="100"/>
      <c r="H332" s="100"/>
      <c r="I332" s="100"/>
      <c r="J332" s="100"/>
      <c r="K332" s="100"/>
      <c r="L332" s="101"/>
      <c r="M332" s="100"/>
    </row>
    <row r="333" spans="1:13" x14ac:dyDescent="0.25">
      <c r="F333" s="101"/>
      <c r="G333" s="100"/>
      <c r="H333" s="100"/>
      <c r="I333" s="100"/>
      <c r="J333" s="100"/>
      <c r="K333" s="100"/>
      <c r="L333" s="100"/>
      <c r="M333" s="100"/>
    </row>
    <row r="334" spans="1:13" x14ac:dyDescent="0.25">
      <c r="F334" s="101"/>
      <c r="G334" s="100"/>
      <c r="H334" s="100"/>
      <c r="I334" s="100"/>
      <c r="M334" s="100"/>
    </row>
    <row r="335" spans="1:13" x14ac:dyDescent="0.25">
      <c r="F335" s="101"/>
      <c r="G335" s="100"/>
      <c r="H335" s="100"/>
      <c r="I335" s="100"/>
      <c r="M335" s="100"/>
    </row>
    <row r="336" spans="1:13" x14ac:dyDescent="0.25">
      <c r="F336" s="113"/>
      <c r="G336" s="100"/>
      <c r="H336" s="100"/>
      <c r="I336" s="100"/>
      <c r="M336" s="100"/>
    </row>
    <row r="337" spans="3:13" x14ac:dyDescent="0.25">
      <c r="D337" s="19"/>
      <c r="E337" s="100"/>
      <c r="F337" s="100"/>
      <c r="G337" s="100"/>
      <c r="H337" s="100"/>
      <c r="I337" s="100"/>
      <c r="J337" s="100"/>
      <c r="K337" s="100"/>
      <c r="L337" s="100"/>
      <c r="M337" s="100"/>
    </row>
    <row r="338" spans="3:13" x14ac:dyDescent="0.25">
      <c r="C338" s="72"/>
      <c r="E338" s="100"/>
      <c r="F338" s="100"/>
      <c r="G338" s="100"/>
      <c r="H338" s="100"/>
      <c r="I338" s="100"/>
      <c r="J338" s="100"/>
      <c r="K338" s="100"/>
      <c r="L338" s="100"/>
      <c r="M338" s="100"/>
    </row>
    <row r="339" spans="3:13" x14ac:dyDescent="0.25">
      <c r="E339" s="100"/>
      <c r="F339" s="100"/>
      <c r="G339" s="100"/>
      <c r="H339" s="100"/>
      <c r="I339" s="100"/>
      <c r="J339" s="100"/>
      <c r="M339" s="100"/>
    </row>
    <row r="340" spans="3:13" x14ac:dyDescent="0.25">
      <c r="E340" s="100"/>
      <c r="F340" s="100"/>
      <c r="G340" s="100"/>
      <c r="H340" s="100"/>
      <c r="I340" s="100"/>
      <c r="J340" s="100"/>
      <c r="M340" s="100"/>
    </row>
    <row r="341" spans="3:13" x14ac:dyDescent="0.25">
      <c r="E341" s="100"/>
      <c r="F341" s="100"/>
      <c r="G341" s="100"/>
      <c r="H341" s="100"/>
      <c r="I341" s="100"/>
      <c r="J341" s="100"/>
      <c r="M341" s="100"/>
    </row>
  </sheetData>
  <mergeCells count="7">
    <mergeCell ref="A3:C3"/>
    <mergeCell ref="A9:A10"/>
    <mergeCell ref="G9:G10"/>
    <mergeCell ref="E9:E10"/>
    <mergeCell ref="D9:D10"/>
    <mergeCell ref="C9:C10"/>
    <mergeCell ref="B9:B10"/>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37"/>
  <sheetViews>
    <sheetView workbookViewId="0"/>
  </sheetViews>
  <sheetFormatPr baseColWidth="10" defaultColWidth="11" defaultRowHeight="15" x14ac:dyDescent="0.25"/>
  <cols>
    <col min="1" max="1" width="7.25" style="14" customWidth="1"/>
    <col min="2" max="2" width="17.375" style="14" bestFit="1" customWidth="1"/>
    <col min="3" max="3" width="8" style="14" bestFit="1" customWidth="1"/>
    <col min="4" max="9" width="11" style="14"/>
    <col min="10" max="10" width="8.25" style="14" bestFit="1" customWidth="1"/>
    <col min="11" max="11" width="13" style="14" bestFit="1" customWidth="1"/>
    <col min="12" max="14" width="11.125" style="14" bestFit="1" customWidth="1"/>
    <col min="15" max="17" width="11.25" style="14" bestFit="1" customWidth="1"/>
    <col min="18" max="18" width="11.125" style="14" bestFit="1" customWidth="1"/>
    <col min="19" max="16384" width="11" style="14"/>
  </cols>
  <sheetData>
    <row r="1" spans="1:12" ht="21" x14ac:dyDescent="0.25">
      <c r="A1" s="57" t="s">
        <v>515</v>
      </c>
      <c r="B1" s="45"/>
      <c r="C1" s="92"/>
    </row>
    <row r="2" spans="1:12" x14ac:dyDescent="0.25">
      <c r="A2" s="30"/>
      <c r="B2" s="60"/>
    </row>
    <row r="3" spans="1:12" x14ac:dyDescent="0.25">
      <c r="A3" s="30"/>
      <c r="B3" s="60"/>
      <c r="C3" s="583" t="s">
        <v>351</v>
      </c>
      <c r="D3" s="584"/>
      <c r="E3" s="584"/>
      <c r="F3" s="584"/>
      <c r="G3" s="584"/>
      <c r="H3" s="584"/>
      <c r="I3" s="584"/>
      <c r="J3" s="585"/>
    </row>
    <row r="4" spans="1:12" x14ac:dyDescent="0.25">
      <c r="C4" s="148" t="s">
        <v>350</v>
      </c>
      <c r="D4" s="142">
        <f>Paramètres!B20</f>
        <v>0</v>
      </c>
      <c r="E4" s="142">
        <f>Paramètres!C20</f>
        <v>1000</v>
      </c>
      <c r="F4" s="142">
        <f>Paramètres!D20</f>
        <v>3000</v>
      </c>
      <c r="G4" s="142">
        <f>Paramètres!E20</f>
        <v>5000</v>
      </c>
      <c r="H4" s="142">
        <f>Paramètres!F20</f>
        <v>9000</v>
      </c>
      <c r="I4" s="142">
        <f>Paramètres!G20</f>
        <v>12000</v>
      </c>
      <c r="J4" s="142">
        <f>Paramètres!H20</f>
        <v>15000</v>
      </c>
    </row>
    <row r="5" spans="1:12" x14ac:dyDescent="0.25">
      <c r="C5" s="149" t="s">
        <v>352</v>
      </c>
      <c r="D5" s="142">
        <f>Paramètres!B21</f>
        <v>1000</v>
      </c>
      <c r="E5" s="142">
        <f>Paramètres!C21</f>
        <v>3000</v>
      </c>
      <c r="F5" s="142">
        <f>Paramètres!D21</f>
        <v>5000</v>
      </c>
      <c r="G5" s="142">
        <f>Paramètres!E21</f>
        <v>9000</v>
      </c>
      <c r="H5" s="142">
        <f>Paramètres!F21</f>
        <v>12000</v>
      </c>
      <c r="I5" s="142">
        <f>Paramètres!G21</f>
        <v>15000</v>
      </c>
      <c r="J5" s="142"/>
    </row>
    <row r="6" spans="1:12" ht="30" customHeight="1" x14ac:dyDescent="0.25">
      <c r="A6" s="551" t="s">
        <v>50</v>
      </c>
      <c r="B6" s="551" t="s">
        <v>120</v>
      </c>
      <c r="C6" s="551" t="s">
        <v>347</v>
      </c>
      <c r="D6" s="572" t="s">
        <v>353</v>
      </c>
      <c r="E6" s="573"/>
      <c r="F6" s="573"/>
      <c r="G6" s="573"/>
      <c r="H6" s="573"/>
      <c r="I6" s="573"/>
      <c r="J6" s="574"/>
      <c r="K6" s="551" t="s">
        <v>338</v>
      </c>
    </row>
    <row r="7" spans="1:12" x14ac:dyDescent="0.25">
      <c r="A7" s="555"/>
      <c r="B7" s="555"/>
      <c r="C7" s="555"/>
      <c r="D7" s="145">
        <f>Paramètres!B25</f>
        <v>98.591549295774641</v>
      </c>
      <c r="E7" s="145">
        <f>Paramètres!C25</f>
        <v>345.07042253521126</v>
      </c>
      <c r="F7" s="145">
        <f>Paramètres!D25</f>
        <v>492.95774647887322</v>
      </c>
      <c r="G7" s="145">
        <f>Paramètres!E25</f>
        <v>591.54929577464782</v>
      </c>
      <c r="H7" s="145">
        <f>Paramètres!F25</f>
        <v>838.02816901408448</v>
      </c>
      <c r="I7" s="145">
        <f>Paramètres!G25</f>
        <v>985.91549295774644</v>
      </c>
      <c r="J7" s="150">
        <f>Paramètres!H25</f>
        <v>1035.2112676056338</v>
      </c>
      <c r="K7" s="552"/>
    </row>
    <row r="8" spans="1:12" x14ac:dyDescent="0.25">
      <c r="A8" s="49">
        <f>'A) Base RI'!A7</f>
        <v>5401</v>
      </c>
      <c r="B8" s="50" t="str">
        <f>'A) Base RI'!B7</f>
        <v>Aigle</v>
      </c>
      <c r="C8" s="61">
        <f>'A) Base RI'!AN7</f>
        <v>9740</v>
      </c>
      <c r="D8" s="118">
        <f>IF($C8&gt;D$4,IF($C8&lt;D$5,$C8-D$4,D$5-D$4),0)</f>
        <v>1000</v>
      </c>
      <c r="E8" s="61">
        <f t="shared" ref="E8:I23" si="0">IF($C8&gt;E$4,IF($C8&lt;E$5,$C8-E$4,E$5-E$4),0)</f>
        <v>2000</v>
      </c>
      <c r="F8" s="61">
        <f t="shared" si="0"/>
        <v>2000</v>
      </c>
      <c r="G8" s="61">
        <f t="shared" si="0"/>
        <v>4000</v>
      </c>
      <c r="H8" s="61">
        <f t="shared" si="0"/>
        <v>740</v>
      </c>
      <c r="I8" s="93">
        <f t="shared" si="0"/>
        <v>0</v>
      </c>
      <c r="J8" s="61">
        <f>IF(C8&gt;$J$4,C8-$J$4,0)</f>
        <v>0</v>
      </c>
      <c r="K8" s="140">
        <f>(D8*D$7)+(E8*E$7)+(F8*F$7)+(G8*G$7)+(H8*H$7)+(I8*I$7)+(J8*J$7)</f>
        <v>4760985.9154929575</v>
      </c>
    </row>
    <row r="9" spans="1:12" x14ac:dyDescent="0.25">
      <c r="A9" s="53">
        <f>'A) Base RI'!A8</f>
        <v>5402</v>
      </c>
      <c r="B9" s="35" t="str">
        <f>'A) Base RI'!B8</f>
        <v>Bex</v>
      </c>
      <c r="C9" s="10">
        <f>'A) Base RI'!AN8</f>
        <v>7424</v>
      </c>
      <c r="D9" s="34">
        <f t="shared" ref="D9:I50" si="1">IF($C9&gt;D$4,IF($C9&lt;D$5,$C9-D$4,D$5-D$4),0)</f>
        <v>1000</v>
      </c>
      <c r="E9" s="10">
        <f t="shared" si="0"/>
        <v>2000</v>
      </c>
      <c r="F9" s="10">
        <f t="shared" si="0"/>
        <v>2000</v>
      </c>
      <c r="G9" s="10">
        <f t="shared" si="0"/>
        <v>2424</v>
      </c>
      <c r="H9" s="10">
        <f t="shared" si="0"/>
        <v>0</v>
      </c>
      <c r="I9" s="44">
        <f t="shared" si="0"/>
        <v>0</v>
      </c>
      <c r="J9" s="10">
        <f t="shared" ref="J9:J72" si="2">IF(C9&gt;$J$4,C9-$J$4,0)</f>
        <v>0</v>
      </c>
      <c r="K9" s="67">
        <f t="shared" ref="K9:K72" si="3">(D9*D$7)+(E9*E$7)+(F9*F$7)+(G9*G$7)+(H9*H$7)+(I9*I$7)+(J9*J$7)</f>
        <v>3208563.38028169</v>
      </c>
    </row>
    <row r="10" spans="1:12" x14ac:dyDescent="0.25">
      <c r="A10" s="53">
        <f>'A) Base RI'!A9</f>
        <v>5403</v>
      </c>
      <c r="B10" s="35" t="str">
        <f>'A) Base RI'!B9</f>
        <v>Chessel</v>
      </c>
      <c r="C10" s="10">
        <f>'A) Base RI'!AN9</f>
        <v>395</v>
      </c>
      <c r="D10" s="34">
        <f t="shared" si="1"/>
        <v>395</v>
      </c>
      <c r="E10" s="10">
        <f t="shared" si="0"/>
        <v>0</v>
      </c>
      <c r="F10" s="10">
        <f t="shared" si="0"/>
        <v>0</v>
      </c>
      <c r="G10" s="10">
        <f t="shared" si="0"/>
        <v>0</v>
      </c>
      <c r="H10" s="10">
        <f t="shared" si="0"/>
        <v>0</v>
      </c>
      <c r="I10" s="44">
        <f t="shared" si="0"/>
        <v>0</v>
      </c>
      <c r="J10" s="10">
        <f t="shared" si="2"/>
        <v>0</v>
      </c>
      <c r="K10" s="67">
        <f t="shared" si="3"/>
        <v>38943.661971830981</v>
      </c>
    </row>
    <row r="11" spans="1:12" x14ac:dyDescent="0.25">
      <c r="A11" s="53">
        <f>'A) Base RI'!A10</f>
        <v>5404</v>
      </c>
      <c r="B11" s="35" t="str">
        <f>'A) Base RI'!B10</f>
        <v>Corbeyrier</v>
      </c>
      <c r="C11" s="10">
        <f>'A) Base RI'!AN10</f>
        <v>440</v>
      </c>
      <c r="D11" s="34">
        <f t="shared" si="1"/>
        <v>440</v>
      </c>
      <c r="E11" s="10">
        <f t="shared" si="0"/>
        <v>0</v>
      </c>
      <c r="F11" s="10">
        <f t="shared" si="0"/>
        <v>0</v>
      </c>
      <c r="G11" s="10">
        <f t="shared" si="0"/>
        <v>0</v>
      </c>
      <c r="H11" s="10">
        <f t="shared" si="0"/>
        <v>0</v>
      </c>
      <c r="I11" s="44">
        <f t="shared" si="0"/>
        <v>0</v>
      </c>
      <c r="J11" s="10">
        <f t="shared" si="2"/>
        <v>0</v>
      </c>
      <c r="K11" s="67">
        <f t="shared" si="3"/>
        <v>43380.281690140844</v>
      </c>
    </row>
    <row r="12" spans="1:12" x14ac:dyDescent="0.25">
      <c r="A12" s="53">
        <f>'A) Base RI'!A11</f>
        <v>5405</v>
      </c>
      <c r="B12" s="35" t="str">
        <f>'A) Base RI'!B11</f>
        <v>Gryon</v>
      </c>
      <c r="C12" s="10">
        <f>'A) Base RI'!AN11</f>
        <v>1342</v>
      </c>
      <c r="D12" s="34">
        <f t="shared" si="1"/>
        <v>1000</v>
      </c>
      <c r="E12" s="10">
        <f t="shared" si="0"/>
        <v>342</v>
      </c>
      <c r="F12" s="10">
        <f t="shared" si="0"/>
        <v>0</v>
      </c>
      <c r="G12" s="10">
        <f t="shared" si="0"/>
        <v>0</v>
      </c>
      <c r="H12" s="10">
        <f t="shared" si="0"/>
        <v>0</v>
      </c>
      <c r="I12" s="44">
        <f t="shared" si="0"/>
        <v>0</v>
      </c>
      <c r="J12" s="10">
        <f t="shared" si="2"/>
        <v>0</v>
      </c>
      <c r="K12" s="67">
        <f t="shared" si="3"/>
        <v>216605.63380281691</v>
      </c>
    </row>
    <row r="13" spans="1:12" x14ac:dyDescent="0.25">
      <c r="A13" s="53">
        <f>'A) Base RI'!A12</f>
        <v>5406</v>
      </c>
      <c r="B13" s="35" t="str">
        <f>'A) Base RI'!B12</f>
        <v>Lavey-Morcles</v>
      </c>
      <c r="C13" s="10">
        <f>'A) Base RI'!AN12</f>
        <v>922</v>
      </c>
      <c r="D13" s="34">
        <f t="shared" si="1"/>
        <v>922</v>
      </c>
      <c r="E13" s="10">
        <f t="shared" si="0"/>
        <v>0</v>
      </c>
      <c r="F13" s="10">
        <f t="shared" si="0"/>
        <v>0</v>
      </c>
      <c r="G13" s="10">
        <f t="shared" si="0"/>
        <v>0</v>
      </c>
      <c r="H13" s="10">
        <f t="shared" si="0"/>
        <v>0</v>
      </c>
      <c r="I13" s="44">
        <f t="shared" si="0"/>
        <v>0</v>
      </c>
      <c r="J13" s="10">
        <f t="shared" si="2"/>
        <v>0</v>
      </c>
      <c r="K13" s="67">
        <f t="shared" si="3"/>
        <v>90901.408450704213</v>
      </c>
    </row>
    <row r="14" spans="1:12" x14ac:dyDescent="0.25">
      <c r="A14" s="53">
        <f>'A) Base RI'!A13</f>
        <v>5407</v>
      </c>
      <c r="B14" s="35" t="str">
        <f>'A) Base RI'!B13</f>
        <v>Leysin</v>
      </c>
      <c r="C14" s="10">
        <f>'A) Base RI'!AN13</f>
        <v>4088</v>
      </c>
      <c r="D14" s="34">
        <f t="shared" si="1"/>
        <v>1000</v>
      </c>
      <c r="E14" s="10">
        <f t="shared" si="0"/>
        <v>2000</v>
      </c>
      <c r="F14" s="10">
        <f t="shared" si="0"/>
        <v>1088</v>
      </c>
      <c r="G14" s="10">
        <f t="shared" si="0"/>
        <v>0</v>
      </c>
      <c r="H14" s="10">
        <f t="shared" si="0"/>
        <v>0</v>
      </c>
      <c r="I14" s="44">
        <f t="shared" si="0"/>
        <v>0</v>
      </c>
      <c r="J14" s="10">
        <f t="shared" si="2"/>
        <v>0</v>
      </c>
      <c r="K14" s="67">
        <f t="shared" si="3"/>
        <v>1325070.4225352113</v>
      </c>
      <c r="L14" s="13"/>
    </row>
    <row r="15" spans="1:12" x14ac:dyDescent="0.25">
      <c r="A15" s="53">
        <f>'A) Base RI'!A14</f>
        <v>5408</v>
      </c>
      <c r="B15" s="35" t="str">
        <f>'A) Base RI'!B14</f>
        <v>Noville</v>
      </c>
      <c r="C15" s="10">
        <f>'A) Base RI'!AN14</f>
        <v>1056</v>
      </c>
      <c r="D15" s="34">
        <f t="shared" si="1"/>
        <v>1000</v>
      </c>
      <c r="E15" s="10">
        <f t="shared" si="0"/>
        <v>56</v>
      </c>
      <c r="F15" s="10">
        <f t="shared" si="0"/>
        <v>0</v>
      </c>
      <c r="G15" s="10">
        <f t="shared" si="0"/>
        <v>0</v>
      </c>
      <c r="H15" s="10">
        <f t="shared" si="0"/>
        <v>0</v>
      </c>
      <c r="I15" s="44">
        <f t="shared" si="0"/>
        <v>0</v>
      </c>
      <c r="J15" s="10">
        <f t="shared" si="2"/>
        <v>0</v>
      </c>
      <c r="K15" s="67">
        <f t="shared" si="3"/>
        <v>117915.49295774648</v>
      </c>
    </row>
    <row r="16" spans="1:12" x14ac:dyDescent="0.25">
      <c r="A16" s="53">
        <f>'A) Base RI'!A15</f>
        <v>5409</v>
      </c>
      <c r="B16" s="35" t="str">
        <f>'A) Base RI'!B15</f>
        <v>Ollon</v>
      </c>
      <c r="C16" s="10">
        <f>'A) Base RI'!AN15</f>
        <v>7473</v>
      </c>
      <c r="D16" s="34">
        <f t="shared" si="1"/>
        <v>1000</v>
      </c>
      <c r="E16" s="10">
        <f t="shared" si="0"/>
        <v>2000</v>
      </c>
      <c r="F16" s="10">
        <f t="shared" si="0"/>
        <v>2000</v>
      </c>
      <c r="G16" s="10">
        <f t="shared" si="0"/>
        <v>2473</v>
      </c>
      <c r="H16" s="10">
        <f t="shared" si="0"/>
        <v>0</v>
      </c>
      <c r="I16" s="44">
        <f t="shared" si="0"/>
        <v>0</v>
      </c>
      <c r="J16" s="10">
        <f t="shared" si="2"/>
        <v>0</v>
      </c>
      <c r="K16" s="67">
        <f t="shared" si="3"/>
        <v>3237549.295774648</v>
      </c>
    </row>
    <row r="17" spans="1:11" x14ac:dyDescent="0.25">
      <c r="A17" s="53">
        <f>'A) Base RI'!A16</f>
        <v>5410</v>
      </c>
      <c r="B17" s="35" t="str">
        <f>'A) Base RI'!B16</f>
        <v>Ormont-Dessous</v>
      </c>
      <c r="C17" s="10">
        <f>'A) Base RI'!AN16</f>
        <v>1105</v>
      </c>
      <c r="D17" s="34">
        <f t="shared" si="1"/>
        <v>1000</v>
      </c>
      <c r="E17" s="10">
        <f t="shared" si="0"/>
        <v>105</v>
      </c>
      <c r="F17" s="10">
        <f t="shared" si="0"/>
        <v>0</v>
      </c>
      <c r="G17" s="10">
        <f t="shared" si="0"/>
        <v>0</v>
      </c>
      <c r="H17" s="10">
        <f t="shared" si="0"/>
        <v>0</v>
      </c>
      <c r="I17" s="44">
        <f t="shared" si="0"/>
        <v>0</v>
      </c>
      <c r="J17" s="10">
        <f t="shared" si="2"/>
        <v>0</v>
      </c>
      <c r="K17" s="67">
        <f t="shared" si="3"/>
        <v>134823.94366197183</v>
      </c>
    </row>
    <row r="18" spans="1:11" x14ac:dyDescent="0.25">
      <c r="A18" s="53">
        <f>'A) Base RI'!A17</f>
        <v>5411</v>
      </c>
      <c r="B18" s="35" t="str">
        <f>'A) Base RI'!B17</f>
        <v>Ormont-Dessus</v>
      </c>
      <c r="C18" s="10">
        <f>'A) Base RI'!AN17</f>
        <v>1479</v>
      </c>
      <c r="D18" s="34">
        <f t="shared" si="1"/>
        <v>1000</v>
      </c>
      <c r="E18" s="10">
        <f t="shared" si="0"/>
        <v>479</v>
      </c>
      <c r="F18" s="10">
        <f t="shared" si="0"/>
        <v>0</v>
      </c>
      <c r="G18" s="10">
        <f t="shared" si="0"/>
        <v>0</v>
      </c>
      <c r="H18" s="10">
        <f t="shared" si="0"/>
        <v>0</v>
      </c>
      <c r="I18" s="44">
        <f t="shared" si="0"/>
        <v>0</v>
      </c>
      <c r="J18" s="10">
        <f t="shared" si="2"/>
        <v>0</v>
      </c>
      <c r="K18" s="67">
        <f t="shared" si="3"/>
        <v>263880.28169014084</v>
      </c>
    </row>
    <row r="19" spans="1:11" x14ac:dyDescent="0.25">
      <c r="A19" s="53">
        <f>'A) Base RI'!A18</f>
        <v>5412</v>
      </c>
      <c r="B19" s="35" t="str">
        <f>'A) Base RI'!B18</f>
        <v>Rennaz</v>
      </c>
      <c r="C19" s="10">
        <f>'A) Base RI'!AN18</f>
        <v>843</v>
      </c>
      <c r="D19" s="34">
        <f t="shared" si="1"/>
        <v>843</v>
      </c>
      <c r="E19" s="10">
        <f t="shared" si="0"/>
        <v>0</v>
      </c>
      <c r="F19" s="10">
        <f t="shared" si="0"/>
        <v>0</v>
      </c>
      <c r="G19" s="10">
        <f t="shared" si="0"/>
        <v>0</v>
      </c>
      <c r="H19" s="10">
        <f t="shared" si="0"/>
        <v>0</v>
      </c>
      <c r="I19" s="44">
        <f t="shared" si="0"/>
        <v>0</v>
      </c>
      <c r="J19" s="10">
        <f t="shared" si="2"/>
        <v>0</v>
      </c>
      <c r="K19" s="67">
        <f t="shared" si="3"/>
        <v>83112.676056338023</v>
      </c>
    </row>
    <row r="20" spans="1:11" x14ac:dyDescent="0.25">
      <c r="A20" s="53">
        <f>'A) Base RI'!A19</f>
        <v>5413</v>
      </c>
      <c r="B20" s="35" t="str">
        <f>'A) Base RI'!B19</f>
        <v>Roche</v>
      </c>
      <c r="C20" s="10">
        <f>'A) Base RI'!AN19</f>
        <v>1597</v>
      </c>
      <c r="D20" s="34">
        <f t="shared" si="1"/>
        <v>1000</v>
      </c>
      <c r="E20" s="10">
        <f t="shared" si="0"/>
        <v>597</v>
      </c>
      <c r="F20" s="10">
        <f t="shared" si="0"/>
        <v>0</v>
      </c>
      <c r="G20" s="10">
        <f t="shared" si="0"/>
        <v>0</v>
      </c>
      <c r="H20" s="10">
        <f t="shared" si="0"/>
        <v>0</v>
      </c>
      <c r="I20" s="44">
        <f t="shared" si="0"/>
        <v>0</v>
      </c>
      <c r="J20" s="10">
        <f t="shared" si="2"/>
        <v>0</v>
      </c>
      <c r="K20" s="67">
        <f t="shared" si="3"/>
        <v>304598.59154929576</v>
      </c>
    </row>
    <row r="21" spans="1:11" x14ac:dyDescent="0.25">
      <c r="A21" s="53">
        <f>'A) Base RI'!A20</f>
        <v>5414</v>
      </c>
      <c r="B21" s="35" t="str">
        <f>'A) Base RI'!B20</f>
        <v>Villeneuve</v>
      </c>
      <c r="C21" s="10">
        <f>'A) Base RI'!AN20</f>
        <v>5457</v>
      </c>
      <c r="D21" s="34">
        <f t="shared" si="1"/>
        <v>1000</v>
      </c>
      <c r="E21" s="10">
        <f t="shared" si="0"/>
        <v>2000</v>
      </c>
      <c r="F21" s="10">
        <f t="shared" si="0"/>
        <v>2000</v>
      </c>
      <c r="G21" s="10">
        <f t="shared" si="0"/>
        <v>457</v>
      </c>
      <c r="H21" s="10">
        <f t="shared" si="0"/>
        <v>0</v>
      </c>
      <c r="I21" s="44">
        <f t="shared" si="0"/>
        <v>0</v>
      </c>
      <c r="J21" s="10">
        <f t="shared" si="2"/>
        <v>0</v>
      </c>
      <c r="K21" s="67">
        <f t="shared" si="3"/>
        <v>2044985.9154929577</v>
      </c>
    </row>
    <row r="22" spans="1:11" x14ac:dyDescent="0.25">
      <c r="A22" s="53">
        <f>'A) Base RI'!A21</f>
        <v>5415</v>
      </c>
      <c r="B22" s="35" t="str">
        <f>'A) Base RI'!B21</f>
        <v>Yvorne</v>
      </c>
      <c r="C22" s="10">
        <f>'A) Base RI'!AN21</f>
        <v>1061</v>
      </c>
      <c r="D22" s="34">
        <f t="shared" si="1"/>
        <v>1000</v>
      </c>
      <c r="E22" s="10">
        <f t="shared" si="0"/>
        <v>61</v>
      </c>
      <c r="F22" s="10">
        <f t="shared" si="0"/>
        <v>0</v>
      </c>
      <c r="G22" s="10">
        <f t="shared" si="0"/>
        <v>0</v>
      </c>
      <c r="H22" s="10">
        <f t="shared" si="0"/>
        <v>0</v>
      </c>
      <c r="I22" s="44">
        <f t="shared" si="0"/>
        <v>0</v>
      </c>
      <c r="J22" s="10">
        <f t="shared" si="2"/>
        <v>0</v>
      </c>
      <c r="K22" s="67">
        <f t="shared" si="3"/>
        <v>119640.84507042254</v>
      </c>
    </row>
    <row r="23" spans="1:11" x14ac:dyDescent="0.25">
      <c r="A23" s="53">
        <f>'A) Base RI'!A22</f>
        <v>5421</v>
      </c>
      <c r="B23" s="35" t="str">
        <f>'A) Base RI'!B22</f>
        <v>Apples</v>
      </c>
      <c r="C23" s="10">
        <f>'A) Base RI'!AN22</f>
        <v>1412</v>
      </c>
      <c r="D23" s="34">
        <f t="shared" si="1"/>
        <v>1000</v>
      </c>
      <c r="E23" s="10">
        <f t="shared" si="0"/>
        <v>412</v>
      </c>
      <c r="F23" s="10">
        <f t="shared" si="0"/>
        <v>0</v>
      </c>
      <c r="G23" s="10">
        <f t="shared" si="0"/>
        <v>0</v>
      </c>
      <c r="H23" s="10">
        <f t="shared" si="0"/>
        <v>0</v>
      </c>
      <c r="I23" s="44">
        <f t="shared" si="0"/>
        <v>0</v>
      </c>
      <c r="J23" s="10">
        <f t="shared" si="2"/>
        <v>0</v>
      </c>
      <c r="K23" s="67">
        <f t="shared" si="3"/>
        <v>240760.56338028167</v>
      </c>
    </row>
    <row r="24" spans="1:11" x14ac:dyDescent="0.25">
      <c r="A24" s="53">
        <f>'A) Base RI'!A23</f>
        <v>5422</v>
      </c>
      <c r="B24" s="35" t="str">
        <f>'A) Base RI'!B23</f>
        <v>Aubonne</v>
      </c>
      <c r="C24" s="10">
        <f>'A) Base RI'!AN23</f>
        <v>3272</v>
      </c>
      <c r="D24" s="34">
        <f t="shared" si="1"/>
        <v>1000</v>
      </c>
      <c r="E24" s="10">
        <f t="shared" si="1"/>
        <v>2000</v>
      </c>
      <c r="F24" s="10">
        <f t="shared" si="1"/>
        <v>272</v>
      </c>
      <c r="G24" s="10">
        <f t="shared" si="1"/>
        <v>0</v>
      </c>
      <c r="H24" s="10">
        <f t="shared" si="1"/>
        <v>0</v>
      </c>
      <c r="I24" s="44">
        <f t="shared" si="1"/>
        <v>0</v>
      </c>
      <c r="J24" s="10">
        <f t="shared" si="2"/>
        <v>0</v>
      </c>
      <c r="K24" s="67">
        <f t="shared" si="3"/>
        <v>922816.90140845068</v>
      </c>
    </row>
    <row r="25" spans="1:11" x14ac:dyDescent="0.25">
      <c r="A25" s="53">
        <f>'A) Base RI'!A24</f>
        <v>5423</v>
      </c>
      <c r="B25" s="35" t="str">
        <f>'A) Base RI'!B24</f>
        <v>Ballens</v>
      </c>
      <c r="C25" s="10">
        <f>'A) Base RI'!AN24</f>
        <v>508</v>
      </c>
      <c r="D25" s="34">
        <f t="shared" si="1"/>
        <v>508</v>
      </c>
      <c r="E25" s="10">
        <f t="shared" si="1"/>
        <v>0</v>
      </c>
      <c r="F25" s="10">
        <f t="shared" si="1"/>
        <v>0</v>
      </c>
      <c r="G25" s="10">
        <f t="shared" si="1"/>
        <v>0</v>
      </c>
      <c r="H25" s="10">
        <f t="shared" si="1"/>
        <v>0</v>
      </c>
      <c r="I25" s="44">
        <f t="shared" si="1"/>
        <v>0</v>
      </c>
      <c r="J25" s="10">
        <f t="shared" si="2"/>
        <v>0</v>
      </c>
      <c r="K25" s="67">
        <f t="shared" si="3"/>
        <v>50084.507042253521</v>
      </c>
    </row>
    <row r="26" spans="1:11" x14ac:dyDescent="0.25">
      <c r="A26" s="53">
        <f>'A) Base RI'!A25</f>
        <v>5424</v>
      </c>
      <c r="B26" s="35" t="str">
        <f>'A) Base RI'!B25</f>
        <v>Berolle</v>
      </c>
      <c r="C26" s="10">
        <f>'A) Base RI'!AN25</f>
        <v>301</v>
      </c>
      <c r="D26" s="34">
        <f t="shared" si="1"/>
        <v>301</v>
      </c>
      <c r="E26" s="10">
        <f t="shared" si="1"/>
        <v>0</v>
      </c>
      <c r="F26" s="10">
        <f t="shared" si="1"/>
        <v>0</v>
      </c>
      <c r="G26" s="10">
        <f t="shared" si="1"/>
        <v>0</v>
      </c>
      <c r="H26" s="10">
        <f t="shared" si="1"/>
        <v>0</v>
      </c>
      <c r="I26" s="44">
        <f t="shared" si="1"/>
        <v>0</v>
      </c>
      <c r="J26" s="10">
        <f t="shared" si="2"/>
        <v>0</v>
      </c>
      <c r="K26" s="67">
        <f t="shared" si="3"/>
        <v>29676.056338028167</v>
      </c>
    </row>
    <row r="27" spans="1:11" x14ac:dyDescent="0.25">
      <c r="A27" s="53">
        <f>'A) Base RI'!A26</f>
        <v>5425</v>
      </c>
      <c r="B27" s="35" t="str">
        <f>'A) Base RI'!B26</f>
        <v>Bière</v>
      </c>
      <c r="C27" s="10">
        <f>'A) Base RI'!AN26</f>
        <v>1546</v>
      </c>
      <c r="D27" s="34">
        <f t="shared" si="1"/>
        <v>1000</v>
      </c>
      <c r="E27" s="10">
        <f t="shared" si="1"/>
        <v>546</v>
      </c>
      <c r="F27" s="10">
        <f t="shared" si="1"/>
        <v>0</v>
      </c>
      <c r="G27" s="10">
        <f t="shared" si="1"/>
        <v>0</v>
      </c>
      <c r="H27" s="10">
        <f t="shared" si="1"/>
        <v>0</v>
      </c>
      <c r="I27" s="44">
        <f t="shared" si="1"/>
        <v>0</v>
      </c>
      <c r="J27" s="10">
        <f t="shared" si="2"/>
        <v>0</v>
      </c>
      <c r="K27" s="67">
        <f t="shared" si="3"/>
        <v>287000</v>
      </c>
    </row>
    <row r="28" spans="1:11" x14ac:dyDescent="0.25">
      <c r="A28" s="53">
        <f>'A) Base RI'!A27</f>
        <v>5426</v>
      </c>
      <c r="B28" s="35" t="str">
        <f>'A) Base RI'!B27</f>
        <v>Bougy-Villars</v>
      </c>
      <c r="C28" s="10">
        <f>'A) Base RI'!AN27</f>
        <v>467</v>
      </c>
      <c r="D28" s="34">
        <f t="shared" si="1"/>
        <v>467</v>
      </c>
      <c r="E28" s="10">
        <f t="shared" si="1"/>
        <v>0</v>
      </c>
      <c r="F28" s="10">
        <f t="shared" si="1"/>
        <v>0</v>
      </c>
      <c r="G28" s="10">
        <f t="shared" si="1"/>
        <v>0</v>
      </c>
      <c r="H28" s="10">
        <f t="shared" si="1"/>
        <v>0</v>
      </c>
      <c r="I28" s="44">
        <f t="shared" si="1"/>
        <v>0</v>
      </c>
      <c r="J28" s="10">
        <f t="shared" si="2"/>
        <v>0</v>
      </c>
      <c r="K28" s="67">
        <f t="shared" si="3"/>
        <v>46042.25352112676</v>
      </c>
    </row>
    <row r="29" spans="1:11" x14ac:dyDescent="0.25">
      <c r="A29" s="53">
        <f>'A) Base RI'!A28</f>
        <v>5427</v>
      </c>
      <c r="B29" s="35" t="str">
        <f>'A) Base RI'!B28</f>
        <v>Féchy</v>
      </c>
      <c r="C29" s="10">
        <f>'A) Base RI'!AN28</f>
        <v>887</v>
      </c>
      <c r="D29" s="34">
        <f t="shared" si="1"/>
        <v>887</v>
      </c>
      <c r="E29" s="10">
        <f t="shared" si="1"/>
        <v>0</v>
      </c>
      <c r="F29" s="10">
        <f t="shared" si="1"/>
        <v>0</v>
      </c>
      <c r="G29" s="10">
        <f t="shared" si="1"/>
        <v>0</v>
      </c>
      <c r="H29" s="10">
        <f t="shared" si="1"/>
        <v>0</v>
      </c>
      <c r="I29" s="44">
        <f t="shared" si="1"/>
        <v>0</v>
      </c>
      <c r="J29" s="10">
        <f t="shared" si="2"/>
        <v>0</v>
      </c>
      <c r="K29" s="67">
        <f t="shared" si="3"/>
        <v>87450.704225352107</v>
      </c>
    </row>
    <row r="30" spans="1:11" x14ac:dyDescent="0.25">
      <c r="A30" s="53">
        <f>'A) Base RI'!A29</f>
        <v>5428</v>
      </c>
      <c r="B30" s="35" t="str">
        <f>'A) Base RI'!B29</f>
        <v>Gimel</v>
      </c>
      <c r="C30" s="10">
        <f>'A) Base RI'!AN29</f>
        <v>1948</v>
      </c>
      <c r="D30" s="34">
        <f t="shared" si="1"/>
        <v>1000</v>
      </c>
      <c r="E30" s="10">
        <f t="shared" si="1"/>
        <v>948</v>
      </c>
      <c r="F30" s="10">
        <f t="shared" si="1"/>
        <v>0</v>
      </c>
      <c r="G30" s="10">
        <f t="shared" si="1"/>
        <v>0</v>
      </c>
      <c r="H30" s="10">
        <f t="shared" si="1"/>
        <v>0</v>
      </c>
      <c r="I30" s="44">
        <f t="shared" si="1"/>
        <v>0</v>
      </c>
      <c r="J30" s="10">
        <f t="shared" si="2"/>
        <v>0</v>
      </c>
      <c r="K30" s="67">
        <f t="shared" si="3"/>
        <v>425718.30985915492</v>
      </c>
    </row>
    <row r="31" spans="1:11" x14ac:dyDescent="0.25">
      <c r="A31" s="53">
        <f>'A) Base RI'!A30</f>
        <v>5429</v>
      </c>
      <c r="B31" s="35" t="str">
        <f>'A) Base RI'!B30</f>
        <v>Longirod</v>
      </c>
      <c r="C31" s="10">
        <f>'A) Base RI'!AN30</f>
        <v>460</v>
      </c>
      <c r="D31" s="34">
        <f t="shared" si="1"/>
        <v>460</v>
      </c>
      <c r="E31" s="10">
        <f t="shared" si="1"/>
        <v>0</v>
      </c>
      <c r="F31" s="10">
        <f t="shared" si="1"/>
        <v>0</v>
      </c>
      <c r="G31" s="10">
        <f t="shared" si="1"/>
        <v>0</v>
      </c>
      <c r="H31" s="10">
        <f t="shared" si="1"/>
        <v>0</v>
      </c>
      <c r="I31" s="44">
        <f t="shared" si="1"/>
        <v>0</v>
      </c>
      <c r="J31" s="10">
        <f t="shared" si="2"/>
        <v>0</v>
      </c>
      <c r="K31" s="67">
        <f t="shared" si="3"/>
        <v>45352.112676056335</v>
      </c>
    </row>
    <row r="32" spans="1:11" x14ac:dyDescent="0.25">
      <c r="A32" s="53">
        <f>'A) Base RI'!A31</f>
        <v>5430</v>
      </c>
      <c r="B32" s="35" t="str">
        <f>'A) Base RI'!B31</f>
        <v>Marchissy</v>
      </c>
      <c r="C32" s="10">
        <f>'A) Base RI'!AN31</f>
        <v>430</v>
      </c>
      <c r="D32" s="34">
        <f t="shared" si="1"/>
        <v>430</v>
      </c>
      <c r="E32" s="10">
        <f t="shared" si="1"/>
        <v>0</v>
      </c>
      <c r="F32" s="10">
        <f t="shared" si="1"/>
        <v>0</v>
      </c>
      <c r="G32" s="10">
        <f t="shared" si="1"/>
        <v>0</v>
      </c>
      <c r="H32" s="10">
        <f t="shared" si="1"/>
        <v>0</v>
      </c>
      <c r="I32" s="44">
        <f t="shared" si="1"/>
        <v>0</v>
      </c>
      <c r="J32" s="10">
        <f t="shared" si="2"/>
        <v>0</v>
      </c>
      <c r="K32" s="67">
        <f t="shared" si="3"/>
        <v>42394.366197183095</v>
      </c>
    </row>
    <row r="33" spans="1:11" x14ac:dyDescent="0.25">
      <c r="A33" s="53">
        <f>'A) Base RI'!A32</f>
        <v>5431</v>
      </c>
      <c r="B33" s="35" t="str">
        <f>'A) Base RI'!B32</f>
        <v>Mollens</v>
      </c>
      <c r="C33" s="10">
        <f>'A) Base RI'!AN32</f>
        <v>295</v>
      </c>
      <c r="D33" s="34">
        <f t="shared" si="1"/>
        <v>295</v>
      </c>
      <c r="E33" s="10">
        <f t="shared" si="1"/>
        <v>0</v>
      </c>
      <c r="F33" s="10">
        <f t="shared" si="1"/>
        <v>0</v>
      </c>
      <c r="G33" s="10">
        <f t="shared" si="1"/>
        <v>0</v>
      </c>
      <c r="H33" s="10">
        <f t="shared" si="1"/>
        <v>0</v>
      </c>
      <c r="I33" s="44">
        <f t="shared" si="1"/>
        <v>0</v>
      </c>
      <c r="J33" s="10">
        <f t="shared" si="2"/>
        <v>0</v>
      </c>
      <c r="K33" s="67">
        <f t="shared" si="3"/>
        <v>29084.507042253517</v>
      </c>
    </row>
    <row r="34" spans="1:11" x14ac:dyDescent="0.25">
      <c r="A34" s="53">
        <f>'A) Base RI'!A33</f>
        <v>5432</v>
      </c>
      <c r="B34" s="35" t="str">
        <f>'A) Base RI'!B33</f>
        <v>Montherod</v>
      </c>
      <c r="C34" s="10">
        <f>'A) Base RI'!AN33</f>
        <v>522</v>
      </c>
      <c r="D34" s="34">
        <f t="shared" si="1"/>
        <v>522</v>
      </c>
      <c r="E34" s="10">
        <f t="shared" si="1"/>
        <v>0</v>
      </c>
      <c r="F34" s="10">
        <f t="shared" si="1"/>
        <v>0</v>
      </c>
      <c r="G34" s="10">
        <f t="shared" si="1"/>
        <v>0</v>
      </c>
      <c r="H34" s="10">
        <f t="shared" si="1"/>
        <v>0</v>
      </c>
      <c r="I34" s="44">
        <f t="shared" si="1"/>
        <v>0</v>
      </c>
      <c r="J34" s="10">
        <f t="shared" si="2"/>
        <v>0</v>
      </c>
      <c r="K34" s="67">
        <f t="shared" si="3"/>
        <v>51464.788732394365</v>
      </c>
    </row>
    <row r="35" spans="1:11" x14ac:dyDescent="0.25">
      <c r="A35" s="53">
        <f>'A) Base RI'!A34</f>
        <v>5434</v>
      </c>
      <c r="B35" s="35" t="str">
        <f>'A) Base RI'!B34</f>
        <v>Saint-George</v>
      </c>
      <c r="C35" s="10">
        <f>'A) Base RI'!AN34</f>
        <v>991</v>
      </c>
      <c r="D35" s="34">
        <f t="shared" si="1"/>
        <v>991</v>
      </c>
      <c r="E35" s="10">
        <f t="shared" si="1"/>
        <v>0</v>
      </c>
      <c r="F35" s="10">
        <f t="shared" si="1"/>
        <v>0</v>
      </c>
      <c r="G35" s="10">
        <f t="shared" si="1"/>
        <v>0</v>
      </c>
      <c r="H35" s="10">
        <f t="shared" si="1"/>
        <v>0</v>
      </c>
      <c r="I35" s="44">
        <f t="shared" si="1"/>
        <v>0</v>
      </c>
      <c r="J35" s="10">
        <f t="shared" si="2"/>
        <v>0</v>
      </c>
      <c r="K35" s="67">
        <f t="shared" si="3"/>
        <v>97704.225352112669</v>
      </c>
    </row>
    <row r="36" spans="1:11" x14ac:dyDescent="0.25">
      <c r="A36" s="53">
        <f>'A) Base RI'!A35</f>
        <v>5435</v>
      </c>
      <c r="B36" s="35" t="str">
        <f>'A) Base RI'!B35</f>
        <v>Saint-Livres</v>
      </c>
      <c r="C36" s="10">
        <f>'A) Base RI'!AN35</f>
        <v>689</v>
      </c>
      <c r="D36" s="34">
        <f t="shared" si="1"/>
        <v>689</v>
      </c>
      <c r="E36" s="10">
        <f t="shared" si="1"/>
        <v>0</v>
      </c>
      <c r="F36" s="10">
        <f t="shared" si="1"/>
        <v>0</v>
      </c>
      <c r="G36" s="10">
        <f t="shared" si="1"/>
        <v>0</v>
      </c>
      <c r="H36" s="10">
        <f t="shared" si="1"/>
        <v>0</v>
      </c>
      <c r="I36" s="44">
        <f t="shared" si="1"/>
        <v>0</v>
      </c>
      <c r="J36" s="10">
        <f t="shared" si="2"/>
        <v>0</v>
      </c>
      <c r="K36" s="67">
        <f t="shared" si="3"/>
        <v>67929.57746478873</v>
      </c>
    </row>
    <row r="37" spans="1:11" x14ac:dyDescent="0.25">
      <c r="A37" s="53">
        <f>'A) Base RI'!A36</f>
        <v>5436</v>
      </c>
      <c r="B37" s="35" t="str">
        <f>'A) Base RI'!B36</f>
        <v>Saint-Oyens</v>
      </c>
      <c r="C37" s="10">
        <f>'A) Base RI'!AN36</f>
        <v>350</v>
      </c>
      <c r="D37" s="34">
        <f t="shared" si="1"/>
        <v>350</v>
      </c>
      <c r="E37" s="10">
        <f t="shared" si="1"/>
        <v>0</v>
      </c>
      <c r="F37" s="10">
        <f t="shared" si="1"/>
        <v>0</v>
      </c>
      <c r="G37" s="10">
        <f t="shared" si="1"/>
        <v>0</v>
      </c>
      <c r="H37" s="10">
        <f t="shared" si="1"/>
        <v>0</v>
      </c>
      <c r="I37" s="44">
        <f t="shared" si="1"/>
        <v>0</v>
      </c>
      <c r="J37" s="10">
        <f t="shared" si="2"/>
        <v>0</v>
      </c>
      <c r="K37" s="67">
        <f t="shared" si="3"/>
        <v>34507.042253521126</v>
      </c>
    </row>
    <row r="38" spans="1:11" x14ac:dyDescent="0.25">
      <c r="A38" s="53">
        <f>'A) Base RI'!A37</f>
        <v>5437</v>
      </c>
      <c r="B38" s="35" t="str">
        <f>'A) Base RI'!B37</f>
        <v>Saubraz</v>
      </c>
      <c r="C38" s="10">
        <f>'A) Base RI'!AN37</f>
        <v>420</v>
      </c>
      <c r="D38" s="34">
        <f t="shared" si="1"/>
        <v>420</v>
      </c>
      <c r="E38" s="10">
        <f t="shared" si="1"/>
        <v>0</v>
      </c>
      <c r="F38" s="10">
        <f t="shared" si="1"/>
        <v>0</v>
      </c>
      <c r="G38" s="10">
        <f t="shared" si="1"/>
        <v>0</v>
      </c>
      <c r="H38" s="10">
        <f t="shared" si="1"/>
        <v>0</v>
      </c>
      <c r="I38" s="44">
        <f t="shared" si="1"/>
        <v>0</v>
      </c>
      <c r="J38" s="10">
        <f t="shared" si="2"/>
        <v>0</v>
      </c>
      <c r="K38" s="67">
        <f t="shared" si="3"/>
        <v>41408.450704225346</v>
      </c>
    </row>
    <row r="39" spans="1:11" x14ac:dyDescent="0.25">
      <c r="A39" s="53">
        <f>'A) Base RI'!A38</f>
        <v>5451</v>
      </c>
      <c r="B39" s="35" t="str">
        <f>'A) Base RI'!B38</f>
        <v>Avenches</v>
      </c>
      <c r="C39" s="10">
        <f>'A) Base RI'!AN38</f>
        <v>4129</v>
      </c>
      <c r="D39" s="34">
        <f t="shared" si="1"/>
        <v>1000</v>
      </c>
      <c r="E39" s="10">
        <f t="shared" si="1"/>
        <v>2000</v>
      </c>
      <c r="F39" s="10">
        <f t="shared" si="1"/>
        <v>1129</v>
      </c>
      <c r="G39" s="10">
        <f t="shared" si="1"/>
        <v>0</v>
      </c>
      <c r="H39" s="10">
        <f t="shared" si="1"/>
        <v>0</v>
      </c>
      <c r="I39" s="44">
        <f t="shared" si="1"/>
        <v>0</v>
      </c>
      <c r="J39" s="10">
        <f t="shared" si="2"/>
        <v>0</v>
      </c>
      <c r="K39" s="67">
        <f t="shared" si="3"/>
        <v>1345281.690140845</v>
      </c>
    </row>
    <row r="40" spans="1:11" x14ac:dyDescent="0.25">
      <c r="A40" s="53">
        <f>'A) Base RI'!A39</f>
        <v>5456</v>
      </c>
      <c r="B40" s="35" t="str">
        <f>'A) Base RI'!B39</f>
        <v>Cudrefin</v>
      </c>
      <c r="C40" s="10">
        <f>'A) Base RI'!AN39</f>
        <v>1555</v>
      </c>
      <c r="D40" s="34">
        <f t="shared" si="1"/>
        <v>1000</v>
      </c>
      <c r="E40" s="10">
        <f t="shared" si="1"/>
        <v>555</v>
      </c>
      <c r="F40" s="10">
        <f t="shared" si="1"/>
        <v>0</v>
      </c>
      <c r="G40" s="10">
        <f t="shared" si="1"/>
        <v>0</v>
      </c>
      <c r="H40" s="10">
        <f t="shared" si="1"/>
        <v>0</v>
      </c>
      <c r="I40" s="44">
        <f t="shared" si="1"/>
        <v>0</v>
      </c>
      <c r="J40" s="10">
        <f t="shared" si="2"/>
        <v>0</v>
      </c>
      <c r="K40" s="67">
        <f t="shared" si="3"/>
        <v>290105.63380281691</v>
      </c>
    </row>
    <row r="41" spans="1:11" x14ac:dyDescent="0.25">
      <c r="A41" s="53">
        <f>'A) Base RI'!A40</f>
        <v>5458</v>
      </c>
      <c r="B41" s="35" t="str">
        <f>'A) Base RI'!B40</f>
        <v>Faoug</v>
      </c>
      <c r="C41" s="10">
        <f>'A) Base RI'!AN40</f>
        <v>870</v>
      </c>
      <c r="D41" s="34">
        <f t="shared" si="1"/>
        <v>870</v>
      </c>
      <c r="E41" s="10">
        <f t="shared" si="1"/>
        <v>0</v>
      </c>
      <c r="F41" s="10">
        <f t="shared" si="1"/>
        <v>0</v>
      </c>
      <c r="G41" s="10">
        <f t="shared" si="1"/>
        <v>0</v>
      </c>
      <c r="H41" s="10">
        <f t="shared" si="1"/>
        <v>0</v>
      </c>
      <c r="I41" s="44">
        <f t="shared" si="1"/>
        <v>0</v>
      </c>
      <c r="J41" s="10">
        <f t="shared" si="2"/>
        <v>0</v>
      </c>
      <c r="K41" s="67">
        <f t="shared" si="3"/>
        <v>85774.647887323939</v>
      </c>
    </row>
    <row r="42" spans="1:11" x14ac:dyDescent="0.25">
      <c r="A42" s="53">
        <f>'A) Base RI'!A41</f>
        <v>5464</v>
      </c>
      <c r="B42" s="35" t="str">
        <f>'A) Base RI'!B41</f>
        <v>Vully-les-Lacs</v>
      </c>
      <c r="C42" s="10">
        <f>'A) Base RI'!AN41</f>
        <v>2935</v>
      </c>
      <c r="D42" s="34">
        <f t="shared" si="1"/>
        <v>1000</v>
      </c>
      <c r="E42" s="10">
        <f t="shared" si="1"/>
        <v>1935</v>
      </c>
      <c r="F42" s="10">
        <f t="shared" si="1"/>
        <v>0</v>
      </c>
      <c r="G42" s="10">
        <f t="shared" si="1"/>
        <v>0</v>
      </c>
      <c r="H42" s="10">
        <f t="shared" si="1"/>
        <v>0</v>
      </c>
      <c r="I42" s="44">
        <f t="shared" si="1"/>
        <v>0</v>
      </c>
      <c r="J42" s="10">
        <f t="shared" si="2"/>
        <v>0</v>
      </c>
      <c r="K42" s="67">
        <f t="shared" si="3"/>
        <v>766302.81690140849</v>
      </c>
    </row>
    <row r="43" spans="1:11" x14ac:dyDescent="0.25">
      <c r="A43" s="53">
        <f>'A) Base RI'!A42</f>
        <v>5471</v>
      </c>
      <c r="B43" s="35" t="str">
        <f>'A) Base RI'!B42</f>
        <v>Bettens</v>
      </c>
      <c r="C43" s="10">
        <f>'A) Base RI'!AN42</f>
        <v>584</v>
      </c>
      <c r="D43" s="34">
        <f t="shared" si="1"/>
        <v>584</v>
      </c>
      <c r="E43" s="10">
        <f t="shared" si="1"/>
        <v>0</v>
      </c>
      <c r="F43" s="10">
        <f t="shared" si="1"/>
        <v>0</v>
      </c>
      <c r="G43" s="10">
        <f t="shared" si="1"/>
        <v>0</v>
      </c>
      <c r="H43" s="10">
        <f t="shared" si="1"/>
        <v>0</v>
      </c>
      <c r="I43" s="44">
        <f t="shared" si="1"/>
        <v>0</v>
      </c>
      <c r="J43" s="10">
        <f t="shared" si="2"/>
        <v>0</v>
      </c>
      <c r="K43" s="67">
        <f t="shared" si="3"/>
        <v>57577.464788732388</v>
      </c>
    </row>
    <row r="44" spans="1:11" x14ac:dyDescent="0.25">
      <c r="A44" s="53">
        <f>'A) Base RI'!A43</f>
        <v>5472</v>
      </c>
      <c r="B44" s="35" t="str">
        <f>'A) Base RI'!B43</f>
        <v>Bournens</v>
      </c>
      <c r="C44" s="10">
        <f>'A) Base RI'!AN43</f>
        <v>370</v>
      </c>
      <c r="D44" s="34">
        <f t="shared" si="1"/>
        <v>370</v>
      </c>
      <c r="E44" s="10">
        <f t="shared" si="1"/>
        <v>0</v>
      </c>
      <c r="F44" s="10">
        <f t="shared" si="1"/>
        <v>0</v>
      </c>
      <c r="G44" s="10">
        <f t="shared" si="1"/>
        <v>0</v>
      </c>
      <c r="H44" s="10">
        <f t="shared" si="1"/>
        <v>0</v>
      </c>
      <c r="I44" s="44">
        <f t="shared" si="1"/>
        <v>0</v>
      </c>
      <c r="J44" s="10">
        <f t="shared" si="2"/>
        <v>0</v>
      </c>
      <c r="K44" s="67">
        <f t="shared" si="3"/>
        <v>36478.873239436616</v>
      </c>
    </row>
    <row r="45" spans="1:11" x14ac:dyDescent="0.25">
      <c r="A45" s="53">
        <f>'A) Base RI'!A44</f>
        <v>5473</v>
      </c>
      <c r="B45" s="35" t="str">
        <f>'A) Base RI'!B44</f>
        <v>Boussens</v>
      </c>
      <c r="C45" s="10">
        <f>'A) Base RI'!AN44</f>
        <v>980</v>
      </c>
      <c r="D45" s="34">
        <f t="shared" si="1"/>
        <v>980</v>
      </c>
      <c r="E45" s="10">
        <f t="shared" si="1"/>
        <v>0</v>
      </c>
      <c r="F45" s="10">
        <f t="shared" si="1"/>
        <v>0</v>
      </c>
      <c r="G45" s="10">
        <f t="shared" si="1"/>
        <v>0</v>
      </c>
      <c r="H45" s="10">
        <f t="shared" si="1"/>
        <v>0</v>
      </c>
      <c r="I45" s="44">
        <f t="shared" si="1"/>
        <v>0</v>
      </c>
      <c r="J45" s="10">
        <f t="shared" si="2"/>
        <v>0</v>
      </c>
      <c r="K45" s="67">
        <f t="shared" si="3"/>
        <v>96619.718309859149</v>
      </c>
    </row>
    <row r="46" spans="1:11" x14ac:dyDescent="0.25">
      <c r="A46" s="53">
        <f>'A) Base RI'!A45</f>
        <v>5474</v>
      </c>
      <c r="B46" s="35" t="str">
        <f>'A) Base RI'!B45</f>
        <v>La Chaux (Cossonay)</v>
      </c>
      <c r="C46" s="10">
        <f>'A) Base RI'!AN45</f>
        <v>421</v>
      </c>
      <c r="D46" s="34">
        <f t="shared" si="1"/>
        <v>421</v>
      </c>
      <c r="E46" s="10">
        <f t="shared" si="1"/>
        <v>0</v>
      </c>
      <c r="F46" s="10">
        <f t="shared" si="1"/>
        <v>0</v>
      </c>
      <c r="G46" s="10">
        <f t="shared" si="1"/>
        <v>0</v>
      </c>
      <c r="H46" s="10">
        <f t="shared" si="1"/>
        <v>0</v>
      </c>
      <c r="I46" s="44">
        <f t="shared" si="1"/>
        <v>0</v>
      </c>
      <c r="J46" s="10">
        <f t="shared" si="2"/>
        <v>0</v>
      </c>
      <c r="K46" s="67">
        <f t="shared" si="3"/>
        <v>41507.042253521126</v>
      </c>
    </row>
    <row r="47" spans="1:11" x14ac:dyDescent="0.25">
      <c r="A47" s="53">
        <f>'A) Base RI'!A46</f>
        <v>5475</v>
      </c>
      <c r="B47" s="35" t="str">
        <f>'A) Base RI'!B46</f>
        <v>Chavannes-le-Veyron</v>
      </c>
      <c r="C47" s="10">
        <f>'A) Base RI'!AN46</f>
        <v>143</v>
      </c>
      <c r="D47" s="34">
        <f t="shared" si="1"/>
        <v>143</v>
      </c>
      <c r="E47" s="10">
        <f t="shared" si="1"/>
        <v>0</v>
      </c>
      <c r="F47" s="10">
        <f t="shared" si="1"/>
        <v>0</v>
      </c>
      <c r="G47" s="10">
        <f t="shared" si="1"/>
        <v>0</v>
      </c>
      <c r="H47" s="10">
        <f t="shared" si="1"/>
        <v>0</v>
      </c>
      <c r="I47" s="44">
        <f t="shared" si="1"/>
        <v>0</v>
      </c>
      <c r="J47" s="10">
        <f t="shared" si="2"/>
        <v>0</v>
      </c>
      <c r="K47" s="67">
        <f t="shared" si="3"/>
        <v>14098.591549295774</v>
      </c>
    </row>
    <row r="48" spans="1:11" x14ac:dyDescent="0.25">
      <c r="A48" s="53">
        <f>'A) Base RI'!A47</f>
        <v>5476</v>
      </c>
      <c r="B48" s="35" t="str">
        <f>'A) Base RI'!B47</f>
        <v>Chevilly</v>
      </c>
      <c r="C48" s="10">
        <f>'A) Base RI'!AN47</f>
        <v>299</v>
      </c>
      <c r="D48" s="34">
        <f t="shared" si="1"/>
        <v>299</v>
      </c>
      <c r="E48" s="10">
        <f t="shared" si="1"/>
        <v>0</v>
      </c>
      <c r="F48" s="10">
        <f t="shared" si="1"/>
        <v>0</v>
      </c>
      <c r="G48" s="10">
        <f t="shared" si="1"/>
        <v>0</v>
      </c>
      <c r="H48" s="10">
        <f t="shared" si="1"/>
        <v>0</v>
      </c>
      <c r="I48" s="44">
        <f t="shared" si="1"/>
        <v>0</v>
      </c>
      <c r="J48" s="10">
        <f t="shared" si="2"/>
        <v>0</v>
      </c>
      <c r="K48" s="67">
        <f t="shared" si="3"/>
        <v>29478.873239436616</v>
      </c>
    </row>
    <row r="49" spans="1:11" x14ac:dyDescent="0.25">
      <c r="A49" s="53">
        <f>'A) Base RI'!A48</f>
        <v>5477</v>
      </c>
      <c r="B49" s="35" t="str">
        <f>'A) Base RI'!B48</f>
        <v>Cossonay</v>
      </c>
      <c r="C49" s="10">
        <f>'A) Base RI'!AN48</f>
        <v>3632</v>
      </c>
      <c r="D49" s="34">
        <f t="shared" si="1"/>
        <v>1000</v>
      </c>
      <c r="E49" s="10">
        <f t="shared" si="1"/>
        <v>2000</v>
      </c>
      <c r="F49" s="10">
        <f t="shared" si="1"/>
        <v>632</v>
      </c>
      <c r="G49" s="10">
        <f t="shared" si="1"/>
        <v>0</v>
      </c>
      <c r="H49" s="10">
        <f t="shared" si="1"/>
        <v>0</v>
      </c>
      <c r="I49" s="44">
        <f t="shared" si="1"/>
        <v>0</v>
      </c>
      <c r="J49" s="10">
        <f t="shared" si="2"/>
        <v>0</v>
      </c>
      <c r="K49" s="67">
        <f t="shared" si="3"/>
        <v>1100281.690140845</v>
      </c>
    </row>
    <row r="50" spans="1:11" x14ac:dyDescent="0.25">
      <c r="A50" s="53">
        <f>'A) Base RI'!A49</f>
        <v>5478</v>
      </c>
      <c r="B50" s="35" t="str">
        <f>'A) Base RI'!B49</f>
        <v>Cottens</v>
      </c>
      <c r="C50" s="10">
        <f>'A) Base RI'!AN49</f>
        <v>483</v>
      </c>
      <c r="D50" s="34">
        <f t="shared" si="1"/>
        <v>483</v>
      </c>
      <c r="E50" s="10">
        <f t="shared" si="1"/>
        <v>0</v>
      </c>
      <c r="F50" s="10">
        <f t="shared" ref="E50:I87" si="4">IF($C50&gt;F$4,IF($C50&lt;F$5,$C50-F$4,F$5-F$4),0)</f>
        <v>0</v>
      </c>
      <c r="G50" s="10">
        <f t="shared" si="4"/>
        <v>0</v>
      </c>
      <c r="H50" s="10">
        <f t="shared" si="4"/>
        <v>0</v>
      </c>
      <c r="I50" s="44">
        <f t="shared" si="4"/>
        <v>0</v>
      </c>
      <c r="J50" s="10">
        <f t="shared" si="2"/>
        <v>0</v>
      </c>
      <c r="K50" s="67">
        <f t="shared" si="3"/>
        <v>47619.718309859149</v>
      </c>
    </row>
    <row r="51" spans="1:11" x14ac:dyDescent="0.25">
      <c r="A51" s="53">
        <f>'A) Base RI'!A50</f>
        <v>5479</v>
      </c>
      <c r="B51" s="35" t="str">
        <f>'A) Base RI'!B50</f>
        <v>Cuarnens</v>
      </c>
      <c r="C51" s="10">
        <f>'A) Base RI'!AN50</f>
        <v>481</v>
      </c>
      <c r="D51" s="34">
        <f t="shared" ref="D51:D107" si="5">IF($C51&gt;D$4,IF($C51&lt;D$5,$C51-D$4,D$5-D$4),0)</f>
        <v>481</v>
      </c>
      <c r="E51" s="10">
        <f t="shared" si="4"/>
        <v>0</v>
      </c>
      <c r="F51" s="10">
        <f t="shared" si="4"/>
        <v>0</v>
      </c>
      <c r="G51" s="10">
        <f t="shared" si="4"/>
        <v>0</v>
      </c>
      <c r="H51" s="10">
        <f t="shared" si="4"/>
        <v>0</v>
      </c>
      <c r="I51" s="44">
        <f t="shared" si="4"/>
        <v>0</v>
      </c>
      <c r="J51" s="10">
        <f t="shared" si="2"/>
        <v>0</v>
      </c>
      <c r="K51" s="67">
        <f t="shared" si="3"/>
        <v>47422.535211267605</v>
      </c>
    </row>
    <row r="52" spans="1:11" x14ac:dyDescent="0.25">
      <c r="A52" s="53">
        <f>'A) Base RI'!A51</f>
        <v>5480</v>
      </c>
      <c r="B52" s="35" t="str">
        <f>'A) Base RI'!B51</f>
        <v>Daillens</v>
      </c>
      <c r="C52" s="10">
        <f>'A) Base RI'!AN51</f>
        <v>958</v>
      </c>
      <c r="D52" s="34">
        <f t="shared" si="5"/>
        <v>958</v>
      </c>
      <c r="E52" s="10">
        <f t="shared" si="4"/>
        <v>0</v>
      </c>
      <c r="F52" s="10">
        <f t="shared" si="4"/>
        <v>0</v>
      </c>
      <c r="G52" s="10">
        <f t="shared" si="4"/>
        <v>0</v>
      </c>
      <c r="H52" s="10">
        <f t="shared" si="4"/>
        <v>0</v>
      </c>
      <c r="I52" s="44">
        <f t="shared" si="4"/>
        <v>0</v>
      </c>
      <c r="J52" s="10">
        <f t="shared" si="2"/>
        <v>0</v>
      </c>
      <c r="K52" s="67">
        <f t="shared" si="3"/>
        <v>94450.704225352107</v>
      </c>
    </row>
    <row r="53" spans="1:11" x14ac:dyDescent="0.25">
      <c r="A53" s="53">
        <f>'A) Base RI'!A52</f>
        <v>5481</v>
      </c>
      <c r="B53" s="35" t="str">
        <f>'A) Base RI'!B52</f>
        <v>Dizy</v>
      </c>
      <c r="C53" s="10">
        <f>'A) Base RI'!AN52</f>
        <v>222</v>
      </c>
      <c r="D53" s="34">
        <f t="shared" si="5"/>
        <v>222</v>
      </c>
      <c r="E53" s="10">
        <f t="shared" si="4"/>
        <v>0</v>
      </c>
      <c r="F53" s="10">
        <f t="shared" si="4"/>
        <v>0</v>
      </c>
      <c r="G53" s="10">
        <f t="shared" si="4"/>
        <v>0</v>
      </c>
      <c r="H53" s="10">
        <f t="shared" si="4"/>
        <v>0</v>
      </c>
      <c r="I53" s="44">
        <f t="shared" si="4"/>
        <v>0</v>
      </c>
      <c r="J53" s="10">
        <f t="shared" si="2"/>
        <v>0</v>
      </c>
      <c r="K53" s="67">
        <f t="shared" si="3"/>
        <v>21887.32394366197</v>
      </c>
    </row>
    <row r="54" spans="1:11" x14ac:dyDescent="0.25">
      <c r="A54" s="53">
        <f>'A) Base RI'!A53</f>
        <v>5482</v>
      </c>
      <c r="B54" s="35" t="str">
        <f>'A) Base RI'!B53</f>
        <v>Eclépens</v>
      </c>
      <c r="C54" s="10">
        <f>'A) Base RI'!AN53</f>
        <v>1043</v>
      </c>
      <c r="D54" s="34">
        <f t="shared" si="5"/>
        <v>1000</v>
      </c>
      <c r="E54" s="10">
        <f t="shared" si="4"/>
        <v>43</v>
      </c>
      <c r="F54" s="10">
        <f t="shared" si="4"/>
        <v>0</v>
      </c>
      <c r="G54" s="10">
        <f t="shared" si="4"/>
        <v>0</v>
      </c>
      <c r="H54" s="10">
        <f t="shared" si="4"/>
        <v>0</v>
      </c>
      <c r="I54" s="44">
        <f t="shared" si="4"/>
        <v>0</v>
      </c>
      <c r="J54" s="10">
        <f t="shared" si="2"/>
        <v>0</v>
      </c>
      <c r="K54" s="67">
        <f t="shared" si="3"/>
        <v>113429.57746478873</v>
      </c>
    </row>
    <row r="55" spans="1:11" x14ac:dyDescent="0.25">
      <c r="A55" s="53">
        <f>'A) Base RI'!A54</f>
        <v>5483</v>
      </c>
      <c r="B55" s="35" t="str">
        <f>'A) Base RI'!B54</f>
        <v>Ferreyres</v>
      </c>
      <c r="C55" s="10">
        <f>'A) Base RI'!AN54</f>
        <v>316</v>
      </c>
      <c r="D55" s="34">
        <f t="shared" si="5"/>
        <v>316</v>
      </c>
      <c r="E55" s="10">
        <f t="shared" si="4"/>
        <v>0</v>
      </c>
      <c r="F55" s="10">
        <f t="shared" si="4"/>
        <v>0</v>
      </c>
      <c r="G55" s="10">
        <f t="shared" si="4"/>
        <v>0</v>
      </c>
      <c r="H55" s="10">
        <f t="shared" si="4"/>
        <v>0</v>
      </c>
      <c r="I55" s="44">
        <f t="shared" si="4"/>
        <v>0</v>
      </c>
      <c r="J55" s="10">
        <f t="shared" si="2"/>
        <v>0</v>
      </c>
      <c r="K55" s="67">
        <f t="shared" si="3"/>
        <v>31154.929577464787</v>
      </c>
    </row>
    <row r="56" spans="1:11" x14ac:dyDescent="0.25">
      <c r="A56" s="53">
        <f>'A) Base RI'!A55</f>
        <v>5484</v>
      </c>
      <c r="B56" s="35" t="str">
        <f>'A) Base RI'!B55</f>
        <v>Gollion</v>
      </c>
      <c r="C56" s="10">
        <f>'A) Base RI'!AN55</f>
        <v>902</v>
      </c>
      <c r="D56" s="34">
        <f t="shared" si="5"/>
        <v>902</v>
      </c>
      <c r="E56" s="10">
        <f t="shared" si="4"/>
        <v>0</v>
      </c>
      <c r="F56" s="10">
        <f t="shared" si="4"/>
        <v>0</v>
      </c>
      <c r="G56" s="10">
        <f t="shared" si="4"/>
        <v>0</v>
      </c>
      <c r="H56" s="10">
        <f t="shared" si="4"/>
        <v>0</v>
      </c>
      <c r="I56" s="44">
        <f t="shared" si="4"/>
        <v>0</v>
      </c>
      <c r="J56" s="10">
        <f t="shared" si="2"/>
        <v>0</v>
      </c>
      <c r="K56" s="67">
        <f t="shared" si="3"/>
        <v>88929.57746478873</v>
      </c>
    </row>
    <row r="57" spans="1:11" x14ac:dyDescent="0.25">
      <c r="A57" s="53">
        <f>'A) Base RI'!A56</f>
        <v>5485</v>
      </c>
      <c r="B57" s="35" t="str">
        <f>'A) Base RI'!B56</f>
        <v>Grancy</v>
      </c>
      <c r="C57" s="10">
        <f>'A) Base RI'!AN56</f>
        <v>408</v>
      </c>
      <c r="D57" s="34">
        <f t="shared" si="5"/>
        <v>408</v>
      </c>
      <c r="E57" s="10">
        <f t="shared" si="4"/>
        <v>0</v>
      </c>
      <c r="F57" s="10">
        <f t="shared" si="4"/>
        <v>0</v>
      </c>
      <c r="G57" s="10">
        <f t="shared" si="4"/>
        <v>0</v>
      </c>
      <c r="H57" s="10">
        <f t="shared" si="4"/>
        <v>0</v>
      </c>
      <c r="I57" s="44">
        <f t="shared" si="4"/>
        <v>0</v>
      </c>
      <c r="J57" s="10">
        <f t="shared" si="2"/>
        <v>0</v>
      </c>
      <c r="K57" s="67">
        <f t="shared" si="3"/>
        <v>40225.352112676053</v>
      </c>
    </row>
    <row r="58" spans="1:11" x14ac:dyDescent="0.25">
      <c r="A58" s="53">
        <f>'A) Base RI'!A57</f>
        <v>5486</v>
      </c>
      <c r="B58" s="35" t="str">
        <f>'A) Base RI'!B57</f>
        <v>L'Isle</v>
      </c>
      <c r="C58" s="10">
        <f>'A) Base RI'!AN57</f>
        <v>1033</v>
      </c>
      <c r="D58" s="34">
        <f t="shared" si="5"/>
        <v>1000</v>
      </c>
      <c r="E58" s="10">
        <f t="shared" si="4"/>
        <v>33</v>
      </c>
      <c r="F58" s="10">
        <f t="shared" si="4"/>
        <v>0</v>
      </c>
      <c r="G58" s="10">
        <f t="shared" si="4"/>
        <v>0</v>
      </c>
      <c r="H58" s="10">
        <f t="shared" si="4"/>
        <v>0</v>
      </c>
      <c r="I58" s="44">
        <f t="shared" si="4"/>
        <v>0</v>
      </c>
      <c r="J58" s="10">
        <f t="shared" si="2"/>
        <v>0</v>
      </c>
      <c r="K58" s="67">
        <f t="shared" si="3"/>
        <v>109978.87323943662</v>
      </c>
    </row>
    <row r="59" spans="1:11" x14ac:dyDescent="0.25">
      <c r="A59" s="53">
        <f>'A) Base RI'!A58</f>
        <v>5487</v>
      </c>
      <c r="B59" s="35" t="str">
        <f>'A) Base RI'!B58</f>
        <v>Lussery-Villars</v>
      </c>
      <c r="C59" s="10">
        <f>'A) Base RI'!AN58</f>
        <v>462</v>
      </c>
      <c r="D59" s="34">
        <f t="shared" si="5"/>
        <v>462</v>
      </c>
      <c r="E59" s="10">
        <f t="shared" si="4"/>
        <v>0</v>
      </c>
      <c r="F59" s="10">
        <f t="shared" si="4"/>
        <v>0</v>
      </c>
      <c r="G59" s="10">
        <f t="shared" si="4"/>
        <v>0</v>
      </c>
      <c r="H59" s="10">
        <f t="shared" si="4"/>
        <v>0</v>
      </c>
      <c r="I59" s="44">
        <f t="shared" si="4"/>
        <v>0</v>
      </c>
      <c r="J59" s="10">
        <f t="shared" si="2"/>
        <v>0</v>
      </c>
      <c r="K59" s="67">
        <f t="shared" si="3"/>
        <v>45549.295774647886</v>
      </c>
    </row>
    <row r="60" spans="1:11" x14ac:dyDescent="0.25">
      <c r="A60" s="53">
        <f>'A) Base RI'!A59</f>
        <v>5488</v>
      </c>
      <c r="B60" s="35" t="str">
        <f>'A) Base RI'!B59</f>
        <v>Mauraz</v>
      </c>
      <c r="C60" s="10">
        <f>'A) Base RI'!AN59</f>
        <v>53</v>
      </c>
      <c r="D60" s="34">
        <f t="shared" si="5"/>
        <v>53</v>
      </c>
      <c r="E60" s="10">
        <f t="shared" si="4"/>
        <v>0</v>
      </c>
      <c r="F60" s="10">
        <f t="shared" si="4"/>
        <v>0</v>
      </c>
      <c r="G60" s="10">
        <f t="shared" si="4"/>
        <v>0</v>
      </c>
      <c r="H60" s="10">
        <f t="shared" si="4"/>
        <v>0</v>
      </c>
      <c r="I60" s="44">
        <f t="shared" si="4"/>
        <v>0</v>
      </c>
      <c r="J60" s="10">
        <f t="shared" si="2"/>
        <v>0</v>
      </c>
      <c r="K60" s="67">
        <f t="shared" si="3"/>
        <v>5225.3521126760561</v>
      </c>
    </row>
    <row r="61" spans="1:11" x14ac:dyDescent="0.25">
      <c r="A61" s="53">
        <f>'A) Base RI'!A60</f>
        <v>5489</v>
      </c>
      <c r="B61" s="35" t="str">
        <f>'A) Base RI'!B60</f>
        <v>Mex</v>
      </c>
      <c r="C61" s="10">
        <f>'A) Base RI'!AN60</f>
        <v>710</v>
      </c>
      <c r="D61" s="34">
        <f t="shared" si="5"/>
        <v>710</v>
      </c>
      <c r="E61" s="10">
        <f t="shared" si="4"/>
        <v>0</v>
      </c>
      <c r="F61" s="10">
        <f t="shared" si="4"/>
        <v>0</v>
      </c>
      <c r="G61" s="10">
        <f t="shared" si="4"/>
        <v>0</v>
      </c>
      <c r="H61" s="10">
        <f t="shared" si="4"/>
        <v>0</v>
      </c>
      <c r="I61" s="44">
        <f t="shared" si="4"/>
        <v>0</v>
      </c>
      <c r="J61" s="10">
        <f t="shared" si="2"/>
        <v>0</v>
      </c>
      <c r="K61" s="67">
        <f t="shared" si="3"/>
        <v>70000</v>
      </c>
    </row>
    <row r="62" spans="1:11" x14ac:dyDescent="0.25">
      <c r="A62" s="53">
        <f>'A) Base RI'!A61</f>
        <v>5490</v>
      </c>
      <c r="B62" s="35" t="str">
        <f>'A) Base RI'!B61</f>
        <v>Moiry</v>
      </c>
      <c r="C62" s="10">
        <f>'A) Base RI'!AN61</f>
        <v>304</v>
      </c>
      <c r="D62" s="34">
        <f t="shared" si="5"/>
        <v>304</v>
      </c>
      <c r="E62" s="10">
        <f t="shared" si="4"/>
        <v>0</v>
      </c>
      <c r="F62" s="10">
        <f t="shared" si="4"/>
        <v>0</v>
      </c>
      <c r="G62" s="10">
        <f t="shared" si="4"/>
        <v>0</v>
      </c>
      <c r="H62" s="10">
        <f t="shared" si="4"/>
        <v>0</v>
      </c>
      <c r="I62" s="44">
        <f t="shared" si="4"/>
        <v>0</v>
      </c>
      <c r="J62" s="10">
        <f t="shared" si="2"/>
        <v>0</v>
      </c>
      <c r="K62" s="67">
        <f t="shared" si="3"/>
        <v>29971.830985915491</v>
      </c>
    </row>
    <row r="63" spans="1:11" x14ac:dyDescent="0.25">
      <c r="A63" s="53">
        <f>'A) Base RI'!A62</f>
        <v>5491</v>
      </c>
      <c r="B63" s="35" t="str">
        <f>'A) Base RI'!B62</f>
        <v>Mont-la-Ville</v>
      </c>
      <c r="C63" s="10">
        <f>'A) Base RI'!AN62</f>
        <v>402</v>
      </c>
      <c r="D63" s="34">
        <f t="shared" si="5"/>
        <v>402</v>
      </c>
      <c r="E63" s="10">
        <f t="shared" si="4"/>
        <v>0</v>
      </c>
      <c r="F63" s="10">
        <f t="shared" si="4"/>
        <v>0</v>
      </c>
      <c r="G63" s="10">
        <f t="shared" si="4"/>
        <v>0</v>
      </c>
      <c r="H63" s="10">
        <f t="shared" si="4"/>
        <v>0</v>
      </c>
      <c r="I63" s="44">
        <f t="shared" si="4"/>
        <v>0</v>
      </c>
      <c r="J63" s="10">
        <f t="shared" si="2"/>
        <v>0</v>
      </c>
      <c r="K63" s="67">
        <f t="shared" si="3"/>
        <v>39633.802816901407</v>
      </c>
    </row>
    <row r="64" spans="1:11" x14ac:dyDescent="0.25">
      <c r="A64" s="53">
        <f>'A) Base RI'!A63</f>
        <v>5492</v>
      </c>
      <c r="B64" s="35" t="str">
        <f>'A) Base RI'!B63</f>
        <v>Montricher</v>
      </c>
      <c r="C64" s="10">
        <f>'A) Base RI'!AN63</f>
        <v>951</v>
      </c>
      <c r="D64" s="34">
        <f t="shared" si="5"/>
        <v>951</v>
      </c>
      <c r="E64" s="10">
        <f t="shared" si="4"/>
        <v>0</v>
      </c>
      <c r="F64" s="10">
        <f t="shared" si="4"/>
        <v>0</v>
      </c>
      <c r="G64" s="10">
        <f t="shared" si="4"/>
        <v>0</v>
      </c>
      <c r="H64" s="10">
        <f t="shared" si="4"/>
        <v>0</v>
      </c>
      <c r="I64" s="44">
        <f t="shared" si="4"/>
        <v>0</v>
      </c>
      <c r="J64" s="10">
        <f t="shared" si="2"/>
        <v>0</v>
      </c>
      <c r="K64" s="67">
        <f t="shared" si="3"/>
        <v>93760.563380281688</v>
      </c>
    </row>
    <row r="65" spans="1:11" x14ac:dyDescent="0.25">
      <c r="A65" s="53">
        <f>'A) Base RI'!A64</f>
        <v>5493</v>
      </c>
      <c r="B65" s="35" t="str">
        <f>'A) Base RI'!B64</f>
        <v>Orny</v>
      </c>
      <c r="C65" s="10">
        <f>'A) Base RI'!AN64</f>
        <v>371</v>
      </c>
      <c r="D65" s="34">
        <f t="shared" si="5"/>
        <v>371</v>
      </c>
      <c r="E65" s="10">
        <f t="shared" si="4"/>
        <v>0</v>
      </c>
      <c r="F65" s="10">
        <f t="shared" si="4"/>
        <v>0</v>
      </c>
      <c r="G65" s="10">
        <f t="shared" si="4"/>
        <v>0</v>
      </c>
      <c r="H65" s="10">
        <f t="shared" si="4"/>
        <v>0</v>
      </c>
      <c r="I65" s="44">
        <f t="shared" si="4"/>
        <v>0</v>
      </c>
      <c r="J65" s="10">
        <f t="shared" si="2"/>
        <v>0</v>
      </c>
      <c r="K65" s="67">
        <f t="shared" si="3"/>
        <v>36577.464788732395</v>
      </c>
    </row>
    <row r="66" spans="1:11" x14ac:dyDescent="0.25">
      <c r="A66" s="53">
        <f>'A) Base RI'!A65</f>
        <v>5494</v>
      </c>
      <c r="B66" s="35" t="str">
        <f>'A) Base RI'!B65</f>
        <v>Pampigny</v>
      </c>
      <c r="C66" s="10">
        <f>'A) Base RI'!AN65</f>
        <v>1116</v>
      </c>
      <c r="D66" s="34">
        <f t="shared" si="5"/>
        <v>1000</v>
      </c>
      <c r="E66" s="10">
        <f t="shared" si="4"/>
        <v>116</v>
      </c>
      <c r="F66" s="10">
        <f t="shared" si="4"/>
        <v>0</v>
      </c>
      <c r="G66" s="10">
        <f t="shared" si="4"/>
        <v>0</v>
      </c>
      <c r="H66" s="10">
        <f t="shared" si="4"/>
        <v>0</v>
      </c>
      <c r="I66" s="44">
        <f t="shared" si="4"/>
        <v>0</v>
      </c>
      <c r="J66" s="10">
        <f t="shared" si="2"/>
        <v>0</v>
      </c>
      <c r="K66" s="67">
        <f t="shared" si="3"/>
        <v>138619.71830985916</v>
      </c>
    </row>
    <row r="67" spans="1:11" x14ac:dyDescent="0.25">
      <c r="A67" s="53">
        <f>'A) Base RI'!A66</f>
        <v>5495</v>
      </c>
      <c r="B67" s="35" t="str">
        <f>'A) Base RI'!B66</f>
        <v>Penthalaz</v>
      </c>
      <c r="C67" s="10">
        <f>'A) Base RI'!AN66</f>
        <v>3252</v>
      </c>
      <c r="D67" s="34">
        <f t="shared" si="5"/>
        <v>1000</v>
      </c>
      <c r="E67" s="10">
        <f t="shared" si="4"/>
        <v>2000</v>
      </c>
      <c r="F67" s="10">
        <f t="shared" si="4"/>
        <v>252</v>
      </c>
      <c r="G67" s="10">
        <f t="shared" si="4"/>
        <v>0</v>
      </c>
      <c r="H67" s="10">
        <f t="shared" si="4"/>
        <v>0</v>
      </c>
      <c r="I67" s="44">
        <f t="shared" si="4"/>
        <v>0</v>
      </c>
      <c r="J67" s="10">
        <f t="shared" si="2"/>
        <v>0</v>
      </c>
      <c r="K67" s="67">
        <f t="shared" si="3"/>
        <v>912957.74647887319</v>
      </c>
    </row>
    <row r="68" spans="1:11" x14ac:dyDescent="0.25">
      <c r="A68" s="53">
        <f>'A) Base RI'!A67</f>
        <v>5496</v>
      </c>
      <c r="B68" s="35" t="str">
        <f>'A) Base RI'!B67</f>
        <v>Penthaz</v>
      </c>
      <c r="C68" s="10">
        <f>'A) Base RI'!AN67</f>
        <v>1703</v>
      </c>
      <c r="D68" s="34">
        <f t="shared" si="5"/>
        <v>1000</v>
      </c>
      <c r="E68" s="10">
        <f t="shared" si="4"/>
        <v>703</v>
      </c>
      <c r="F68" s="10">
        <f t="shared" si="4"/>
        <v>0</v>
      </c>
      <c r="G68" s="10">
        <f t="shared" si="4"/>
        <v>0</v>
      </c>
      <c r="H68" s="10">
        <f t="shared" si="4"/>
        <v>0</v>
      </c>
      <c r="I68" s="44">
        <f t="shared" si="4"/>
        <v>0</v>
      </c>
      <c r="J68" s="10">
        <f t="shared" si="2"/>
        <v>0</v>
      </c>
      <c r="K68" s="67">
        <f t="shared" si="3"/>
        <v>341176.05633802817</v>
      </c>
    </row>
    <row r="69" spans="1:11" x14ac:dyDescent="0.25">
      <c r="A69" s="53">
        <f>'A) Base RI'!A68</f>
        <v>5497</v>
      </c>
      <c r="B69" s="35" t="str">
        <f>'A) Base RI'!B68</f>
        <v>Pompaples</v>
      </c>
      <c r="C69" s="10">
        <f>'A) Base RI'!AN68</f>
        <v>859</v>
      </c>
      <c r="D69" s="34">
        <f t="shared" si="5"/>
        <v>859</v>
      </c>
      <c r="E69" s="10">
        <f t="shared" si="4"/>
        <v>0</v>
      </c>
      <c r="F69" s="10">
        <f t="shared" si="4"/>
        <v>0</v>
      </c>
      <c r="G69" s="10">
        <f t="shared" si="4"/>
        <v>0</v>
      </c>
      <c r="H69" s="10">
        <f t="shared" si="4"/>
        <v>0</v>
      </c>
      <c r="I69" s="44">
        <f t="shared" si="4"/>
        <v>0</v>
      </c>
      <c r="J69" s="10">
        <f t="shared" si="2"/>
        <v>0</v>
      </c>
      <c r="K69" s="67">
        <f t="shared" si="3"/>
        <v>84690.140845070418</v>
      </c>
    </row>
    <row r="70" spans="1:11" x14ac:dyDescent="0.25">
      <c r="A70" s="53">
        <f>'A) Base RI'!A69</f>
        <v>5498</v>
      </c>
      <c r="B70" s="35" t="str">
        <f>'A) Base RI'!B69</f>
        <v>La Sarraz</v>
      </c>
      <c r="C70" s="10">
        <f>'A) Base RI'!AN69</f>
        <v>2567</v>
      </c>
      <c r="D70" s="34">
        <f t="shared" si="5"/>
        <v>1000</v>
      </c>
      <c r="E70" s="10">
        <f t="shared" si="4"/>
        <v>1567</v>
      </c>
      <c r="F70" s="10">
        <f t="shared" si="4"/>
        <v>0</v>
      </c>
      <c r="G70" s="10">
        <f t="shared" si="4"/>
        <v>0</v>
      </c>
      <c r="H70" s="10">
        <f t="shared" si="4"/>
        <v>0</v>
      </c>
      <c r="I70" s="44">
        <f t="shared" si="4"/>
        <v>0</v>
      </c>
      <c r="J70" s="10">
        <f t="shared" si="2"/>
        <v>0</v>
      </c>
      <c r="K70" s="67">
        <f t="shared" si="3"/>
        <v>639316.90140845068</v>
      </c>
    </row>
    <row r="71" spans="1:11" x14ac:dyDescent="0.25">
      <c r="A71" s="53">
        <f>'A) Base RI'!A70</f>
        <v>5499</v>
      </c>
      <c r="B71" s="35" t="str">
        <f>'A) Base RI'!B70</f>
        <v>Senarclens</v>
      </c>
      <c r="C71" s="10">
        <f>'A) Base RI'!AN70</f>
        <v>459</v>
      </c>
      <c r="D71" s="34">
        <f t="shared" si="5"/>
        <v>459</v>
      </c>
      <c r="E71" s="10">
        <f t="shared" si="4"/>
        <v>0</v>
      </c>
      <c r="F71" s="10">
        <f t="shared" si="4"/>
        <v>0</v>
      </c>
      <c r="G71" s="10">
        <f t="shared" si="4"/>
        <v>0</v>
      </c>
      <c r="H71" s="10">
        <f t="shared" si="4"/>
        <v>0</v>
      </c>
      <c r="I71" s="44">
        <f t="shared" si="4"/>
        <v>0</v>
      </c>
      <c r="J71" s="10">
        <f t="shared" si="2"/>
        <v>0</v>
      </c>
      <c r="K71" s="67">
        <f t="shared" si="3"/>
        <v>45253.521126760563</v>
      </c>
    </row>
    <row r="72" spans="1:11" x14ac:dyDescent="0.25">
      <c r="A72" s="53">
        <f>'A) Base RI'!A71</f>
        <v>5500</v>
      </c>
      <c r="B72" s="35" t="str">
        <f>'A) Base RI'!B71</f>
        <v>Sévery</v>
      </c>
      <c r="C72" s="10">
        <f>'A) Base RI'!AN71</f>
        <v>243</v>
      </c>
      <c r="D72" s="34">
        <f t="shared" si="5"/>
        <v>243</v>
      </c>
      <c r="E72" s="10">
        <f t="shared" si="4"/>
        <v>0</v>
      </c>
      <c r="F72" s="10">
        <f t="shared" si="4"/>
        <v>0</v>
      </c>
      <c r="G72" s="10">
        <f t="shared" si="4"/>
        <v>0</v>
      </c>
      <c r="H72" s="10">
        <f t="shared" si="4"/>
        <v>0</v>
      </c>
      <c r="I72" s="44">
        <f t="shared" si="4"/>
        <v>0</v>
      </c>
      <c r="J72" s="10">
        <f t="shared" si="2"/>
        <v>0</v>
      </c>
      <c r="K72" s="67">
        <f t="shared" si="3"/>
        <v>23957.74647887324</v>
      </c>
    </row>
    <row r="73" spans="1:11" x14ac:dyDescent="0.25">
      <c r="A73" s="53">
        <f>'A) Base RI'!A72</f>
        <v>5501</v>
      </c>
      <c r="B73" s="35" t="str">
        <f>'A) Base RI'!B72</f>
        <v>Sullens</v>
      </c>
      <c r="C73" s="10">
        <f>'A) Base RI'!AN72</f>
        <v>978</v>
      </c>
      <c r="D73" s="34">
        <f t="shared" si="5"/>
        <v>978</v>
      </c>
      <c r="E73" s="10">
        <f t="shared" si="4"/>
        <v>0</v>
      </c>
      <c r="F73" s="10">
        <f t="shared" si="4"/>
        <v>0</v>
      </c>
      <c r="G73" s="10">
        <f t="shared" si="4"/>
        <v>0</v>
      </c>
      <c r="H73" s="10">
        <f t="shared" si="4"/>
        <v>0</v>
      </c>
      <c r="I73" s="44">
        <f t="shared" si="4"/>
        <v>0</v>
      </c>
      <c r="J73" s="10">
        <f t="shared" ref="J73:J119" si="6">IF(C73&gt;$J$4,C73-$J$4,0)</f>
        <v>0</v>
      </c>
      <c r="K73" s="67">
        <f t="shared" ref="K73:K136" si="7">(D73*D$7)+(E73*E$7)+(F73*F$7)+(G73*G$7)+(H73*H$7)+(I73*I$7)+(J73*J$7)</f>
        <v>96422.535211267605</v>
      </c>
    </row>
    <row r="74" spans="1:11" x14ac:dyDescent="0.25">
      <c r="A74" s="53">
        <f>'A) Base RI'!A73</f>
        <v>5503</v>
      </c>
      <c r="B74" s="35" t="str">
        <f>'A) Base RI'!B73</f>
        <v>Vufflens-la-Ville</v>
      </c>
      <c r="C74" s="10">
        <f>'A) Base RI'!AN73</f>
        <v>1252</v>
      </c>
      <c r="D74" s="34">
        <f t="shared" si="5"/>
        <v>1000</v>
      </c>
      <c r="E74" s="10">
        <f t="shared" si="4"/>
        <v>252</v>
      </c>
      <c r="F74" s="10">
        <f t="shared" si="4"/>
        <v>0</v>
      </c>
      <c r="G74" s="10">
        <f t="shared" si="4"/>
        <v>0</v>
      </c>
      <c r="H74" s="10">
        <f t="shared" si="4"/>
        <v>0</v>
      </c>
      <c r="I74" s="44">
        <f t="shared" si="4"/>
        <v>0</v>
      </c>
      <c r="J74" s="10">
        <f t="shared" si="6"/>
        <v>0</v>
      </c>
      <c r="K74" s="67">
        <f t="shared" si="7"/>
        <v>185549.29577464788</v>
      </c>
    </row>
    <row r="75" spans="1:11" x14ac:dyDescent="0.25">
      <c r="A75" s="53">
        <f>'A) Base RI'!A74</f>
        <v>5511</v>
      </c>
      <c r="B75" s="35" t="str">
        <f>'A) Base RI'!B74</f>
        <v>Assens</v>
      </c>
      <c r="C75" s="10">
        <f>'A) Base RI'!AN74</f>
        <v>1060</v>
      </c>
      <c r="D75" s="34">
        <f t="shared" si="5"/>
        <v>1000</v>
      </c>
      <c r="E75" s="10">
        <f t="shared" si="4"/>
        <v>60</v>
      </c>
      <c r="F75" s="10">
        <f t="shared" si="4"/>
        <v>0</v>
      </c>
      <c r="G75" s="10">
        <f t="shared" si="4"/>
        <v>0</v>
      </c>
      <c r="H75" s="10">
        <f t="shared" si="4"/>
        <v>0</v>
      </c>
      <c r="I75" s="44">
        <f t="shared" si="4"/>
        <v>0</v>
      </c>
      <c r="J75" s="10">
        <f t="shared" si="6"/>
        <v>0</v>
      </c>
      <c r="K75" s="67">
        <f t="shared" si="7"/>
        <v>119295.77464788733</v>
      </c>
    </row>
    <row r="76" spans="1:11" x14ac:dyDescent="0.25">
      <c r="A76" s="53">
        <f>'A) Base RI'!A75</f>
        <v>5512</v>
      </c>
      <c r="B76" s="35" t="str">
        <f>'A) Base RI'!B75</f>
        <v>Bercher</v>
      </c>
      <c r="C76" s="10">
        <f>'A) Base RI'!AN75</f>
        <v>1157</v>
      </c>
      <c r="D76" s="34">
        <f t="shared" si="5"/>
        <v>1000</v>
      </c>
      <c r="E76" s="10">
        <f t="shared" si="4"/>
        <v>157</v>
      </c>
      <c r="F76" s="10">
        <f t="shared" si="4"/>
        <v>0</v>
      </c>
      <c r="G76" s="10">
        <f t="shared" si="4"/>
        <v>0</v>
      </c>
      <c r="H76" s="10">
        <f t="shared" si="4"/>
        <v>0</v>
      </c>
      <c r="I76" s="44">
        <f t="shared" si="4"/>
        <v>0</v>
      </c>
      <c r="J76" s="10">
        <f t="shared" si="6"/>
        <v>0</v>
      </c>
      <c r="K76" s="67">
        <f t="shared" si="7"/>
        <v>152767.60563380283</v>
      </c>
    </row>
    <row r="77" spans="1:11" x14ac:dyDescent="0.25">
      <c r="A77" s="53">
        <f>'A) Base RI'!A76</f>
        <v>5513</v>
      </c>
      <c r="B77" s="35" t="str">
        <f>'A) Base RI'!B76</f>
        <v>Bioley-Orjulaz</v>
      </c>
      <c r="C77" s="10">
        <f>'A) Base RI'!AN76</f>
        <v>483</v>
      </c>
      <c r="D77" s="34">
        <f t="shared" si="5"/>
        <v>483</v>
      </c>
      <c r="E77" s="10">
        <f t="shared" si="4"/>
        <v>0</v>
      </c>
      <c r="F77" s="10">
        <f t="shared" si="4"/>
        <v>0</v>
      </c>
      <c r="G77" s="10">
        <f t="shared" si="4"/>
        <v>0</v>
      </c>
      <c r="H77" s="10">
        <f t="shared" si="4"/>
        <v>0</v>
      </c>
      <c r="I77" s="44">
        <f t="shared" si="4"/>
        <v>0</v>
      </c>
      <c r="J77" s="10">
        <f t="shared" si="6"/>
        <v>0</v>
      </c>
      <c r="K77" s="67">
        <f t="shared" si="7"/>
        <v>47619.718309859149</v>
      </c>
    </row>
    <row r="78" spans="1:11" x14ac:dyDescent="0.25">
      <c r="A78" s="53">
        <f>'A) Base RI'!A77</f>
        <v>5514</v>
      </c>
      <c r="B78" s="35" t="str">
        <f>'A) Base RI'!B77</f>
        <v>Bottens</v>
      </c>
      <c r="C78" s="10">
        <f>'A) Base RI'!AN77</f>
        <v>1240</v>
      </c>
      <c r="D78" s="34">
        <f t="shared" si="5"/>
        <v>1000</v>
      </c>
      <c r="E78" s="10">
        <f t="shared" si="4"/>
        <v>240</v>
      </c>
      <c r="F78" s="10">
        <f t="shared" si="4"/>
        <v>0</v>
      </c>
      <c r="G78" s="10">
        <f t="shared" si="4"/>
        <v>0</v>
      </c>
      <c r="H78" s="10">
        <f t="shared" si="4"/>
        <v>0</v>
      </c>
      <c r="I78" s="44">
        <f t="shared" si="4"/>
        <v>0</v>
      </c>
      <c r="J78" s="10">
        <f t="shared" si="6"/>
        <v>0</v>
      </c>
      <c r="K78" s="67">
        <f t="shared" si="7"/>
        <v>181408.45070422534</v>
      </c>
    </row>
    <row r="79" spans="1:11" x14ac:dyDescent="0.25">
      <c r="A79" s="53">
        <f>'A) Base RI'!A78</f>
        <v>5515</v>
      </c>
      <c r="B79" s="35" t="str">
        <f>'A) Base RI'!B78</f>
        <v>Bretigny-sur-Morrens</v>
      </c>
      <c r="C79" s="10">
        <f>'A) Base RI'!AN78</f>
        <v>817</v>
      </c>
      <c r="D79" s="34">
        <f t="shared" si="5"/>
        <v>817</v>
      </c>
      <c r="E79" s="10">
        <f t="shared" si="4"/>
        <v>0</v>
      </c>
      <c r="F79" s="10">
        <f t="shared" si="4"/>
        <v>0</v>
      </c>
      <c r="G79" s="10">
        <f t="shared" si="4"/>
        <v>0</v>
      </c>
      <c r="H79" s="10">
        <f t="shared" si="4"/>
        <v>0</v>
      </c>
      <c r="I79" s="44">
        <f t="shared" si="4"/>
        <v>0</v>
      </c>
      <c r="J79" s="10">
        <f t="shared" si="6"/>
        <v>0</v>
      </c>
      <c r="K79" s="67">
        <f t="shared" si="7"/>
        <v>80549.295774647879</v>
      </c>
    </row>
    <row r="80" spans="1:11" x14ac:dyDescent="0.25">
      <c r="A80" s="53">
        <f>'A) Base RI'!A79</f>
        <v>5516</v>
      </c>
      <c r="B80" s="35" t="str">
        <f>'A) Base RI'!B79</f>
        <v>Cugy</v>
      </c>
      <c r="C80" s="10">
        <f>'A) Base RI'!AN79</f>
        <v>2739</v>
      </c>
      <c r="D80" s="34">
        <f t="shared" si="5"/>
        <v>1000</v>
      </c>
      <c r="E80" s="10">
        <f t="shared" si="4"/>
        <v>1739</v>
      </c>
      <c r="F80" s="10">
        <f t="shared" si="4"/>
        <v>0</v>
      </c>
      <c r="G80" s="10">
        <f t="shared" si="4"/>
        <v>0</v>
      </c>
      <c r="H80" s="10">
        <f t="shared" si="4"/>
        <v>0</v>
      </c>
      <c r="I80" s="44">
        <f t="shared" si="4"/>
        <v>0</v>
      </c>
      <c r="J80" s="10">
        <f t="shared" si="6"/>
        <v>0</v>
      </c>
      <c r="K80" s="67">
        <f t="shared" si="7"/>
        <v>698669.01408450701</v>
      </c>
    </row>
    <row r="81" spans="1:11" x14ac:dyDescent="0.25">
      <c r="A81" s="53">
        <f>'A) Base RI'!A80</f>
        <v>5518</v>
      </c>
      <c r="B81" s="35" t="str">
        <f>'A) Base RI'!B80</f>
        <v>Echallens</v>
      </c>
      <c r="C81" s="10">
        <f>'A) Base RI'!AN80</f>
        <v>5677</v>
      </c>
      <c r="D81" s="34">
        <f t="shared" si="5"/>
        <v>1000</v>
      </c>
      <c r="E81" s="10">
        <f t="shared" si="4"/>
        <v>2000</v>
      </c>
      <c r="F81" s="10">
        <f t="shared" si="4"/>
        <v>2000</v>
      </c>
      <c r="G81" s="10">
        <f t="shared" si="4"/>
        <v>677</v>
      </c>
      <c r="H81" s="10">
        <f t="shared" si="4"/>
        <v>0</v>
      </c>
      <c r="I81" s="44">
        <f t="shared" si="4"/>
        <v>0</v>
      </c>
      <c r="J81" s="10">
        <f t="shared" si="6"/>
        <v>0</v>
      </c>
      <c r="K81" s="67">
        <f t="shared" si="7"/>
        <v>2175126.7605633801</v>
      </c>
    </row>
    <row r="82" spans="1:11" x14ac:dyDescent="0.25">
      <c r="A82" s="53">
        <f>'A) Base RI'!A81</f>
        <v>5520</v>
      </c>
      <c r="B82" s="35" t="str">
        <f>'A) Base RI'!B81</f>
        <v>Essertines-sur-Yverdon</v>
      </c>
      <c r="C82" s="10">
        <f>'A) Base RI'!AN81</f>
        <v>943</v>
      </c>
      <c r="D82" s="34">
        <f t="shared" si="5"/>
        <v>943</v>
      </c>
      <c r="E82" s="10">
        <f t="shared" si="4"/>
        <v>0</v>
      </c>
      <c r="F82" s="10">
        <f t="shared" si="4"/>
        <v>0</v>
      </c>
      <c r="G82" s="10">
        <f t="shared" si="4"/>
        <v>0</v>
      </c>
      <c r="H82" s="10">
        <f t="shared" si="4"/>
        <v>0</v>
      </c>
      <c r="I82" s="44">
        <f t="shared" si="4"/>
        <v>0</v>
      </c>
      <c r="J82" s="10">
        <f t="shared" si="6"/>
        <v>0</v>
      </c>
      <c r="K82" s="67">
        <f t="shared" si="7"/>
        <v>92971.830985915483</v>
      </c>
    </row>
    <row r="83" spans="1:11" x14ac:dyDescent="0.25">
      <c r="A83" s="53">
        <f>'A) Base RI'!A82</f>
        <v>5521</v>
      </c>
      <c r="B83" s="35" t="str">
        <f>'A) Base RI'!B82</f>
        <v>Etagnières</v>
      </c>
      <c r="C83" s="10">
        <f>'A) Base RI'!AN82</f>
        <v>1118</v>
      </c>
      <c r="D83" s="34">
        <f t="shared" si="5"/>
        <v>1000</v>
      </c>
      <c r="E83" s="10">
        <f t="shared" si="4"/>
        <v>118</v>
      </c>
      <c r="F83" s="10">
        <f t="shared" si="4"/>
        <v>0</v>
      </c>
      <c r="G83" s="10">
        <f t="shared" si="4"/>
        <v>0</v>
      </c>
      <c r="H83" s="10">
        <f t="shared" si="4"/>
        <v>0</v>
      </c>
      <c r="I83" s="44">
        <f t="shared" si="4"/>
        <v>0</v>
      </c>
      <c r="J83" s="10">
        <f t="shared" si="6"/>
        <v>0</v>
      </c>
      <c r="K83" s="67">
        <f t="shared" si="7"/>
        <v>139309.85915492958</v>
      </c>
    </row>
    <row r="84" spans="1:11" x14ac:dyDescent="0.25">
      <c r="A84" s="53">
        <f>'A) Base RI'!A83</f>
        <v>5522</v>
      </c>
      <c r="B84" s="35" t="str">
        <f>'A) Base RI'!B83</f>
        <v>Fey</v>
      </c>
      <c r="C84" s="10">
        <f>'A) Base RI'!AN83</f>
        <v>696</v>
      </c>
      <c r="D84" s="34">
        <f t="shared" si="5"/>
        <v>696</v>
      </c>
      <c r="E84" s="10">
        <f t="shared" si="4"/>
        <v>0</v>
      </c>
      <c r="F84" s="10">
        <f t="shared" si="4"/>
        <v>0</v>
      </c>
      <c r="G84" s="10">
        <f t="shared" si="4"/>
        <v>0</v>
      </c>
      <c r="H84" s="10">
        <f t="shared" si="4"/>
        <v>0</v>
      </c>
      <c r="I84" s="44">
        <f t="shared" si="4"/>
        <v>0</v>
      </c>
      <c r="J84" s="10">
        <f t="shared" si="6"/>
        <v>0</v>
      </c>
      <c r="K84" s="67">
        <f t="shared" si="7"/>
        <v>68619.718309859149</v>
      </c>
    </row>
    <row r="85" spans="1:11" x14ac:dyDescent="0.25">
      <c r="A85" s="53">
        <f>'A) Base RI'!A84</f>
        <v>5523</v>
      </c>
      <c r="B85" s="35" t="str">
        <f>'A) Base RI'!B84</f>
        <v>Froideville</v>
      </c>
      <c r="C85" s="10">
        <f>'A) Base RI'!AN84</f>
        <v>2459</v>
      </c>
      <c r="D85" s="34">
        <f t="shared" si="5"/>
        <v>1000</v>
      </c>
      <c r="E85" s="10">
        <f t="shared" si="4"/>
        <v>1459</v>
      </c>
      <c r="F85" s="10">
        <f t="shared" si="4"/>
        <v>0</v>
      </c>
      <c r="G85" s="10">
        <f t="shared" si="4"/>
        <v>0</v>
      </c>
      <c r="H85" s="10">
        <f t="shared" si="4"/>
        <v>0</v>
      </c>
      <c r="I85" s="44">
        <f t="shared" si="4"/>
        <v>0</v>
      </c>
      <c r="J85" s="10">
        <f t="shared" si="6"/>
        <v>0</v>
      </c>
      <c r="K85" s="67">
        <f t="shared" si="7"/>
        <v>602049.29577464785</v>
      </c>
    </row>
    <row r="86" spans="1:11" x14ac:dyDescent="0.25">
      <c r="A86" s="53">
        <f>'A) Base RI'!A85</f>
        <v>5527</v>
      </c>
      <c r="B86" s="35" t="str">
        <f>'A) Base RI'!B85</f>
        <v>Morrens</v>
      </c>
      <c r="C86" s="10">
        <f>'A) Base RI'!AN85</f>
        <v>1074</v>
      </c>
      <c r="D86" s="34">
        <f t="shared" si="5"/>
        <v>1000</v>
      </c>
      <c r="E86" s="10">
        <f t="shared" si="4"/>
        <v>74</v>
      </c>
      <c r="F86" s="10">
        <f t="shared" si="4"/>
        <v>0</v>
      </c>
      <c r="G86" s="10">
        <f t="shared" si="4"/>
        <v>0</v>
      </c>
      <c r="H86" s="10">
        <f t="shared" si="4"/>
        <v>0</v>
      </c>
      <c r="I86" s="44">
        <f t="shared" si="4"/>
        <v>0</v>
      </c>
      <c r="J86" s="10">
        <f t="shared" si="6"/>
        <v>0</v>
      </c>
      <c r="K86" s="67">
        <f t="shared" si="7"/>
        <v>124126.76056338029</v>
      </c>
    </row>
    <row r="87" spans="1:11" x14ac:dyDescent="0.25">
      <c r="A87" s="53">
        <f>'A) Base RI'!A86</f>
        <v>5529</v>
      </c>
      <c r="B87" s="35" t="str">
        <f>'A) Base RI'!B86</f>
        <v>Oulens-sous-Echallens</v>
      </c>
      <c r="C87" s="10">
        <f>'A) Base RI'!AN86</f>
        <v>560</v>
      </c>
      <c r="D87" s="34">
        <f t="shared" si="5"/>
        <v>560</v>
      </c>
      <c r="E87" s="10">
        <f t="shared" si="4"/>
        <v>0</v>
      </c>
      <c r="F87" s="10">
        <f t="shared" si="4"/>
        <v>0</v>
      </c>
      <c r="G87" s="10">
        <f t="shared" si="4"/>
        <v>0</v>
      </c>
      <c r="H87" s="10">
        <f t="shared" si="4"/>
        <v>0</v>
      </c>
      <c r="I87" s="44">
        <f t="shared" ref="E87:I126" si="8">IF($C87&gt;I$4,IF($C87&lt;I$5,$C87-I$4,I$5-I$4),0)</f>
        <v>0</v>
      </c>
      <c r="J87" s="10">
        <f t="shared" si="6"/>
        <v>0</v>
      </c>
      <c r="K87" s="67">
        <f t="shared" si="7"/>
        <v>55211.267605633802</v>
      </c>
    </row>
    <row r="88" spans="1:11" x14ac:dyDescent="0.25">
      <c r="A88" s="53">
        <f>'A) Base RI'!A87</f>
        <v>5530</v>
      </c>
      <c r="B88" s="35" t="str">
        <f>'A) Base RI'!B87</f>
        <v>Pailly</v>
      </c>
      <c r="C88" s="10">
        <f>'A) Base RI'!AN87</f>
        <v>534</v>
      </c>
      <c r="D88" s="34">
        <f t="shared" si="5"/>
        <v>534</v>
      </c>
      <c r="E88" s="10">
        <f t="shared" si="8"/>
        <v>0</v>
      </c>
      <c r="F88" s="10">
        <f t="shared" si="8"/>
        <v>0</v>
      </c>
      <c r="G88" s="10">
        <f t="shared" si="8"/>
        <v>0</v>
      </c>
      <c r="H88" s="10">
        <f t="shared" si="8"/>
        <v>0</v>
      </c>
      <c r="I88" s="44">
        <f t="shared" si="8"/>
        <v>0</v>
      </c>
      <c r="J88" s="10">
        <f t="shared" si="6"/>
        <v>0</v>
      </c>
      <c r="K88" s="67">
        <f t="shared" si="7"/>
        <v>52647.887323943658</v>
      </c>
    </row>
    <row r="89" spans="1:11" x14ac:dyDescent="0.25">
      <c r="A89" s="53">
        <f>'A) Base RI'!A88</f>
        <v>5531</v>
      </c>
      <c r="B89" s="35" t="str">
        <f>'A) Base RI'!B88</f>
        <v>Penthéréaz</v>
      </c>
      <c r="C89" s="10">
        <f>'A) Base RI'!AN88</f>
        <v>411</v>
      </c>
      <c r="D89" s="34">
        <f t="shared" si="5"/>
        <v>411</v>
      </c>
      <c r="E89" s="10">
        <f t="shared" si="8"/>
        <v>0</v>
      </c>
      <c r="F89" s="10">
        <f t="shared" si="8"/>
        <v>0</v>
      </c>
      <c r="G89" s="10">
        <f t="shared" si="8"/>
        <v>0</v>
      </c>
      <c r="H89" s="10">
        <f t="shared" si="8"/>
        <v>0</v>
      </c>
      <c r="I89" s="44">
        <f t="shared" si="8"/>
        <v>0</v>
      </c>
      <c r="J89" s="10">
        <f t="shared" si="6"/>
        <v>0</v>
      </c>
      <c r="K89" s="67">
        <f t="shared" si="7"/>
        <v>40521.126760563377</v>
      </c>
    </row>
    <row r="90" spans="1:11" x14ac:dyDescent="0.25">
      <c r="A90" s="53">
        <f>'A) Base RI'!A89</f>
        <v>5533</v>
      </c>
      <c r="B90" s="35" t="str">
        <f>'A) Base RI'!B89</f>
        <v>Poliez-Pittet</v>
      </c>
      <c r="C90" s="10">
        <f>'A) Base RI'!AN89</f>
        <v>844</v>
      </c>
      <c r="D90" s="34">
        <f t="shared" si="5"/>
        <v>844</v>
      </c>
      <c r="E90" s="10">
        <f t="shared" si="8"/>
        <v>0</v>
      </c>
      <c r="F90" s="10">
        <f t="shared" si="8"/>
        <v>0</v>
      </c>
      <c r="G90" s="10">
        <f t="shared" si="8"/>
        <v>0</v>
      </c>
      <c r="H90" s="10">
        <f t="shared" si="8"/>
        <v>0</v>
      </c>
      <c r="I90" s="44">
        <f t="shared" si="8"/>
        <v>0</v>
      </c>
      <c r="J90" s="10">
        <f t="shared" si="6"/>
        <v>0</v>
      </c>
      <c r="K90" s="67">
        <f t="shared" si="7"/>
        <v>83211.267605633795</v>
      </c>
    </row>
    <row r="91" spans="1:11" x14ac:dyDescent="0.25">
      <c r="A91" s="53">
        <f>'A) Base RI'!A90</f>
        <v>5534</v>
      </c>
      <c r="B91" s="35" t="str">
        <f>'A) Base RI'!B90</f>
        <v>Rueyres</v>
      </c>
      <c r="C91" s="10">
        <f>'A) Base RI'!AN90</f>
        <v>271</v>
      </c>
      <c r="D91" s="34">
        <f t="shared" si="5"/>
        <v>271</v>
      </c>
      <c r="E91" s="10">
        <f t="shared" si="8"/>
        <v>0</v>
      </c>
      <c r="F91" s="10">
        <f t="shared" si="8"/>
        <v>0</v>
      </c>
      <c r="G91" s="10">
        <f t="shared" si="8"/>
        <v>0</v>
      </c>
      <c r="H91" s="10">
        <f t="shared" si="8"/>
        <v>0</v>
      </c>
      <c r="I91" s="44">
        <f t="shared" si="8"/>
        <v>0</v>
      </c>
      <c r="J91" s="10">
        <f t="shared" si="6"/>
        <v>0</v>
      </c>
      <c r="K91" s="67">
        <f t="shared" si="7"/>
        <v>26718.309859154928</v>
      </c>
    </row>
    <row r="92" spans="1:11" x14ac:dyDescent="0.25">
      <c r="A92" s="53">
        <f>'A) Base RI'!A91</f>
        <v>5535</v>
      </c>
      <c r="B92" s="35" t="str">
        <f>'A) Base RI'!B91</f>
        <v>Saint-Barthélemy</v>
      </c>
      <c r="C92" s="10">
        <f>'A) Base RI'!AN91</f>
        <v>777</v>
      </c>
      <c r="D92" s="34">
        <f t="shared" si="5"/>
        <v>777</v>
      </c>
      <c r="E92" s="10">
        <f t="shared" si="8"/>
        <v>0</v>
      </c>
      <c r="F92" s="10">
        <f t="shared" si="8"/>
        <v>0</v>
      </c>
      <c r="G92" s="10">
        <f t="shared" si="8"/>
        <v>0</v>
      </c>
      <c r="H92" s="10">
        <f t="shared" si="8"/>
        <v>0</v>
      </c>
      <c r="I92" s="44">
        <f t="shared" si="8"/>
        <v>0</v>
      </c>
      <c r="J92" s="10">
        <f t="shared" si="6"/>
        <v>0</v>
      </c>
      <c r="K92" s="67">
        <f t="shared" si="7"/>
        <v>76605.633802816898</v>
      </c>
    </row>
    <row r="93" spans="1:11" x14ac:dyDescent="0.25">
      <c r="A93" s="53">
        <f>'A) Base RI'!A92</f>
        <v>5537</v>
      </c>
      <c r="B93" s="35" t="str">
        <f>'A) Base RI'!B92</f>
        <v>Villars-le-Terroir</v>
      </c>
      <c r="C93" s="10">
        <f>'A) Base RI'!AN92</f>
        <v>1066</v>
      </c>
      <c r="D93" s="34">
        <f t="shared" si="5"/>
        <v>1000</v>
      </c>
      <c r="E93" s="10">
        <f t="shared" si="8"/>
        <v>66</v>
      </c>
      <c r="F93" s="10">
        <f t="shared" si="8"/>
        <v>0</v>
      </c>
      <c r="G93" s="10">
        <f t="shared" si="8"/>
        <v>0</v>
      </c>
      <c r="H93" s="10">
        <f t="shared" si="8"/>
        <v>0</v>
      </c>
      <c r="I93" s="44">
        <f t="shared" si="8"/>
        <v>0</v>
      </c>
      <c r="J93" s="10">
        <f t="shared" si="6"/>
        <v>0</v>
      </c>
      <c r="K93" s="67">
        <f t="shared" si="7"/>
        <v>121366.19718309859</v>
      </c>
    </row>
    <row r="94" spans="1:11" x14ac:dyDescent="0.25">
      <c r="A94" s="53">
        <f>'A) Base RI'!A93</f>
        <v>5539</v>
      </c>
      <c r="B94" s="35" t="str">
        <f>'A) Base RI'!B93</f>
        <v>Vuarrens</v>
      </c>
      <c r="C94" s="10">
        <f>'A) Base RI'!AN93</f>
        <v>993</v>
      </c>
      <c r="D94" s="34">
        <f t="shared" si="5"/>
        <v>993</v>
      </c>
      <c r="E94" s="10">
        <f t="shared" si="8"/>
        <v>0</v>
      </c>
      <c r="F94" s="10">
        <f t="shared" si="8"/>
        <v>0</v>
      </c>
      <c r="G94" s="10">
        <f t="shared" si="8"/>
        <v>0</v>
      </c>
      <c r="H94" s="10">
        <f t="shared" si="8"/>
        <v>0</v>
      </c>
      <c r="I94" s="44">
        <f t="shared" si="8"/>
        <v>0</v>
      </c>
      <c r="J94" s="10">
        <f t="shared" si="6"/>
        <v>0</v>
      </c>
      <c r="K94" s="67">
        <f t="shared" si="7"/>
        <v>97901.408450704213</v>
      </c>
    </row>
    <row r="95" spans="1:11" x14ac:dyDescent="0.25">
      <c r="A95" s="53">
        <f>'A) Base RI'!A94</f>
        <v>5540</v>
      </c>
      <c r="B95" s="35" t="str">
        <f>'A) Base RI'!B94</f>
        <v>Montilliez</v>
      </c>
      <c r="C95" s="10">
        <f>'A) Base RI'!AN94</f>
        <v>1698</v>
      </c>
      <c r="D95" s="34">
        <f t="shared" si="5"/>
        <v>1000</v>
      </c>
      <c r="E95" s="10">
        <f t="shared" si="8"/>
        <v>698</v>
      </c>
      <c r="F95" s="10">
        <f t="shared" si="8"/>
        <v>0</v>
      </c>
      <c r="G95" s="10">
        <f t="shared" si="8"/>
        <v>0</v>
      </c>
      <c r="H95" s="10">
        <f t="shared" si="8"/>
        <v>0</v>
      </c>
      <c r="I95" s="44">
        <f t="shared" si="8"/>
        <v>0</v>
      </c>
      <c r="J95" s="10">
        <f t="shared" si="6"/>
        <v>0</v>
      </c>
      <c r="K95" s="67">
        <f t="shared" si="7"/>
        <v>339450.70422535209</v>
      </c>
    </row>
    <row r="96" spans="1:11" x14ac:dyDescent="0.25">
      <c r="A96" s="53">
        <f>'A) Base RI'!A95</f>
        <v>5541</v>
      </c>
      <c r="B96" s="35" t="str">
        <f>'A) Base RI'!B95</f>
        <v>Goumoëns</v>
      </c>
      <c r="C96" s="10">
        <f>'A) Base RI'!AN95</f>
        <v>1051</v>
      </c>
      <c r="D96" s="34">
        <f t="shared" si="5"/>
        <v>1000</v>
      </c>
      <c r="E96" s="10">
        <f t="shared" si="8"/>
        <v>51</v>
      </c>
      <c r="F96" s="10">
        <f t="shared" si="8"/>
        <v>0</v>
      </c>
      <c r="G96" s="10">
        <f t="shared" si="8"/>
        <v>0</v>
      </c>
      <c r="H96" s="10">
        <f t="shared" si="8"/>
        <v>0</v>
      </c>
      <c r="I96" s="44">
        <f t="shared" si="8"/>
        <v>0</v>
      </c>
      <c r="J96" s="10">
        <f t="shared" si="6"/>
        <v>0</v>
      </c>
      <c r="K96" s="67">
        <f t="shared" si="7"/>
        <v>116190.14084507042</v>
      </c>
    </row>
    <row r="97" spans="1:11" x14ac:dyDescent="0.25">
      <c r="A97" s="53">
        <f>'A) Base RI'!A96</f>
        <v>5551</v>
      </c>
      <c r="B97" s="35" t="str">
        <f>'A) Base RI'!B96</f>
        <v>Bonvillars</v>
      </c>
      <c r="C97" s="10">
        <f>'A) Base RI'!AN96</f>
        <v>495</v>
      </c>
      <c r="D97" s="34">
        <f t="shared" si="5"/>
        <v>495</v>
      </c>
      <c r="E97" s="10">
        <f t="shared" si="8"/>
        <v>0</v>
      </c>
      <c r="F97" s="10">
        <f t="shared" si="8"/>
        <v>0</v>
      </c>
      <c r="G97" s="10">
        <f t="shared" si="8"/>
        <v>0</v>
      </c>
      <c r="H97" s="10">
        <f t="shared" si="8"/>
        <v>0</v>
      </c>
      <c r="I97" s="44">
        <f t="shared" si="8"/>
        <v>0</v>
      </c>
      <c r="J97" s="10">
        <f t="shared" si="6"/>
        <v>0</v>
      </c>
      <c r="K97" s="67">
        <f t="shared" si="7"/>
        <v>48802.816901408449</v>
      </c>
    </row>
    <row r="98" spans="1:11" x14ac:dyDescent="0.25">
      <c r="A98" s="53">
        <f>'A) Base RI'!A97</f>
        <v>5552</v>
      </c>
      <c r="B98" s="35" t="str">
        <f>'A) Base RI'!B97</f>
        <v>Bullet</v>
      </c>
      <c r="C98" s="10">
        <f>'A) Base RI'!AN97</f>
        <v>629</v>
      </c>
      <c r="D98" s="34">
        <f t="shared" si="5"/>
        <v>629</v>
      </c>
      <c r="E98" s="10">
        <f t="shared" si="8"/>
        <v>0</v>
      </c>
      <c r="F98" s="10">
        <f t="shared" si="8"/>
        <v>0</v>
      </c>
      <c r="G98" s="10">
        <f t="shared" si="8"/>
        <v>0</v>
      </c>
      <c r="H98" s="10">
        <f t="shared" si="8"/>
        <v>0</v>
      </c>
      <c r="I98" s="44">
        <f t="shared" si="8"/>
        <v>0</v>
      </c>
      <c r="J98" s="10">
        <f t="shared" si="6"/>
        <v>0</v>
      </c>
      <c r="K98" s="67">
        <f t="shared" si="7"/>
        <v>62014.084507042251</v>
      </c>
    </row>
    <row r="99" spans="1:11" x14ac:dyDescent="0.25">
      <c r="A99" s="53">
        <f>'A) Base RI'!A98</f>
        <v>5553</v>
      </c>
      <c r="B99" s="35" t="str">
        <f>'A) Base RI'!B98</f>
        <v>Champagne</v>
      </c>
      <c r="C99" s="10">
        <f>'A) Base RI'!AN98</f>
        <v>1027</v>
      </c>
      <c r="D99" s="34">
        <f t="shared" si="5"/>
        <v>1000</v>
      </c>
      <c r="E99" s="10">
        <f t="shared" si="8"/>
        <v>27</v>
      </c>
      <c r="F99" s="10">
        <f t="shared" si="8"/>
        <v>0</v>
      </c>
      <c r="G99" s="10">
        <f t="shared" si="8"/>
        <v>0</v>
      </c>
      <c r="H99" s="10">
        <f t="shared" si="8"/>
        <v>0</v>
      </c>
      <c r="I99" s="44">
        <f t="shared" si="8"/>
        <v>0</v>
      </c>
      <c r="J99" s="10">
        <f t="shared" si="6"/>
        <v>0</v>
      </c>
      <c r="K99" s="67">
        <f t="shared" si="7"/>
        <v>107908.45070422535</v>
      </c>
    </row>
    <row r="100" spans="1:11" x14ac:dyDescent="0.25">
      <c r="A100" s="53">
        <f>'A) Base RI'!A99</f>
        <v>5554</v>
      </c>
      <c r="B100" s="35" t="str">
        <f>'A) Base RI'!B99</f>
        <v>Concise</v>
      </c>
      <c r="C100" s="10">
        <f>'A) Base RI'!AN99</f>
        <v>960</v>
      </c>
      <c r="D100" s="34">
        <f t="shared" si="5"/>
        <v>960</v>
      </c>
      <c r="E100" s="10">
        <f t="shared" si="8"/>
        <v>0</v>
      </c>
      <c r="F100" s="10">
        <f t="shared" si="8"/>
        <v>0</v>
      </c>
      <c r="G100" s="10">
        <f t="shared" si="8"/>
        <v>0</v>
      </c>
      <c r="H100" s="10">
        <f t="shared" si="8"/>
        <v>0</v>
      </c>
      <c r="I100" s="44">
        <f t="shared" si="8"/>
        <v>0</v>
      </c>
      <c r="J100" s="10">
        <f t="shared" si="6"/>
        <v>0</v>
      </c>
      <c r="K100" s="67">
        <f t="shared" si="7"/>
        <v>94647.887323943651</v>
      </c>
    </row>
    <row r="101" spans="1:11" x14ac:dyDescent="0.25">
      <c r="A101" s="53">
        <f>'A) Base RI'!A100</f>
        <v>5555</v>
      </c>
      <c r="B101" s="35" t="str">
        <f>'A) Base RI'!B100</f>
        <v>Corcelles-près-Concise</v>
      </c>
      <c r="C101" s="10">
        <f>'A) Base RI'!AN100</f>
        <v>379</v>
      </c>
      <c r="D101" s="34">
        <f t="shared" si="5"/>
        <v>379</v>
      </c>
      <c r="E101" s="10">
        <f t="shared" si="8"/>
        <v>0</v>
      </c>
      <c r="F101" s="10">
        <f t="shared" si="8"/>
        <v>0</v>
      </c>
      <c r="G101" s="10">
        <f t="shared" si="8"/>
        <v>0</v>
      </c>
      <c r="H101" s="10">
        <f t="shared" si="8"/>
        <v>0</v>
      </c>
      <c r="I101" s="44">
        <f t="shared" si="8"/>
        <v>0</v>
      </c>
      <c r="J101" s="10">
        <f t="shared" si="6"/>
        <v>0</v>
      </c>
      <c r="K101" s="67">
        <f t="shared" si="7"/>
        <v>37366.197183098586</v>
      </c>
    </row>
    <row r="102" spans="1:11" x14ac:dyDescent="0.25">
      <c r="A102" s="53">
        <f>'A) Base RI'!A101</f>
        <v>5556</v>
      </c>
      <c r="B102" s="35" t="str">
        <f>'A) Base RI'!B101</f>
        <v>Fiez</v>
      </c>
      <c r="C102" s="10">
        <f>'A) Base RI'!AN101</f>
        <v>427</v>
      </c>
      <c r="D102" s="34">
        <f t="shared" si="5"/>
        <v>427</v>
      </c>
      <c r="E102" s="10">
        <f t="shared" si="8"/>
        <v>0</v>
      </c>
      <c r="F102" s="10">
        <f t="shared" si="8"/>
        <v>0</v>
      </c>
      <c r="G102" s="10">
        <f t="shared" si="8"/>
        <v>0</v>
      </c>
      <c r="H102" s="10">
        <f t="shared" si="8"/>
        <v>0</v>
      </c>
      <c r="I102" s="44">
        <f t="shared" si="8"/>
        <v>0</v>
      </c>
      <c r="J102" s="10">
        <f t="shared" si="6"/>
        <v>0</v>
      </c>
      <c r="K102" s="67">
        <f t="shared" si="7"/>
        <v>42098.591549295772</v>
      </c>
    </row>
    <row r="103" spans="1:11" x14ac:dyDescent="0.25">
      <c r="A103" s="53">
        <f>'A) Base RI'!A102</f>
        <v>5557</v>
      </c>
      <c r="B103" s="35" t="str">
        <f>'A) Base RI'!B102</f>
        <v>Fontaines-sur-Grandson</v>
      </c>
      <c r="C103" s="10">
        <f>'A) Base RI'!AN102</f>
        <v>200</v>
      </c>
      <c r="D103" s="34">
        <f t="shared" si="5"/>
        <v>200</v>
      </c>
      <c r="E103" s="10">
        <f t="shared" si="8"/>
        <v>0</v>
      </c>
      <c r="F103" s="10">
        <f t="shared" si="8"/>
        <v>0</v>
      </c>
      <c r="G103" s="10">
        <f t="shared" si="8"/>
        <v>0</v>
      </c>
      <c r="H103" s="10">
        <f t="shared" si="8"/>
        <v>0</v>
      </c>
      <c r="I103" s="44">
        <f t="shared" si="8"/>
        <v>0</v>
      </c>
      <c r="J103" s="10">
        <f t="shared" si="6"/>
        <v>0</v>
      </c>
      <c r="K103" s="67">
        <f t="shared" si="7"/>
        <v>19718.309859154928</v>
      </c>
    </row>
    <row r="104" spans="1:11" x14ac:dyDescent="0.25">
      <c r="A104" s="53">
        <f>'A) Base RI'!A103</f>
        <v>5559</v>
      </c>
      <c r="B104" s="35" t="str">
        <f>'A) Base RI'!B103</f>
        <v>Giez</v>
      </c>
      <c r="C104" s="10">
        <f>'A) Base RI'!AN103</f>
        <v>408</v>
      </c>
      <c r="D104" s="34">
        <f t="shared" si="5"/>
        <v>408</v>
      </c>
      <c r="E104" s="10">
        <f t="shared" si="8"/>
        <v>0</v>
      </c>
      <c r="F104" s="10">
        <f t="shared" si="8"/>
        <v>0</v>
      </c>
      <c r="G104" s="10">
        <f t="shared" si="8"/>
        <v>0</v>
      </c>
      <c r="H104" s="10">
        <f t="shared" si="8"/>
        <v>0</v>
      </c>
      <c r="I104" s="44">
        <f t="shared" si="8"/>
        <v>0</v>
      </c>
      <c r="J104" s="10">
        <f t="shared" si="6"/>
        <v>0</v>
      </c>
      <c r="K104" s="67">
        <f t="shared" si="7"/>
        <v>40225.352112676053</v>
      </c>
    </row>
    <row r="105" spans="1:11" x14ac:dyDescent="0.25">
      <c r="A105" s="53">
        <f>'A) Base RI'!A104</f>
        <v>5560</v>
      </c>
      <c r="B105" s="35" t="str">
        <f>'A) Base RI'!B104</f>
        <v>Grandevent</v>
      </c>
      <c r="C105" s="10">
        <f>'A) Base RI'!AN104</f>
        <v>232</v>
      </c>
      <c r="D105" s="34">
        <f t="shared" si="5"/>
        <v>232</v>
      </c>
      <c r="E105" s="10">
        <f t="shared" si="8"/>
        <v>0</v>
      </c>
      <c r="F105" s="10">
        <f t="shared" si="8"/>
        <v>0</v>
      </c>
      <c r="G105" s="10">
        <f t="shared" si="8"/>
        <v>0</v>
      </c>
      <c r="H105" s="10">
        <f t="shared" si="8"/>
        <v>0</v>
      </c>
      <c r="I105" s="44">
        <f t="shared" si="8"/>
        <v>0</v>
      </c>
      <c r="J105" s="10">
        <f t="shared" si="6"/>
        <v>0</v>
      </c>
      <c r="K105" s="67">
        <f t="shared" si="7"/>
        <v>22873.239436619715</v>
      </c>
    </row>
    <row r="106" spans="1:11" x14ac:dyDescent="0.25">
      <c r="A106" s="53">
        <f>'A) Base RI'!A105</f>
        <v>5561</v>
      </c>
      <c r="B106" s="35" t="str">
        <f>'A) Base RI'!B105</f>
        <v>Grandson</v>
      </c>
      <c r="C106" s="10">
        <f>'A) Base RI'!AN105</f>
        <v>3313</v>
      </c>
      <c r="D106" s="34">
        <f t="shared" si="5"/>
        <v>1000</v>
      </c>
      <c r="E106" s="10">
        <f t="shared" si="8"/>
        <v>2000</v>
      </c>
      <c r="F106" s="10">
        <f t="shared" si="8"/>
        <v>313</v>
      </c>
      <c r="G106" s="10">
        <f t="shared" si="8"/>
        <v>0</v>
      </c>
      <c r="H106" s="10">
        <f t="shared" si="8"/>
        <v>0</v>
      </c>
      <c r="I106" s="44">
        <f t="shared" si="8"/>
        <v>0</v>
      </c>
      <c r="J106" s="10">
        <f t="shared" si="6"/>
        <v>0</v>
      </c>
      <c r="K106" s="67">
        <f t="shared" si="7"/>
        <v>943028.1690140845</v>
      </c>
    </row>
    <row r="107" spans="1:11" x14ac:dyDescent="0.25">
      <c r="A107" s="53">
        <f>'A) Base RI'!A106</f>
        <v>5562</v>
      </c>
      <c r="B107" s="35" t="str">
        <f>'A) Base RI'!B106</f>
        <v>Mauborget</v>
      </c>
      <c r="C107" s="10">
        <f>'A) Base RI'!AN106</f>
        <v>123</v>
      </c>
      <c r="D107" s="34">
        <f t="shared" si="5"/>
        <v>123</v>
      </c>
      <c r="E107" s="10">
        <f t="shared" si="8"/>
        <v>0</v>
      </c>
      <c r="F107" s="10">
        <f t="shared" si="8"/>
        <v>0</v>
      </c>
      <c r="G107" s="10">
        <f t="shared" si="8"/>
        <v>0</v>
      </c>
      <c r="H107" s="10">
        <f t="shared" si="8"/>
        <v>0</v>
      </c>
      <c r="I107" s="44">
        <f t="shared" si="8"/>
        <v>0</v>
      </c>
      <c r="J107" s="10">
        <f t="shared" si="6"/>
        <v>0</v>
      </c>
      <c r="K107" s="67">
        <f t="shared" si="7"/>
        <v>12126.760563380281</v>
      </c>
    </row>
    <row r="108" spans="1:11" x14ac:dyDescent="0.25">
      <c r="A108" s="53">
        <f>'A) Base RI'!A107</f>
        <v>5563</v>
      </c>
      <c r="B108" s="35" t="str">
        <f>'A) Base RI'!B107</f>
        <v>Mutrux</v>
      </c>
      <c r="C108" s="10">
        <f>'A) Base RI'!AN107</f>
        <v>162</v>
      </c>
      <c r="D108" s="34">
        <f t="shared" ref="D108:D162" si="9">IF($C108&gt;D$4,IF($C108&lt;D$5,$C108-D$4,D$5-D$4),0)</f>
        <v>162</v>
      </c>
      <c r="E108" s="10">
        <f t="shared" si="8"/>
        <v>0</v>
      </c>
      <c r="F108" s="10">
        <f t="shared" si="8"/>
        <v>0</v>
      </c>
      <c r="G108" s="10">
        <f t="shared" si="8"/>
        <v>0</v>
      </c>
      <c r="H108" s="10">
        <f t="shared" si="8"/>
        <v>0</v>
      </c>
      <c r="I108" s="44">
        <f t="shared" si="8"/>
        <v>0</v>
      </c>
      <c r="J108" s="10">
        <f t="shared" si="6"/>
        <v>0</v>
      </c>
      <c r="K108" s="67">
        <f t="shared" si="7"/>
        <v>15971.830985915492</v>
      </c>
    </row>
    <row r="109" spans="1:11" x14ac:dyDescent="0.25">
      <c r="A109" s="53">
        <f>'A) Base RI'!A108</f>
        <v>5564</v>
      </c>
      <c r="B109" s="35" t="str">
        <f>'A) Base RI'!B108</f>
        <v>Novalles</v>
      </c>
      <c r="C109" s="10">
        <f>'A) Base RI'!AN108</f>
        <v>101</v>
      </c>
      <c r="D109" s="34">
        <f t="shared" si="9"/>
        <v>101</v>
      </c>
      <c r="E109" s="10">
        <f t="shared" si="8"/>
        <v>0</v>
      </c>
      <c r="F109" s="10">
        <f t="shared" si="8"/>
        <v>0</v>
      </c>
      <c r="G109" s="10">
        <f t="shared" si="8"/>
        <v>0</v>
      </c>
      <c r="H109" s="10">
        <f t="shared" si="8"/>
        <v>0</v>
      </c>
      <c r="I109" s="44">
        <f t="shared" si="8"/>
        <v>0</v>
      </c>
      <c r="J109" s="10">
        <f t="shared" si="6"/>
        <v>0</v>
      </c>
      <c r="K109" s="67">
        <f t="shared" si="7"/>
        <v>9957.7464788732395</v>
      </c>
    </row>
    <row r="110" spans="1:11" x14ac:dyDescent="0.25">
      <c r="A110" s="53">
        <f>'A) Base RI'!A109</f>
        <v>5565</v>
      </c>
      <c r="B110" s="35" t="str">
        <f>'A) Base RI'!B109</f>
        <v>Onnens</v>
      </c>
      <c r="C110" s="10">
        <f>'A) Base RI'!AN109</f>
        <v>500</v>
      </c>
      <c r="D110" s="34">
        <f t="shared" si="9"/>
        <v>500</v>
      </c>
      <c r="E110" s="10">
        <f t="shared" si="8"/>
        <v>0</v>
      </c>
      <c r="F110" s="10">
        <f t="shared" si="8"/>
        <v>0</v>
      </c>
      <c r="G110" s="10">
        <f t="shared" si="8"/>
        <v>0</v>
      </c>
      <c r="H110" s="10">
        <f t="shared" si="8"/>
        <v>0</v>
      </c>
      <c r="I110" s="44">
        <f t="shared" si="8"/>
        <v>0</v>
      </c>
      <c r="J110" s="10">
        <f t="shared" si="6"/>
        <v>0</v>
      </c>
      <c r="K110" s="67">
        <f t="shared" si="7"/>
        <v>49295.774647887323</v>
      </c>
    </row>
    <row r="111" spans="1:11" x14ac:dyDescent="0.25">
      <c r="A111" s="53">
        <f>'A) Base RI'!A110</f>
        <v>5566</v>
      </c>
      <c r="B111" s="35" t="str">
        <f>'A) Base RI'!B110</f>
        <v>Provence</v>
      </c>
      <c r="C111" s="10">
        <f>'A) Base RI'!AN110</f>
        <v>390</v>
      </c>
      <c r="D111" s="34">
        <f t="shared" si="9"/>
        <v>390</v>
      </c>
      <c r="E111" s="10">
        <f t="shared" si="8"/>
        <v>0</v>
      </c>
      <c r="F111" s="10">
        <f t="shared" si="8"/>
        <v>0</v>
      </c>
      <c r="G111" s="10">
        <f t="shared" si="8"/>
        <v>0</v>
      </c>
      <c r="H111" s="10">
        <f t="shared" si="8"/>
        <v>0</v>
      </c>
      <c r="I111" s="44">
        <f t="shared" si="8"/>
        <v>0</v>
      </c>
      <c r="J111" s="10">
        <f t="shared" si="6"/>
        <v>0</v>
      </c>
      <c r="K111" s="67">
        <f t="shared" si="7"/>
        <v>38450.704225352107</v>
      </c>
    </row>
    <row r="112" spans="1:11" x14ac:dyDescent="0.25">
      <c r="A112" s="53">
        <f>'A) Base RI'!A111</f>
        <v>5568</v>
      </c>
      <c r="B112" s="35" t="str">
        <f>'A) Base RI'!B111</f>
        <v>Sainte-Croix</v>
      </c>
      <c r="C112" s="10">
        <f>'A) Base RI'!AN111</f>
        <v>4851</v>
      </c>
      <c r="D112" s="34">
        <f t="shared" si="9"/>
        <v>1000</v>
      </c>
      <c r="E112" s="10">
        <f t="shared" si="8"/>
        <v>2000</v>
      </c>
      <c r="F112" s="10">
        <f t="shared" si="8"/>
        <v>1851</v>
      </c>
      <c r="G112" s="10">
        <f t="shared" si="8"/>
        <v>0</v>
      </c>
      <c r="H112" s="10">
        <f t="shared" si="8"/>
        <v>0</v>
      </c>
      <c r="I112" s="44">
        <f t="shared" si="8"/>
        <v>0</v>
      </c>
      <c r="J112" s="10">
        <f t="shared" si="6"/>
        <v>0</v>
      </c>
      <c r="K112" s="67">
        <f t="shared" si="7"/>
        <v>1701197.1830985914</v>
      </c>
    </row>
    <row r="113" spans="1:11" x14ac:dyDescent="0.25">
      <c r="A113" s="53">
        <f>'A) Base RI'!A112</f>
        <v>5571</v>
      </c>
      <c r="B113" s="35" t="str">
        <f>'A) Base RI'!B112</f>
        <v>Tévenon</v>
      </c>
      <c r="C113" s="10">
        <f>'A) Base RI'!AN112</f>
        <v>791</v>
      </c>
      <c r="D113" s="34">
        <f t="shared" si="9"/>
        <v>791</v>
      </c>
      <c r="E113" s="10">
        <f t="shared" si="8"/>
        <v>0</v>
      </c>
      <c r="F113" s="10">
        <f t="shared" si="8"/>
        <v>0</v>
      </c>
      <c r="G113" s="10">
        <f t="shared" si="8"/>
        <v>0</v>
      </c>
      <c r="H113" s="10">
        <f t="shared" si="8"/>
        <v>0</v>
      </c>
      <c r="I113" s="44">
        <f t="shared" si="8"/>
        <v>0</v>
      </c>
      <c r="J113" s="10">
        <f t="shared" si="6"/>
        <v>0</v>
      </c>
      <c r="K113" s="67">
        <f t="shared" si="7"/>
        <v>77985.915492957734</v>
      </c>
    </row>
    <row r="114" spans="1:11" x14ac:dyDescent="0.25">
      <c r="A114" s="53">
        <f>'A) Base RI'!A113</f>
        <v>5581</v>
      </c>
      <c r="B114" s="35" t="str">
        <f>'A) Base RI'!B113</f>
        <v>Belmont-sur-Lausanne</v>
      </c>
      <c r="C114" s="10">
        <f>'A) Base RI'!AN113</f>
        <v>3564</v>
      </c>
      <c r="D114" s="34">
        <f t="shared" si="9"/>
        <v>1000</v>
      </c>
      <c r="E114" s="10">
        <f t="shared" si="8"/>
        <v>2000</v>
      </c>
      <c r="F114" s="10">
        <f t="shared" si="8"/>
        <v>564</v>
      </c>
      <c r="G114" s="10">
        <f t="shared" si="8"/>
        <v>0</v>
      </c>
      <c r="H114" s="10">
        <f t="shared" si="8"/>
        <v>0</v>
      </c>
      <c r="I114" s="44">
        <f t="shared" si="8"/>
        <v>0</v>
      </c>
      <c r="J114" s="10">
        <f t="shared" si="6"/>
        <v>0</v>
      </c>
      <c r="K114" s="67">
        <f t="shared" si="7"/>
        <v>1066760.5633802817</v>
      </c>
    </row>
    <row r="115" spans="1:11" x14ac:dyDescent="0.25">
      <c r="A115" s="53">
        <f>'A) Base RI'!A114</f>
        <v>5582</v>
      </c>
      <c r="B115" s="35" t="str">
        <f>'A) Base RI'!B114</f>
        <v>Cheseaux-sur-Lausanne</v>
      </c>
      <c r="C115" s="10">
        <f>'A) Base RI'!AN114</f>
        <v>4347</v>
      </c>
      <c r="D115" s="34">
        <f t="shared" si="9"/>
        <v>1000</v>
      </c>
      <c r="E115" s="10">
        <f t="shared" si="8"/>
        <v>2000</v>
      </c>
      <c r="F115" s="10">
        <f t="shared" si="8"/>
        <v>1347</v>
      </c>
      <c r="G115" s="10">
        <f t="shared" si="8"/>
        <v>0</v>
      </c>
      <c r="H115" s="10">
        <f t="shared" si="8"/>
        <v>0</v>
      </c>
      <c r="I115" s="44">
        <f t="shared" si="8"/>
        <v>0</v>
      </c>
      <c r="J115" s="10">
        <f t="shared" si="6"/>
        <v>0</v>
      </c>
      <c r="K115" s="67">
        <f t="shared" si="7"/>
        <v>1452746.4788732394</v>
      </c>
    </row>
    <row r="116" spans="1:11" x14ac:dyDescent="0.25">
      <c r="A116" s="53">
        <f>'A) Base RI'!A115</f>
        <v>5583</v>
      </c>
      <c r="B116" s="35" t="str">
        <f>'A) Base RI'!B115</f>
        <v>Crissier</v>
      </c>
      <c r="C116" s="10">
        <f>'A) Base RI'!AN115</f>
        <v>7636</v>
      </c>
      <c r="D116" s="34">
        <f t="shared" si="9"/>
        <v>1000</v>
      </c>
      <c r="E116" s="10">
        <f t="shared" si="8"/>
        <v>2000</v>
      </c>
      <c r="F116" s="10">
        <f t="shared" si="8"/>
        <v>2000</v>
      </c>
      <c r="G116" s="10">
        <f t="shared" si="8"/>
        <v>2636</v>
      </c>
      <c r="H116" s="10">
        <f t="shared" si="8"/>
        <v>0</v>
      </c>
      <c r="I116" s="44">
        <f t="shared" si="8"/>
        <v>0</v>
      </c>
      <c r="J116" s="10">
        <f t="shared" si="6"/>
        <v>0</v>
      </c>
      <c r="K116" s="67">
        <f t="shared" si="7"/>
        <v>3333971.8309859154</v>
      </c>
    </row>
    <row r="117" spans="1:11" x14ac:dyDescent="0.25">
      <c r="A117" s="53">
        <f>'A) Base RI'!A116</f>
        <v>5584</v>
      </c>
      <c r="B117" s="35" t="str">
        <f>'A) Base RI'!B116</f>
        <v>Epalinges</v>
      </c>
      <c r="C117" s="10">
        <f>'A) Base RI'!AN116</f>
        <v>9297</v>
      </c>
      <c r="D117" s="34">
        <f t="shared" si="9"/>
        <v>1000</v>
      </c>
      <c r="E117" s="10">
        <f t="shared" si="8"/>
        <v>2000</v>
      </c>
      <c r="F117" s="10">
        <f t="shared" si="8"/>
        <v>2000</v>
      </c>
      <c r="G117" s="10">
        <f t="shared" si="8"/>
        <v>4000</v>
      </c>
      <c r="H117" s="10">
        <f t="shared" si="8"/>
        <v>297</v>
      </c>
      <c r="I117" s="44">
        <f t="shared" si="8"/>
        <v>0</v>
      </c>
      <c r="J117" s="10">
        <f t="shared" si="6"/>
        <v>0</v>
      </c>
      <c r="K117" s="67">
        <f t="shared" si="7"/>
        <v>4389739.4366197176</v>
      </c>
    </row>
    <row r="118" spans="1:11" x14ac:dyDescent="0.25">
      <c r="A118" s="53">
        <f>'A) Base RI'!A117</f>
        <v>5585</v>
      </c>
      <c r="B118" s="35" t="str">
        <f>'A) Base RI'!B117</f>
        <v>Jouxtens-Mézery</v>
      </c>
      <c r="C118" s="10">
        <f>'A) Base RI'!AN117</f>
        <v>1448</v>
      </c>
      <c r="D118" s="34">
        <f t="shared" si="9"/>
        <v>1000</v>
      </c>
      <c r="E118" s="10">
        <f t="shared" si="8"/>
        <v>448</v>
      </c>
      <c r="F118" s="10">
        <f t="shared" si="8"/>
        <v>0</v>
      </c>
      <c r="G118" s="10">
        <f t="shared" si="8"/>
        <v>0</v>
      </c>
      <c r="H118" s="10">
        <f t="shared" si="8"/>
        <v>0</v>
      </c>
      <c r="I118" s="44">
        <f t="shared" si="8"/>
        <v>0</v>
      </c>
      <c r="J118" s="10">
        <f t="shared" si="6"/>
        <v>0</v>
      </c>
      <c r="K118" s="67">
        <f t="shared" si="7"/>
        <v>253183.09859154932</v>
      </c>
    </row>
    <row r="119" spans="1:11" x14ac:dyDescent="0.25">
      <c r="A119" s="53">
        <f>'A) Base RI'!A118</f>
        <v>5586</v>
      </c>
      <c r="B119" s="35" t="str">
        <f>'A) Base RI'!B118</f>
        <v>Lausanne</v>
      </c>
      <c r="C119" s="10">
        <f>'A) Base RI'!AN118</f>
        <v>137053</v>
      </c>
      <c r="D119" s="34">
        <f t="shared" si="9"/>
        <v>1000</v>
      </c>
      <c r="E119" s="10">
        <f t="shared" si="8"/>
        <v>2000</v>
      </c>
      <c r="F119" s="10">
        <f t="shared" si="8"/>
        <v>2000</v>
      </c>
      <c r="G119" s="10">
        <f t="shared" si="8"/>
        <v>4000</v>
      </c>
      <c r="H119" s="10">
        <f t="shared" si="8"/>
        <v>3000</v>
      </c>
      <c r="I119" s="44">
        <f t="shared" si="8"/>
        <v>3000</v>
      </c>
      <c r="J119" s="10">
        <f t="shared" si="6"/>
        <v>122053</v>
      </c>
      <c r="K119" s="67">
        <f t="shared" si="7"/>
        <v>135963316.90140843</v>
      </c>
    </row>
    <row r="120" spans="1:11" x14ac:dyDescent="0.25">
      <c r="A120" s="53">
        <f>'A) Base RI'!A119</f>
        <v>5587</v>
      </c>
      <c r="B120" s="35" t="str">
        <f>'A) Base RI'!B119</f>
        <v>Le Mont-sur-Lausanne</v>
      </c>
      <c r="C120" s="10">
        <f>'A) Base RI'!AN119</f>
        <v>7881</v>
      </c>
      <c r="D120" s="34">
        <f t="shared" si="9"/>
        <v>1000</v>
      </c>
      <c r="E120" s="10">
        <f t="shared" si="8"/>
        <v>2000</v>
      </c>
      <c r="F120" s="10">
        <f t="shared" si="8"/>
        <v>2000</v>
      </c>
      <c r="G120" s="10">
        <f t="shared" si="8"/>
        <v>2881</v>
      </c>
      <c r="H120" s="10">
        <f t="shared" si="8"/>
        <v>0</v>
      </c>
      <c r="I120" s="44">
        <f t="shared" si="8"/>
        <v>0</v>
      </c>
      <c r="J120" s="10">
        <f t="shared" ref="J120:J125" si="10">IF(C120&gt;$J$4,C120-$J$4,0)</f>
        <v>0</v>
      </c>
      <c r="K120" s="67">
        <f t="shared" si="7"/>
        <v>3478901.4084507041</v>
      </c>
    </row>
    <row r="121" spans="1:11" x14ac:dyDescent="0.25">
      <c r="A121" s="53">
        <f>'A) Base RI'!A120</f>
        <v>5588</v>
      </c>
      <c r="B121" s="35" t="str">
        <f>'A) Base RI'!B120</f>
        <v>Paudex</v>
      </c>
      <c r="C121" s="10">
        <f>'A) Base RI'!AN120</f>
        <v>1473</v>
      </c>
      <c r="D121" s="34">
        <f t="shared" si="9"/>
        <v>1000</v>
      </c>
      <c r="E121" s="10">
        <f t="shared" si="8"/>
        <v>473</v>
      </c>
      <c r="F121" s="10">
        <f t="shared" si="8"/>
        <v>0</v>
      </c>
      <c r="G121" s="10">
        <f t="shared" si="8"/>
        <v>0</v>
      </c>
      <c r="H121" s="10">
        <f t="shared" si="8"/>
        <v>0</v>
      </c>
      <c r="I121" s="44">
        <f t="shared" si="8"/>
        <v>0</v>
      </c>
      <c r="J121" s="10">
        <f t="shared" si="10"/>
        <v>0</v>
      </c>
      <c r="K121" s="67">
        <f t="shared" si="7"/>
        <v>261809.85915492958</v>
      </c>
    </row>
    <row r="122" spans="1:11" x14ac:dyDescent="0.25">
      <c r="A122" s="53">
        <f>'A) Base RI'!A121</f>
        <v>5589</v>
      </c>
      <c r="B122" s="35" t="str">
        <f>'A) Base RI'!B121</f>
        <v>Prilly</v>
      </c>
      <c r="C122" s="10">
        <f>'A) Base RI'!AN121</f>
        <v>11871</v>
      </c>
      <c r="D122" s="34">
        <f t="shared" si="9"/>
        <v>1000</v>
      </c>
      <c r="E122" s="10">
        <f t="shared" si="8"/>
        <v>2000</v>
      </c>
      <c r="F122" s="10">
        <f t="shared" si="8"/>
        <v>2000</v>
      </c>
      <c r="G122" s="10">
        <f t="shared" si="8"/>
        <v>4000</v>
      </c>
      <c r="H122" s="10">
        <f t="shared" si="8"/>
        <v>2871</v>
      </c>
      <c r="I122" s="44">
        <f t="shared" si="8"/>
        <v>0</v>
      </c>
      <c r="J122" s="10">
        <f t="shared" si="10"/>
        <v>0</v>
      </c>
      <c r="K122" s="67">
        <f t="shared" si="7"/>
        <v>6546823.943661971</v>
      </c>
    </row>
    <row r="123" spans="1:11" x14ac:dyDescent="0.25">
      <c r="A123" s="53">
        <f>'A) Base RI'!A122</f>
        <v>5590</v>
      </c>
      <c r="B123" s="35" t="str">
        <f>'A) Base RI'!B122</f>
        <v>Pully</v>
      </c>
      <c r="C123" s="10">
        <f>'A) Base RI'!AN122</f>
        <v>17979</v>
      </c>
      <c r="D123" s="34">
        <f t="shared" si="9"/>
        <v>1000</v>
      </c>
      <c r="E123" s="10">
        <f t="shared" si="8"/>
        <v>2000</v>
      </c>
      <c r="F123" s="10">
        <f t="shared" si="8"/>
        <v>2000</v>
      </c>
      <c r="G123" s="10">
        <f t="shared" si="8"/>
        <v>4000</v>
      </c>
      <c r="H123" s="10">
        <f t="shared" si="8"/>
        <v>3000</v>
      </c>
      <c r="I123" s="44">
        <f t="shared" si="8"/>
        <v>3000</v>
      </c>
      <c r="J123" s="10">
        <f t="shared" si="10"/>
        <v>2979</v>
      </c>
      <c r="K123" s="67">
        <f t="shared" si="7"/>
        <v>12696570.422535211</v>
      </c>
    </row>
    <row r="124" spans="1:11" x14ac:dyDescent="0.25">
      <c r="A124" s="53">
        <f>'A) Base RI'!A123</f>
        <v>5591</v>
      </c>
      <c r="B124" s="35" t="str">
        <f>'A) Base RI'!B123</f>
        <v>Renens</v>
      </c>
      <c r="C124" s="10">
        <f>'A) Base RI'!AN123</f>
        <v>20323</v>
      </c>
      <c r="D124" s="34">
        <f t="shared" si="9"/>
        <v>1000</v>
      </c>
      <c r="E124" s="10">
        <f t="shared" si="8"/>
        <v>2000</v>
      </c>
      <c r="F124" s="10">
        <f t="shared" si="8"/>
        <v>2000</v>
      </c>
      <c r="G124" s="10">
        <f t="shared" si="8"/>
        <v>4000</v>
      </c>
      <c r="H124" s="10">
        <f t="shared" si="8"/>
        <v>3000</v>
      </c>
      <c r="I124" s="44">
        <f t="shared" si="8"/>
        <v>3000</v>
      </c>
      <c r="J124" s="10">
        <f t="shared" si="10"/>
        <v>5323</v>
      </c>
      <c r="K124" s="67">
        <f t="shared" si="7"/>
        <v>15123105.633802816</v>
      </c>
    </row>
    <row r="125" spans="1:11" x14ac:dyDescent="0.25">
      <c r="A125" s="53">
        <f>'A) Base RI'!A124</f>
        <v>5592</v>
      </c>
      <c r="B125" s="35" t="str">
        <f>'A) Base RI'!B124</f>
        <v>Romanel-sur-Lausanne</v>
      </c>
      <c r="C125" s="10">
        <f>'A) Base RI'!AN124</f>
        <v>3352</v>
      </c>
      <c r="D125" s="34">
        <f t="shared" si="9"/>
        <v>1000</v>
      </c>
      <c r="E125" s="10">
        <f t="shared" si="8"/>
        <v>2000</v>
      </c>
      <c r="F125" s="10">
        <f t="shared" si="8"/>
        <v>352</v>
      </c>
      <c r="G125" s="10">
        <f t="shared" si="8"/>
        <v>0</v>
      </c>
      <c r="H125" s="10">
        <f t="shared" si="8"/>
        <v>0</v>
      </c>
      <c r="I125" s="44">
        <f t="shared" si="8"/>
        <v>0</v>
      </c>
      <c r="J125" s="10">
        <f t="shared" si="10"/>
        <v>0</v>
      </c>
      <c r="K125" s="67">
        <f t="shared" si="7"/>
        <v>962253.52112676052</v>
      </c>
    </row>
    <row r="126" spans="1:11" x14ac:dyDescent="0.25">
      <c r="A126" s="53">
        <f>'A) Base RI'!A125</f>
        <v>5601</v>
      </c>
      <c r="B126" s="35" t="str">
        <f>'A) Base RI'!B125</f>
        <v>Chexbres</v>
      </c>
      <c r="C126" s="10">
        <f>'A) Base RI'!AN125</f>
        <v>2235</v>
      </c>
      <c r="D126" s="34">
        <f t="shared" si="9"/>
        <v>1000</v>
      </c>
      <c r="E126" s="10">
        <f t="shared" si="8"/>
        <v>1235</v>
      </c>
      <c r="F126" s="10">
        <f t="shared" ref="E126:I161" si="11">IF($C126&gt;F$4,IF($C126&lt;F$5,$C126-F$4,F$5-F$4),0)</f>
        <v>0</v>
      </c>
      <c r="G126" s="10">
        <f t="shared" si="11"/>
        <v>0</v>
      </c>
      <c r="H126" s="10">
        <f t="shared" si="11"/>
        <v>0</v>
      </c>
      <c r="I126" s="44">
        <f t="shared" si="11"/>
        <v>0</v>
      </c>
      <c r="J126" s="10">
        <f t="shared" ref="J126:J168" si="12">IF(C126&gt;$J$4,C126-$J$4,0)</f>
        <v>0</v>
      </c>
      <c r="K126" s="67">
        <f t="shared" si="7"/>
        <v>524753.52112676052</v>
      </c>
    </row>
    <row r="127" spans="1:11" x14ac:dyDescent="0.25">
      <c r="A127" s="53">
        <f>'A) Base RI'!A126</f>
        <v>5604</v>
      </c>
      <c r="B127" s="35" t="str">
        <f>'A) Base RI'!B126</f>
        <v>Forel (Lavaux)</v>
      </c>
      <c r="C127" s="10">
        <f>'A) Base RI'!AN126</f>
        <v>2066</v>
      </c>
      <c r="D127" s="34">
        <f t="shared" si="9"/>
        <v>1000</v>
      </c>
      <c r="E127" s="10">
        <f t="shared" si="11"/>
        <v>1066</v>
      </c>
      <c r="F127" s="10">
        <f t="shared" si="11"/>
        <v>0</v>
      </c>
      <c r="G127" s="10">
        <f t="shared" si="11"/>
        <v>0</v>
      </c>
      <c r="H127" s="10">
        <f t="shared" si="11"/>
        <v>0</v>
      </c>
      <c r="I127" s="44">
        <f t="shared" si="11"/>
        <v>0</v>
      </c>
      <c r="J127" s="10">
        <f t="shared" si="12"/>
        <v>0</v>
      </c>
      <c r="K127" s="67">
        <f t="shared" si="7"/>
        <v>466436.61971830984</v>
      </c>
    </row>
    <row r="128" spans="1:11" x14ac:dyDescent="0.25">
      <c r="A128" s="53">
        <f>'A) Base RI'!A127</f>
        <v>5606</v>
      </c>
      <c r="B128" s="35" t="str">
        <f>'A) Base RI'!B127</f>
        <v>Lutry</v>
      </c>
      <c r="C128" s="10">
        <f>'A) Base RI'!AN127</f>
        <v>9888</v>
      </c>
      <c r="D128" s="34">
        <f t="shared" si="9"/>
        <v>1000</v>
      </c>
      <c r="E128" s="10">
        <f t="shared" si="11"/>
        <v>2000</v>
      </c>
      <c r="F128" s="10">
        <f t="shared" si="11"/>
        <v>2000</v>
      </c>
      <c r="G128" s="10">
        <f t="shared" si="11"/>
        <v>4000</v>
      </c>
      <c r="H128" s="10">
        <f t="shared" si="11"/>
        <v>888</v>
      </c>
      <c r="I128" s="44">
        <f t="shared" si="11"/>
        <v>0</v>
      </c>
      <c r="J128" s="10">
        <f t="shared" si="12"/>
        <v>0</v>
      </c>
      <c r="K128" s="67">
        <f t="shared" si="7"/>
        <v>4885014.0845070416</v>
      </c>
    </row>
    <row r="129" spans="1:11" x14ac:dyDescent="0.25">
      <c r="A129" s="53">
        <f>'A) Base RI'!A128</f>
        <v>5607</v>
      </c>
      <c r="B129" s="35" t="str">
        <f>'A) Base RI'!B128</f>
        <v>Puidoux</v>
      </c>
      <c r="C129" s="10">
        <f>'A) Base RI'!AN128</f>
        <v>2874</v>
      </c>
      <c r="D129" s="34">
        <f t="shared" si="9"/>
        <v>1000</v>
      </c>
      <c r="E129" s="10">
        <f t="shared" si="11"/>
        <v>1874</v>
      </c>
      <c r="F129" s="10">
        <f t="shared" si="11"/>
        <v>0</v>
      </c>
      <c r="G129" s="10">
        <f t="shared" si="11"/>
        <v>0</v>
      </c>
      <c r="H129" s="10">
        <f t="shared" si="11"/>
        <v>0</v>
      </c>
      <c r="I129" s="44">
        <f t="shared" si="11"/>
        <v>0</v>
      </c>
      <c r="J129" s="10">
        <f t="shared" si="12"/>
        <v>0</v>
      </c>
      <c r="K129" s="67">
        <f t="shared" si="7"/>
        <v>745253.52112676052</v>
      </c>
    </row>
    <row r="130" spans="1:11" x14ac:dyDescent="0.25">
      <c r="A130" s="53">
        <f>'A) Base RI'!A129</f>
        <v>5609</v>
      </c>
      <c r="B130" s="35" t="str">
        <f>'A) Base RI'!B129</f>
        <v>Rivaz</v>
      </c>
      <c r="C130" s="10">
        <f>'A) Base RI'!AN129</f>
        <v>357</v>
      </c>
      <c r="D130" s="34">
        <f t="shared" si="9"/>
        <v>357</v>
      </c>
      <c r="E130" s="10">
        <f t="shared" si="11"/>
        <v>0</v>
      </c>
      <c r="F130" s="10">
        <f t="shared" si="11"/>
        <v>0</v>
      </c>
      <c r="G130" s="10">
        <f t="shared" si="11"/>
        <v>0</v>
      </c>
      <c r="H130" s="10">
        <f t="shared" si="11"/>
        <v>0</v>
      </c>
      <c r="I130" s="44">
        <f t="shared" si="11"/>
        <v>0</v>
      </c>
      <c r="J130" s="10">
        <f t="shared" si="12"/>
        <v>0</v>
      </c>
      <c r="K130" s="67">
        <f t="shared" si="7"/>
        <v>35197.183098591544</v>
      </c>
    </row>
    <row r="131" spans="1:11" x14ac:dyDescent="0.25">
      <c r="A131" s="53">
        <f>'A) Base RI'!A130</f>
        <v>5610</v>
      </c>
      <c r="B131" s="35" t="str">
        <f>'A) Base RI'!B130</f>
        <v>St-Saphorin (Lavaux)</v>
      </c>
      <c r="C131" s="10">
        <f>'A) Base RI'!AN130</f>
        <v>398</v>
      </c>
      <c r="D131" s="34">
        <f t="shared" si="9"/>
        <v>398</v>
      </c>
      <c r="E131" s="10">
        <f t="shared" si="11"/>
        <v>0</v>
      </c>
      <c r="F131" s="10">
        <f t="shared" si="11"/>
        <v>0</v>
      </c>
      <c r="G131" s="10">
        <f t="shared" si="11"/>
        <v>0</v>
      </c>
      <c r="H131" s="10">
        <f t="shared" si="11"/>
        <v>0</v>
      </c>
      <c r="I131" s="44">
        <f t="shared" si="11"/>
        <v>0</v>
      </c>
      <c r="J131" s="10">
        <f t="shared" si="12"/>
        <v>0</v>
      </c>
      <c r="K131" s="67">
        <f t="shared" si="7"/>
        <v>39239.436619718304</v>
      </c>
    </row>
    <row r="132" spans="1:11" x14ac:dyDescent="0.25">
      <c r="A132" s="53">
        <f>'A) Base RI'!A131</f>
        <v>5611</v>
      </c>
      <c r="B132" s="35" t="str">
        <f>'A) Base RI'!B131</f>
        <v>Savigny</v>
      </c>
      <c r="C132" s="10">
        <f>'A) Base RI'!AN131</f>
        <v>3276</v>
      </c>
      <c r="D132" s="34">
        <f t="shared" si="9"/>
        <v>1000</v>
      </c>
      <c r="E132" s="10">
        <f t="shared" si="11"/>
        <v>2000</v>
      </c>
      <c r="F132" s="10">
        <f t="shared" si="11"/>
        <v>276</v>
      </c>
      <c r="G132" s="10">
        <f t="shared" si="11"/>
        <v>0</v>
      </c>
      <c r="H132" s="10">
        <f t="shared" si="11"/>
        <v>0</v>
      </c>
      <c r="I132" s="44">
        <f t="shared" si="11"/>
        <v>0</v>
      </c>
      <c r="J132" s="10">
        <f t="shared" si="12"/>
        <v>0</v>
      </c>
      <c r="K132" s="67">
        <f t="shared" si="7"/>
        <v>924788.73239436618</v>
      </c>
    </row>
    <row r="133" spans="1:11" x14ac:dyDescent="0.25">
      <c r="A133" s="53">
        <f>'A) Base RI'!A132</f>
        <v>5613</v>
      </c>
      <c r="B133" s="35" t="str">
        <f>'A) Base RI'!B132</f>
        <v>Bourg-en-Lavaux</v>
      </c>
      <c r="C133" s="10">
        <f>'A) Base RI'!AN132</f>
        <v>5296</v>
      </c>
      <c r="D133" s="34">
        <f t="shared" si="9"/>
        <v>1000</v>
      </c>
      <c r="E133" s="10">
        <f t="shared" si="11"/>
        <v>2000</v>
      </c>
      <c r="F133" s="10">
        <f t="shared" si="11"/>
        <v>2000</v>
      </c>
      <c r="G133" s="10">
        <f t="shared" si="11"/>
        <v>296</v>
      </c>
      <c r="H133" s="10">
        <f t="shared" si="11"/>
        <v>0</v>
      </c>
      <c r="I133" s="44">
        <f t="shared" si="11"/>
        <v>0</v>
      </c>
      <c r="J133" s="10">
        <f t="shared" si="12"/>
        <v>0</v>
      </c>
      <c r="K133" s="67">
        <f t="shared" si="7"/>
        <v>1949746.4788732394</v>
      </c>
    </row>
    <row r="134" spans="1:11" x14ac:dyDescent="0.25">
      <c r="A134" s="53">
        <f>'A) Base RI'!A133</f>
        <v>5621</v>
      </c>
      <c r="B134" s="35" t="str">
        <f>'A) Base RI'!B133</f>
        <v>Aclens</v>
      </c>
      <c r="C134" s="10">
        <f>'A) Base RI'!AN133</f>
        <v>521</v>
      </c>
      <c r="D134" s="34">
        <f t="shared" si="9"/>
        <v>521</v>
      </c>
      <c r="E134" s="10">
        <f t="shared" si="11"/>
        <v>0</v>
      </c>
      <c r="F134" s="10">
        <f t="shared" si="11"/>
        <v>0</v>
      </c>
      <c r="G134" s="10">
        <f t="shared" si="11"/>
        <v>0</v>
      </c>
      <c r="H134" s="10">
        <f t="shared" si="11"/>
        <v>0</v>
      </c>
      <c r="I134" s="44">
        <f t="shared" si="11"/>
        <v>0</v>
      </c>
      <c r="J134" s="10">
        <f t="shared" si="12"/>
        <v>0</v>
      </c>
      <c r="K134" s="67">
        <f t="shared" si="7"/>
        <v>51366.197183098586</v>
      </c>
    </row>
    <row r="135" spans="1:11" x14ac:dyDescent="0.25">
      <c r="A135" s="53">
        <f>'A) Base RI'!A134</f>
        <v>5622</v>
      </c>
      <c r="B135" s="35" t="str">
        <f>'A) Base RI'!B134</f>
        <v>Bremblens</v>
      </c>
      <c r="C135" s="10">
        <f>'A) Base RI'!AN134</f>
        <v>516</v>
      </c>
      <c r="D135" s="34">
        <f t="shared" si="9"/>
        <v>516</v>
      </c>
      <c r="E135" s="10">
        <f t="shared" si="11"/>
        <v>0</v>
      </c>
      <c r="F135" s="10">
        <f t="shared" si="11"/>
        <v>0</v>
      </c>
      <c r="G135" s="10">
        <f t="shared" si="11"/>
        <v>0</v>
      </c>
      <c r="H135" s="10">
        <f t="shared" si="11"/>
        <v>0</v>
      </c>
      <c r="I135" s="44">
        <f t="shared" si="11"/>
        <v>0</v>
      </c>
      <c r="J135" s="10">
        <f t="shared" si="12"/>
        <v>0</v>
      </c>
      <c r="K135" s="67">
        <f t="shared" si="7"/>
        <v>50873.239436619711</v>
      </c>
    </row>
    <row r="136" spans="1:11" x14ac:dyDescent="0.25">
      <c r="A136" s="53">
        <f>'A) Base RI'!A135</f>
        <v>5623</v>
      </c>
      <c r="B136" s="35" t="str">
        <f>'A) Base RI'!B135</f>
        <v>Buchillon</v>
      </c>
      <c r="C136" s="10">
        <f>'A) Base RI'!AN135</f>
        <v>609</v>
      </c>
      <c r="D136" s="34">
        <f t="shared" si="9"/>
        <v>609</v>
      </c>
      <c r="E136" s="10">
        <f t="shared" si="11"/>
        <v>0</v>
      </c>
      <c r="F136" s="10">
        <f t="shared" si="11"/>
        <v>0</v>
      </c>
      <c r="G136" s="10">
        <f t="shared" si="11"/>
        <v>0</v>
      </c>
      <c r="H136" s="10">
        <f t="shared" si="11"/>
        <v>0</v>
      </c>
      <c r="I136" s="44">
        <f t="shared" si="11"/>
        <v>0</v>
      </c>
      <c r="J136" s="10">
        <f t="shared" si="12"/>
        <v>0</v>
      </c>
      <c r="K136" s="67">
        <f t="shared" si="7"/>
        <v>60042.253521126753</v>
      </c>
    </row>
    <row r="137" spans="1:11" x14ac:dyDescent="0.25">
      <c r="A137" s="53">
        <f>'A) Base RI'!A136</f>
        <v>5624</v>
      </c>
      <c r="B137" s="35" t="str">
        <f>'A) Base RI'!B136</f>
        <v>Bussigny</v>
      </c>
      <c r="C137" s="10">
        <f>'A) Base RI'!AN136</f>
        <v>8227</v>
      </c>
      <c r="D137" s="34">
        <f t="shared" si="9"/>
        <v>1000</v>
      </c>
      <c r="E137" s="10">
        <f t="shared" si="11"/>
        <v>2000</v>
      </c>
      <c r="F137" s="10">
        <f t="shared" si="11"/>
        <v>2000</v>
      </c>
      <c r="G137" s="10">
        <f t="shared" si="11"/>
        <v>3227</v>
      </c>
      <c r="H137" s="10">
        <f t="shared" si="11"/>
        <v>0</v>
      </c>
      <c r="I137" s="44">
        <f t="shared" si="11"/>
        <v>0</v>
      </c>
      <c r="J137" s="10">
        <f t="shared" si="12"/>
        <v>0</v>
      </c>
      <c r="K137" s="67">
        <f t="shared" ref="K137:K200" si="13">(D137*D$7)+(E137*E$7)+(F137*F$7)+(G137*G$7)+(H137*H$7)+(I137*I$7)+(J137*J$7)</f>
        <v>3683577.4647887321</v>
      </c>
    </row>
    <row r="138" spans="1:11" x14ac:dyDescent="0.25">
      <c r="A138" s="53">
        <f>'A) Base RI'!A137</f>
        <v>5625</v>
      </c>
      <c r="B138" s="35" t="str">
        <f>'A) Base RI'!B137</f>
        <v>Bussy-Chardonney</v>
      </c>
      <c r="C138" s="10">
        <f>'A) Base RI'!AN137</f>
        <v>369</v>
      </c>
      <c r="D138" s="34">
        <f t="shared" si="9"/>
        <v>369</v>
      </c>
      <c r="E138" s="10">
        <f t="shared" si="11"/>
        <v>0</v>
      </c>
      <c r="F138" s="10">
        <f t="shared" si="11"/>
        <v>0</v>
      </c>
      <c r="G138" s="10">
        <f t="shared" si="11"/>
        <v>0</v>
      </c>
      <c r="H138" s="10">
        <f t="shared" si="11"/>
        <v>0</v>
      </c>
      <c r="I138" s="44">
        <f t="shared" si="11"/>
        <v>0</v>
      </c>
      <c r="J138" s="10">
        <f t="shared" si="12"/>
        <v>0</v>
      </c>
      <c r="K138" s="67">
        <f t="shared" si="13"/>
        <v>36380.281690140844</v>
      </c>
    </row>
    <row r="139" spans="1:11" x14ac:dyDescent="0.25">
      <c r="A139" s="53">
        <f>'A) Base RI'!A138</f>
        <v>5627</v>
      </c>
      <c r="B139" s="35" t="str">
        <f>'A) Base RI'!B138</f>
        <v>Chavannes-près-Renens</v>
      </c>
      <c r="C139" s="10">
        <f>'A) Base RI'!AN138</f>
        <v>7543</v>
      </c>
      <c r="D139" s="34">
        <f t="shared" si="9"/>
        <v>1000</v>
      </c>
      <c r="E139" s="10">
        <f t="shared" si="11"/>
        <v>2000</v>
      </c>
      <c r="F139" s="10">
        <f t="shared" si="11"/>
        <v>2000</v>
      </c>
      <c r="G139" s="10">
        <f t="shared" si="11"/>
        <v>2543</v>
      </c>
      <c r="H139" s="10">
        <f t="shared" si="11"/>
        <v>0</v>
      </c>
      <c r="I139" s="44">
        <f t="shared" si="11"/>
        <v>0</v>
      </c>
      <c r="J139" s="10">
        <f t="shared" si="12"/>
        <v>0</v>
      </c>
      <c r="K139" s="67">
        <f t="shared" si="13"/>
        <v>3278957.7464788733</v>
      </c>
    </row>
    <row r="140" spans="1:11" x14ac:dyDescent="0.25">
      <c r="A140" s="53">
        <f>'A) Base RI'!A139</f>
        <v>5628</v>
      </c>
      <c r="B140" s="35" t="str">
        <f>'A) Base RI'!B139</f>
        <v>Chigny</v>
      </c>
      <c r="C140" s="10">
        <f>'A) Base RI'!AN139</f>
        <v>343</v>
      </c>
      <c r="D140" s="34">
        <f t="shared" si="9"/>
        <v>343</v>
      </c>
      <c r="E140" s="10">
        <f t="shared" si="11"/>
        <v>0</v>
      </c>
      <c r="F140" s="10">
        <f t="shared" si="11"/>
        <v>0</v>
      </c>
      <c r="G140" s="10">
        <f t="shared" si="11"/>
        <v>0</v>
      </c>
      <c r="H140" s="10">
        <f t="shared" si="11"/>
        <v>0</v>
      </c>
      <c r="I140" s="44">
        <f t="shared" si="11"/>
        <v>0</v>
      </c>
      <c r="J140" s="10">
        <f t="shared" si="12"/>
        <v>0</v>
      </c>
      <c r="K140" s="67">
        <f t="shared" si="13"/>
        <v>33816.9014084507</v>
      </c>
    </row>
    <row r="141" spans="1:11" x14ac:dyDescent="0.25">
      <c r="A141" s="53">
        <f>'A) Base RI'!A140</f>
        <v>5629</v>
      </c>
      <c r="B141" s="35" t="str">
        <f>'A) Base RI'!B140</f>
        <v>Clarmont</v>
      </c>
      <c r="C141" s="10">
        <f>'A) Base RI'!AN140</f>
        <v>175</v>
      </c>
      <c r="D141" s="34">
        <f t="shared" si="9"/>
        <v>175</v>
      </c>
      <c r="E141" s="10">
        <f t="shared" si="11"/>
        <v>0</v>
      </c>
      <c r="F141" s="10">
        <f t="shared" si="11"/>
        <v>0</v>
      </c>
      <c r="G141" s="10">
        <f t="shared" si="11"/>
        <v>0</v>
      </c>
      <c r="H141" s="10">
        <f t="shared" si="11"/>
        <v>0</v>
      </c>
      <c r="I141" s="44">
        <f t="shared" si="11"/>
        <v>0</v>
      </c>
      <c r="J141" s="10">
        <f t="shared" si="12"/>
        <v>0</v>
      </c>
      <c r="K141" s="67">
        <f t="shared" si="13"/>
        <v>17253.521126760563</v>
      </c>
    </row>
    <row r="142" spans="1:11" x14ac:dyDescent="0.25">
      <c r="A142" s="53">
        <f>'A) Base RI'!A141</f>
        <v>5631</v>
      </c>
      <c r="B142" s="35" t="str">
        <f>'A) Base RI'!B141</f>
        <v>Denens</v>
      </c>
      <c r="C142" s="10">
        <f>'A) Base RI'!AN141</f>
        <v>769</v>
      </c>
      <c r="D142" s="34">
        <f t="shared" si="9"/>
        <v>769</v>
      </c>
      <c r="E142" s="10">
        <f t="shared" si="11"/>
        <v>0</v>
      </c>
      <c r="F142" s="10">
        <f t="shared" si="11"/>
        <v>0</v>
      </c>
      <c r="G142" s="10">
        <f t="shared" si="11"/>
        <v>0</v>
      </c>
      <c r="H142" s="10">
        <f t="shared" si="11"/>
        <v>0</v>
      </c>
      <c r="I142" s="44">
        <f t="shared" si="11"/>
        <v>0</v>
      </c>
      <c r="J142" s="10">
        <f t="shared" si="12"/>
        <v>0</v>
      </c>
      <c r="K142" s="67">
        <f t="shared" si="13"/>
        <v>75816.901408450693</v>
      </c>
    </row>
    <row r="143" spans="1:11" x14ac:dyDescent="0.25">
      <c r="A143" s="53">
        <f>'A) Base RI'!A142</f>
        <v>5632</v>
      </c>
      <c r="B143" s="35" t="str">
        <f>'A) Base RI'!B142</f>
        <v>Denges</v>
      </c>
      <c r="C143" s="10">
        <f>'A) Base RI'!AN142</f>
        <v>1624</v>
      </c>
      <c r="D143" s="34">
        <f t="shared" si="9"/>
        <v>1000</v>
      </c>
      <c r="E143" s="10">
        <f t="shared" si="11"/>
        <v>624</v>
      </c>
      <c r="F143" s="10">
        <f t="shared" si="11"/>
        <v>0</v>
      </c>
      <c r="G143" s="10">
        <f t="shared" si="11"/>
        <v>0</v>
      </c>
      <c r="H143" s="10">
        <f t="shared" si="11"/>
        <v>0</v>
      </c>
      <c r="I143" s="44">
        <f t="shared" si="11"/>
        <v>0</v>
      </c>
      <c r="J143" s="10">
        <f t="shared" si="12"/>
        <v>0</v>
      </c>
      <c r="K143" s="67">
        <f t="shared" si="13"/>
        <v>313915.49295774649</v>
      </c>
    </row>
    <row r="144" spans="1:11" x14ac:dyDescent="0.25">
      <c r="A144" s="53">
        <f>'A) Base RI'!A143</f>
        <v>5633</v>
      </c>
      <c r="B144" s="35" t="str">
        <f>'A) Base RI'!B143</f>
        <v>Echandens</v>
      </c>
      <c r="C144" s="10">
        <f>'A) Base RI'!AN143</f>
        <v>2731</v>
      </c>
      <c r="D144" s="34">
        <f t="shared" si="9"/>
        <v>1000</v>
      </c>
      <c r="E144" s="10">
        <f t="shared" si="11"/>
        <v>1731</v>
      </c>
      <c r="F144" s="10">
        <f t="shared" si="11"/>
        <v>0</v>
      </c>
      <c r="G144" s="10">
        <f t="shared" si="11"/>
        <v>0</v>
      </c>
      <c r="H144" s="10">
        <f t="shared" si="11"/>
        <v>0</v>
      </c>
      <c r="I144" s="44">
        <f t="shared" si="11"/>
        <v>0</v>
      </c>
      <c r="J144" s="10">
        <f t="shared" si="12"/>
        <v>0</v>
      </c>
      <c r="K144" s="67">
        <f t="shared" si="13"/>
        <v>695908.45070422534</v>
      </c>
    </row>
    <row r="145" spans="1:18" x14ac:dyDescent="0.25">
      <c r="A145" s="53">
        <f>'A) Base RI'!A144</f>
        <v>5634</v>
      </c>
      <c r="B145" s="35" t="str">
        <f>'A) Base RI'!B144</f>
        <v>Echichens</v>
      </c>
      <c r="C145" s="10">
        <f>'A) Base RI'!AN144</f>
        <v>2639</v>
      </c>
      <c r="D145" s="34">
        <f t="shared" si="9"/>
        <v>1000</v>
      </c>
      <c r="E145" s="10">
        <f t="shared" si="11"/>
        <v>1639</v>
      </c>
      <c r="F145" s="10">
        <f t="shared" si="11"/>
        <v>0</v>
      </c>
      <c r="G145" s="10">
        <f t="shared" si="11"/>
        <v>0</v>
      </c>
      <c r="H145" s="10">
        <f t="shared" si="11"/>
        <v>0</v>
      </c>
      <c r="I145" s="44">
        <f t="shared" si="11"/>
        <v>0</v>
      </c>
      <c r="J145" s="10">
        <f t="shared" si="12"/>
        <v>0</v>
      </c>
      <c r="K145" s="67">
        <f t="shared" si="13"/>
        <v>664161.97183098597</v>
      </c>
    </row>
    <row r="146" spans="1:18" x14ac:dyDescent="0.25">
      <c r="A146" s="53">
        <f>'A) Base RI'!A145</f>
        <v>5635</v>
      </c>
      <c r="B146" s="35" t="str">
        <f>'A) Base RI'!B145</f>
        <v>Ecublens</v>
      </c>
      <c r="C146" s="10">
        <f>'A) Base RI'!AN145</f>
        <v>12340</v>
      </c>
      <c r="D146" s="34">
        <f t="shared" si="9"/>
        <v>1000</v>
      </c>
      <c r="E146" s="10">
        <f t="shared" si="11"/>
        <v>2000</v>
      </c>
      <c r="F146" s="10">
        <f t="shared" si="11"/>
        <v>2000</v>
      </c>
      <c r="G146" s="10">
        <f t="shared" si="11"/>
        <v>4000</v>
      </c>
      <c r="H146" s="10">
        <f t="shared" si="11"/>
        <v>3000</v>
      </c>
      <c r="I146" s="44">
        <f t="shared" si="11"/>
        <v>340</v>
      </c>
      <c r="J146" s="10">
        <f t="shared" si="12"/>
        <v>0</v>
      </c>
      <c r="K146" s="67">
        <f t="shared" si="13"/>
        <v>6990140.8450704217</v>
      </c>
    </row>
    <row r="147" spans="1:18" x14ac:dyDescent="0.25">
      <c r="A147" s="53">
        <f>'A) Base RI'!A146</f>
        <v>5636</v>
      </c>
      <c r="B147" s="35" t="str">
        <f>'A) Base RI'!B146</f>
        <v>Etoy</v>
      </c>
      <c r="C147" s="10">
        <f>'A) Base RI'!AN146</f>
        <v>2906</v>
      </c>
      <c r="D147" s="34">
        <f t="shared" si="9"/>
        <v>1000</v>
      </c>
      <c r="E147" s="10">
        <f t="shared" si="11"/>
        <v>1906</v>
      </c>
      <c r="F147" s="10">
        <f t="shared" si="11"/>
        <v>0</v>
      </c>
      <c r="G147" s="10">
        <f t="shared" si="11"/>
        <v>0</v>
      </c>
      <c r="H147" s="10">
        <f t="shared" si="11"/>
        <v>0</v>
      </c>
      <c r="I147" s="44">
        <f t="shared" si="11"/>
        <v>0</v>
      </c>
      <c r="J147" s="10">
        <f t="shared" si="12"/>
        <v>0</v>
      </c>
      <c r="K147" s="67">
        <f t="shared" si="13"/>
        <v>756295.77464788733</v>
      </c>
    </row>
    <row r="148" spans="1:18" x14ac:dyDescent="0.25">
      <c r="A148" s="53">
        <f>'A) Base RI'!A147</f>
        <v>5637</v>
      </c>
      <c r="B148" s="35" t="str">
        <f>'A) Base RI'!B147</f>
        <v>Lavigny</v>
      </c>
      <c r="C148" s="10">
        <f>'A) Base RI'!AN147</f>
        <v>1006</v>
      </c>
      <c r="D148" s="34">
        <f t="shared" si="9"/>
        <v>1000</v>
      </c>
      <c r="E148" s="10">
        <f t="shared" si="11"/>
        <v>6</v>
      </c>
      <c r="F148" s="10">
        <f t="shared" si="11"/>
        <v>0</v>
      </c>
      <c r="G148" s="10">
        <f t="shared" si="11"/>
        <v>0</v>
      </c>
      <c r="H148" s="10">
        <f t="shared" si="11"/>
        <v>0</v>
      </c>
      <c r="I148" s="44">
        <f t="shared" si="11"/>
        <v>0</v>
      </c>
      <c r="J148" s="10">
        <f t="shared" si="12"/>
        <v>0</v>
      </c>
      <c r="K148" s="67">
        <f t="shared" si="13"/>
        <v>100661.97183098592</v>
      </c>
    </row>
    <row r="149" spans="1:18" x14ac:dyDescent="0.25">
      <c r="A149" s="53">
        <f>'A) Base RI'!A148</f>
        <v>5638</v>
      </c>
      <c r="B149" s="35" t="str">
        <f>'A) Base RI'!B148</f>
        <v>Lonay</v>
      </c>
      <c r="C149" s="10">
        <f>'A) Base RI'!AN148</f>
        <v>2530</v>
      </c>
      <c r="D149" s="34">
        <f t="shared" si="9"/>
        <v>1000</v>
      </c>
      <c r="E149" s="10">
        <f t="shared" si="11"/>
        <v>1530</v>
      </c>
      <c r="F149" s="10">
        <f t="shared" si="11"/>
        <v>0</v>
      </c>
      <c r="G149" s="10">
        <f t="shared" si="11"/>
        <v>0</v>
      </c>
      <c r="H149" s="10">
        <f t="shared" si="11"/>
        <v>0</v>
      </c>
      <c r="I149" s="44">
        <f t="shared" si="11"/>
        <v>0</v>
      </c>
      <c r="J149" s="10">
        <f t="shared" si="12"/>
        <v>0</v>
      </c>
      <c r="K149" s="67">
        <f t="shared" si="13"/>
        <v>626549.29577464785</v>
      </c>
    </row>
    <row r="150" spans="1:18" x14ac:dyDescent="0.25">
      <c r="A150" s="53">
        <f>'A) Base RI'!A149</f>
        <v>5639</v>
      </c>
      <c r="B150" s="35" t="str">
        <f>'A) Base RI'!B149</f>
        <v>Lully</v>
      </c>
      <c r="C150" s="10">
        <f>'A) Base RI'!AN149</f>
        <v>785</v>
      </c>
      <c r="D150" s="34">
        <f t="shared" si="9"/>
        <v>785</v>
      </c>
      <c r="E150" s="10">
        <f t="shared" si="11"/>
        <v>0</v>
      </c>
      <c r="F150" s="10">
        <f t="shared" si="11"/>
        <v>0</v>
      </c>
      <c r="G150" s="10">
        <f t="shared" si="11"/>
        <v>0</v>
      </c>
      <c r="H150" s="10">
        <f t="shared" si="11"/>
        <v>0</v>
      </c>
      <c r="I150" s="44">
        <f t="shared" si="11"/>
        <v>0</v>
      </c>
      <c r="J150" s="10">
        <f t="shared" si="12"/>
        <v>0</v>
      </c>
      <c r="K150" s="67">
        <f t="shared" si="13"/>
        <v>77394.366197183088</v>
      </c>
    </row>
    <row r="151" spans="1:18" x14ac:dyDescent="0.25">
      <c r="A151" s="53">
        <f>'A) Base RI'!A150</f>
        <v>5640</v>
      </c>
      <c r="B151" s="35" t="str">
        <f>'A) Base RI'!B150</f>
        <v>Lussy-sur-Morges</v>
      </c>
      <c r="C151" s="10">
        <f>'A) Base RI'!AN150</f>
        <v>644</v>
      </c>
      <c r="D151" s="34">
        <f t="shared" si="9"/>
        <v>644</v>
      </c>
      <c r="E151" s="10">
        <f t="shared" si="11"/>
        <v>0</v>
      </c>
      <c r="F151" s="10">
        <f t="shared" si="11"/>
        <v>0</v>
      </c>
      <c r="G151" s="10">
        <f t="shared" si="11"/>
        <v>0</v>
      </c>
      <c r="H151" s="10">
        <f t="shared" si="11"/>
        <v>0</v>
      </c>
      <c r="I151" s="44">
        <f t="shared" si="11"/>
        <v>0</v>
      </c>
      <c r="J151" s="10">
        <f t="shared" si="12"/>
        <v>0</v>
      </c>
      <c r="K151" s="67">
        <f t="shared" si="13"/>
        <v>63492.957746478867</v>
      </c>
    </row>
    <row r="152" spans="1:18" x14ac:dyDescent="0.25">
      <c r="A152" s="53">
        <f>'A) Base RI'!A151</f>
        <v>5642</v>
      </c>
      <c r="B152" s="35" t="str">
        <f>'A) Base RI'!B151</f>
        <v>Morges</v>
      </c>
      <c r="C152" s="10">
        <f>'A) Base RI'!AN151</f>
        <v>15819</v>
      </c>
      <c r="D152" s="34">
        <f t="shared" si="9"/>
        <v>1000</v>
      </c>
      <c r="E152" s="10">
        <f t="shared" si="11"/>
        <v>2000</v>
      </c>
      <c r="F152" s="10">
        <f t="shared" si="11"/>
        <v>2000</v>
      </c>
      <c r="G152" s="10">
        <f t="shared" si="11"/>
        <v>4000</v>
      </c>
      <c r="H152" s="10">
        <f t="shared" si="11"/>
        <v>3000</v>
      </c>
      <c r="I152" s="44">
        <f t="shared" si="11"/>
        <v>3000</v>
      </c>
      <c r="J152" s="10">
        <f t="shared" si="12"/>
        <v>819</v>
      </c>
      <c r="K152" s="67">
        <f t="shared" si="13"/>
        <v>10460514.084507041</v>
      </c>
      <c r="L152" s="6"/>
      <c r="M152" s="6"/>
      <c r="N152" s="6"/>
      <c r="O152" s="6"/>
      <c r="P152" s="6"/>
      <c r="Q152" s="6"/>
      <c r="R152" s="6"/>
    </row>
    <row r="153" spans="1:18" x14ac:dyDescent="0.25">
      <c r="A153" s="53">
        <f>'A) Base RI'!A152</f>
        <v>5643</v>
      </c>
      <c r="B153" s="35" t="str">
        <f>'A) Base RI'!B152</f>
        <v>Préverenges</v>
      </c>
      <c r="C153" s="10">
        <f>'A) Base RI'!AN152</f>
        <v>5276</v>
      </c>
      <c r="D153" s="34">
        <f t="shared" si="9"/>
        <v>1000</v>
      </c>
      <c r="E153" s="10">
        <f t="shared" si="11"/>
        <v>2000</v>
      </c>
      <c r="F153" s="10">
        <f t="shared" si="11"/>
        <v>2000</v>
      </c>
      <c r="G153" s="10">
        <f t="shared" si="11"/>
        <v>276</v>
      </c>
      <c r="H153" s="10">
        <f t="shared" si="11"/>
        <v>0</v>
      </c>
      <c r="I153" s="44">
        <f t="shared" si="11"/>
        <v>0</v>
      </c>
      <c r="J153" s="10">
        <f t="shared" si="12"/>
        <v>0</v>
      </c>
      <c r="K153" s="67">
        <f t="shared" si="13"/>
        <v>1937915.4929577464</v>
      </c>
    </row>
    <row r="154" spans="1:18" x14ac:dyDescent="0.25">
      <c r="A154" s="53">
        <f>'A) Base RI'!A153</f>
        <v>5644</v>
      </c>
      <c r="B154" s="35" t="str">
        <f>'A) Base RI'!B153</f>
        <v>Reverolle</v>
      </c>
      <c r="C154" s="10">
        <f>'A) Base RI'!AN153</f>
        <v>368</v>
      </c>
      <c r="D154" s="34">
        <f t="shared" si="9"/>
        <v>368</v>
      </c>
      <c r="E154" s="10">
        <f t="shared" si="11"/>
        <v>0</v>
      </c>
      <c r="F154" s="10">
        <f t="shared" si="11"/>
        <v>0</v>
      </c>
      <c r="G154" s="10">
        <f t="shared" si="11"/>
        <v>0</v>
      </c>
      <c r="H154" s="10">
        <f t="shared" si="11"/>
        <v>0</v>
      </c>
      <c r="I154" s="44">
        <f t="shared" si="11"/>
        <v>0</v>
      </c>
      <c r="J154" s="10">
        <f t="shared" si="12"/>
        <v>0</v>
      </c>
      <c r="K154" s="67">
        <f t="shared" si="13"/>
        <v>36281.690140845065</v>
      </c>
    </row>
    <row r="155" spans="1:18" x14ac:dyDescent="0.25">
      <c r="A155" s="53">
        <f>'A) Base RI'!A154</f>
        <v>5645</v>
      </c>
      <c r="B155" s="35" t="str">
        <f>'A) Base RI'!B154</f>
        <v>Romanel-sur-Morges</v>
      </c>
      <c r="C155" s="10">
        <f>'A) Base RI'!AN154</f>
        <v>477</v>
      </c>
      <c r="D155" s="34">
        <f t="shared" si="9"/>
        <v>477</v>
      </c>
      <c r="E155" s="10">
        <f t="shared" si="11"/>
        <v>0</v>
      </c>
      <c r="F155" s="10">
        <f t="shared" si="11"/>
        <v>0</v>
      </c>
      <c r="G155" s="10">
        <f t="shared" si="11"/>
        <v>0</v>
      </c>
      <c r="H155" s="10">
        <f t="shared" si="11"/>
        <v>0</v>
      </c>
      <c r="I155" s="44">
        <f t="shared" si="11"/>
        <v>0</v>
      </c>
      <c r="J155" s="10">
        <f t="shared" si="12"/>
        <v>0</v>
      </c>
      <c r="K155" s="67">
        <f t="shared" si="13"/>
        <v>47028.169014084502</v>
      </c>
    </row>
    <row r="156" spans="1:18" x14ac:dyDescent="0.25">
      <c r="A156" s="53">
        <f>'A) Base RI'!A155</f>
        <v>5646</v>
      </c>
      <c r="B156" s="35" t="str">
        <f>'A) Base RI'!B155</f>
        <v>Saint-Prex</v>
      </c>
      <c r="C156" s="10">
        <f>'A) Base RI'!AN155</f>
        <v>5661</v>
      </c>
      <c r="D156" s="34">
        <f t="shared" si="9"/>
        <v>1000</v>
      </c>
      <c r="E156" s="10">
        <f t="shared" si="11"/>
        <v>2000</v>
      </c>
      <c r="F156" s="10">
        <f t="shared" si="11"/>
        <v>2000</v>
      </c>
      <c r="G156" s="10">
        <f t="shared" si="11"/>
        <v>661</v>
      </c>
      <c r="H156" s="10">
        <f t="shared" si="11"/>
        <v>0</v>
      </c>
      <c r="I156" s="44">
        <f t="shared" si="11"/>
        <v>0</v>
      </c>
      <c r="J156" s="10">
        <f t="shared" si="12"/>
        <v>0</v>
      </c>
      <c r="K156" s="67">
        <f t="shared" si="13"/>
        <v>2165661.971830986</v>
      </c>
    </row>
    <row r="157" spans="1:18" x14ac:dyDescent="0.25">
      <c r="A157" s="53">
        <f>'A) Base RI'!A156</f>
        <v>5648</v>
      </c>
      <c r="B157" s="35" t="str">
        <f>'A) Base RI'!B156</f>
        <v>Saint-Sulpice</v>
      </c>
      <c r="C157" s="10">
        <f>'A) Base RI'!AN156</f>
        <v>4148</v>
      </c>
      <c r="D157" s="34">
        <f t="shared" si="9"/>
        <v>1000</v>
      </c>
      <c r="E157" s="10">
        <f t="shared" si="11"/>
        <v>2000</v>
      </c>
      <c r="F157" s="10">
        <f t="shared" si="11"/>
        <v>1148</v>
      </c>
      <c r="G157" s="10">
        <f t="shared" si="11"/>
        <v>0</v>
      </c>
      <c r="H157" s="10">
        <f t="shared" si="11"/>
        <v>0</v>
      </c>
      <c r="I157" s="44">
        <f t="shared" si="11"/>
        <v>0</v>
      </c>
      <c r="J157" s="10">
        <f t="shared" si="12"/>
        <v>0</v>
      </c>
      <c r="K157" s="67">
        <f t="shared" si="13"/>
        <v>1354647.8873239437</v>
      </c>
    </row>
    <row r="158" spans="1:18" x14ac:dyDescent="0.25">
      <c r="A158" s="53">
        <f>'A) Base RI'!A157</f>
        <v>5649</v>
      </c>
      <c r="B158" s="35" t="str">
        <f>'A) Base RI'!B157</f>
        <v>Tolochenaz</v>
      </c>
      <c r="C158" s="10">
        <f>'A) Base RI'!AN157</f>
        <v>1865</v>
      </c>
      <c r="D158" s="34">
        <f t="shared" si="9"/>
        <v>1000</v>
      </c>
      <c r="E158" s="10">
        <f t="shared" si="11"/>
        <v>865</v>
      </c>
      <c r="F158" s="10">
        <f t="shared" si="11"/>
        <v>0</v>
      </c>
      <c r="G158" s="10">
        <f t="shared" si="11"/>
        <v>0</v>
      </c>
      <c r="H158" s="10">
        <f t="shared" si="11"/>
        <v>0</v>
      </c>
      <c r="I158" s="44">
        <f t="shared" si="11"/>
        <v>0</v>
      </c>
      <c r="J158" s="10">
        <f t="shared" si="12"/>
        <v>0</v>
      </c>
      <c r="K158" s="67">
        <f t="shared" si="13"/>
        <v>397077.46478873241</v>
      </c>
    </row>
    <row r="159" spans="1:18" x14ac:dyDescent="0.25">
      <c r="A159" s="53">
        <f>'A) Base RI'!A158</f>
        <v>5650</v>
      </c>
      <c r="B159" s="35" t="str">
        <f>'A) Base RI'!B158</f>
        <v>Vaux-sur-Morges</v>
      </c>
      <c r="C159" s="10">
        <f>'A) Base RI'!AN158</f>
        <v>200</v>
      </c>
      <c r="D159" s="34">
        <f t="shared" si="9"/>
        <v>200</v>
      </c>
      <c r="E159" s="10">
        <f t="shared" si="11"/>
        <v>0</v>
      </c>
      <c r="F159" s="10">
        <f t="shared" si="11"/>
        <v>0</v>
      </c>
      <c r="G159" s="10">
        <f t="shared" si="11"/>
        <v>0</v>
      </c>
      <c r="H159" s="10">
        <f t="shared" si="11"/>
        <v>0</v>
      </c>
      <c r="I159" s="44">
        <f t="shared" si="11"/>
        <v>0</v>
      </c>
      <c r="J159" s="10">
        <f t="shared" si="12"/>
        <v>0</v>
      </c>
      <c r="K159" s="67">
        <f t="shared" si="13"/>
        <v>19718.309859154928</v>
      </c>
    </row>
    <row r="160" spans="1:18" x14ac:dyDescent="0.25">
      <c r="A160" s="53">
        <f>'A) Base RI'!A159</f>
        <v>5651</v>
      </c>
      <c r="B160" s="35" t="str">
        <f>'A) Base RI'!B159</f>
        <v>Villars-Sainte-Croix</v>
      </c>
      <c r="C160" s="10">
        <f>'A) Base RI'!AN159</f>
        <v>841</v>
      </c>
      <c r="D160" s="34">
        <f t="shared" si="9"/>
        <v>841</v>
      </c>
      <c r="E160" s="10">
        <f t="shared" si="11"/>
        <v>0</v>
      </c>
      <c r="F160" s="10">
        <f t="shared" si="11"/>
        <v>0</v>
      </c>
      <c r="G160" s="10">
        <f t="shared" si="11"/>
        <v>0</v>
      </c>
      <c r="H160" s="10">
        <f t="shared" si="11"/>
        <v>0</v>
      </c>
      <c r="I160" s="44">
        <f t="shared" si="11"/>
        <v>0</v>
      </c>
      <c r="J160" s="10">
        <f t="shared" si="12"/>
        <v>0</v>
      </c>
      <c r="K160" s="67">
        <f t="shared" si="13"/>
        <v>82915.492957746479</v>
      </c>
    </row>
    <row r="161" spans="1:11" x14ac:dyDescent="0.25">
      <c r="A161" s="53">
        <f>'A) Base RI'!A160</f>
        <v>5652</v>
      </c>
      <c r="B161" s="35" t="str">
        <f>'A) Base RI'!B160</f>
        <v>Villars-sous-Yens</v>
      </c>
      <c r="C161" s="10">
        <f>'A) Base RI'!AN160</f>
        <v>598</v>
      </c>
      <c r="D161" s="34">
        <f t="shared" si="9"/>
        <v>598</v>
      </c>
      <c r="E161" s="10">
        <f t="shared" si="11"/>
        <v>0</v>
      </c>
      <c r="F161" s="10">
        <f t="shared" si="11"/>
        <v>0</v>
      </c>
      <c r="G161" s="10">
        <f t="shared" si="11"/>
        <v>0</v>
      </c>
      <c r="H161" s="10">
        <f t="shared" si="11"/>
        <v>0</v>
      </c>
      <c r="I161" s="44">
        <f t="shared" ref="E161:I193" si="14">IF($C161&gt;I$4,IF($C161&lt;I$5,$C161-I$4,I$5-I$4),0)</f>
        <v>0</v>
      </c>
      <c r="J161" s="10">
        <f t="shared" si="12"/>
        <v>0</v>
      </c>
      <c r="K161" s="67">
        <f t="shared" si="13"/>
        <v>58957.746478873232</v>
      </c>
    </row>
    <row r="162" spans="1:11" x14ac:dyDescent="0.25">
      <c r="A162" s="53">
        <f>'A) Base RI'!A161</f>
        <v>5653</v>
      </c>
      <c r="B162" s="35" t="str">
        <f>'A) Base RI'!B161</f>
        <v>Vufflens-le-Château</v>
      </c>
      <c r="C162" s="10">
        <f>'A) Base RI'!AN161</f>
        <v>841</v>
      </c>
      <c r="D162" s="34">
        <f t="shared" si="9"/>
        <v>841</v>
      </c>
      <c r="E162" s="10">
        <f t="shared" si="14"/>
        <v>0</v>
      </c>
      <c r="F162" s="10">
        <f t="shared" si="14"/>
        <v>0</v>
      </c>
      <c r="G162" s="10">
        <f t="shared" si="14"/>
        <v>0</v>
      </c>
      <c r="H162" s="10">
        <f t="shared" si="14"/>
        <v>0</v>
      </c>
      <c r="I162" s="44">
        <f t="shared" si="14"/>
        <v>0</v>
      </c>
      <c r="J162" s="10">
        <f t="shared" si="12"/>
        <v>0</v>
      </c>
      <c r="K162" s="67">
        <f t="shared" si="13"/>
        <v>82915.492957746479</v>
      </c>
    </row>
    <row r="163" spans="1:11" x14ac:dyDescent="0.25">
      <c r="A163" s="53">
        <f>'A) Base RI'!A162</f>
        <v>5654</v>
      </c>
      <c r="B163" s="35" t="str">
        <f>'A) Base RI'!B162</f>
        <v>Vullierens</v>
      </c>
      <c r="C163" s="10">
        <f>'A) Base RI'!AN162</f>
        <v>461</v>
      </c>
      <c r="D163" s="34">
        <f t="shared" ref="D163:D215" si="15">IF($C163&gt;D$4,IF($C163&lt;D$5,$C163-D$4,D$5-D$4),0)</f>
        <v>461</v>
      </c>
      <c r="E163" s="10">
        <f t="shared" si="14"/>
        <v>0</v>
      </c>
      <c r="F163" s="10">
        <f t="shared" si="14"/>
        <v>0</v>
      </c>
      <c r="G163" s="10">
        <f t="shared" si="14"/>
        <v>0</v>
      </c>
      <c r="H163" s="10">
        <f t="shared" si="14"/>
        <v>0</v>
      </c>
      <c r="I163" s="44">
        <f t="shared" si="14"/>
        <v>0</v>
      </c>
      <c r="J163" s="10">
        <f t="shared" si="12"/>
        <v>0</v>
      </c>
      <c r="K163" s="67">
        <f t="shared" si="13"/>
        <v>45450.704225352107</v>
      </c>
    </row>
    <row r="164" spans="1:11" x14ac:dyDescent="0.25">
      <c r="A164" s="53">
        <f>'A) Base RI'!A163</f>
        <v>5655</v>
      </c>
      <c r="B164" s="35" t="str">
        <f>'A) Base RI'!B163</f>
        <v>Yens</v>
      </c>
      <c r="C164" s="10">
        <f>'A) Base RI'!AN163</f>
        <v>1388</v>
      </c>
      <c r="D164" s="34">
        <f t="shared" si="15"/>
        <v>1000</v>
      </c>
      <c r="E164" s="10">
        <f t="shared" si="14"/>
        <v>388</v>
      </c>
      <c r="F164" s="10">
        <f t="shared" si="14"/>
        <v>0</v>
      </c>
      <c r="G164" s="10">
        <f t="shared" si="14"/>
        <v>0</v>
      </c>
      <c r="H164" s="10">
        <f t="shared" si="14"/>
        <v>0</v>
      </c>
      <c r="I164" s="44">
        <f t="shared" si="14"/>
        <v>0</v>
      </c>
      <c r="J164" s="10">
        <f t="shared" si="12"/>
        <v>0</v>
      </c>
      <c r="K164" s="67">
        <f t="shared" si="13"/>
        <v>232478.87323943659</v>
      </c>
    </row>
    <row r="165" spans="1:11" x14ac:dyDescent="0.25">
      <c r="A165" s="53">
        <f>'A) Base RI'!A164</f>
        <v>5661</v>
      </c>
      <c r="B165" s="35" t="str">
        <f>'A) Base RI'!B164</f>
        <v>Boulens</v>
      </c>
      <c r="C165" s="10">
        <f>'A) Base RI'!AN164</f>
        <v>368</v>
      </c>
      <c r="D165" s="34">
        <f t="shared" si="15"/>
        <v>368</v>
      </c>
      <c r="E165" s="10">
        <f t="shared" si="14"/>
        <v>0</v>
      </c>
      <c r="F165" s="10">
        <f t="shared" si="14"/>
        <v>0</v>
      </c>
      <c r="G165" s="10">
        <f t="shared" si="14"/>
        <v>0</v>
      </c>
      <c r="H165" s="10">
        <f t="shared" si="14"/>
        <v>0</v>
      </c>
      <c r="I165" s="44">
        <f t="shared" si="14"/>
        <v>0</v>
      </c>
      <c r="J165" s="10">
        <f t="shared" si="12"/>
        <v>0</v>
      </c>
      <c r="K165" s="67">
        <f t="shared" si="13"/>
        <v>36281.690140845065</v>
      </c>
    </row>
    <row r="166" spans="1:11" x14ac:dyDescent="0.25">
      <c r="A166" s="53">
        <f>'A) Base RI'!A165</f>
        <v>5662</v>
      </c>
      <c r="B166" s="35" t="str">
        <f>'A) Base RI'!B165</f>
        <v>Brenles</v>
      </c>
      <c r="C166" s="10">
        <f>'A) Base RI'!AN165</f>
        <v>138</v>
      </c>
      <c r="D166" s="34">
        <f t="shared" si="15"/>
        <v>138</v>
      </c>
      <c r="E166" s="10">
        <f t="shared" si="14"/>
        <v>0</v>
      </c>
      <c r="F166" s="10">
        <f t="shared" si="14"/>
        <v>0</v>
      </c>
      <c r="G166" s="10">
        <f t="shared" si="14"/>
        <v>0</v>
      </c>
      <c r="H166" s="10">
        <f t="shared" si="14"/>
        <v>0</v>
      </c>
      <c r="I166" s="44">
        <f t="shared" si="14"/>
        <v>0</v>
      </c>
      <c r="J166" s="10">
        <f t="shared" si="12"/>
        <v>0</v>
      </c>
      <c r="K166" s="67">
        <f t="shared" si="13"/>
        <v>13605.633802816901</v>
      </c>
    </row>
    <row r="167" spans="1:11" x14ac:dyDescent="0.25">
      <c r="A167" s="53">
        <f>'A) Base RI'!A166</f>
        <v>5663</v>
      </c>
      <c r="B167" s="35" t="str">
        <f>'A) Base RI'!B166</f>
        <v>Bussy-sur-Moudon</v>
      </c>
      <c r="C167" s="10">
        <f>'A) Base RI'!AN166</f>
        <v>208</v>
      </c>
      <c r="D167" s="34">
        <f t="shared" si="15"/>
        <v>208</v>
      </c>
      <c r="E167" s="10">
        <f t="shared" si="14"/>
        <v>0</v>
      </c>
      <c r="F167" s="10">
        <f t="shared" si="14"/>
        <v>0</v>
      </c>
      <c r="G167" s="10">
        <f t="shared" si="14"/>
        <v>0</v>
      </c>
      <c r="H167" s="10">
        <f t="shared" si="14"/>
        <v>0</v>
      </c>
      <c r="I167" s="44">
        <f t="shared" si="14"/>
        <v>0</v>
      </c>
      <c r="J167" s="10">
        <f t="shared" si="12"/>
        <v>0</v>
      </c>
      <c r="K167" s="67">
        <f t="shared" si="13"/>
        <v>20507.042253521126</v>
      </c>
    </row>
    <row r="168" spans="1:11" x14ac:dyDescent="0.25">
      <c r="A168" s="53">
        <f>'A) Base RI'!A167</f>
        <v>5665</v>
      </c>
      <c r="B168" s="35" t="str">
        <f>'A) Base RI'!B167</f>
        <v>Chavannes-sur-Moudon</v>
      </c>
      <c r="C168" s="10">
        <f>'A) Base RI'!AN167</f>
        <v>224</v>
      </c>
      <c r="D168" s="34">
        <f t="shared" si="15"/>
        <v>224</v>
      </c>
      <c r="E168" s="10">
        <f t="shared" si="14"/>
        <v>0</v>
      </c>
      <c r="F168" s="10">
        <f t="shared" si="14"/>
        <v>0</v>
      </c>
      <c r="G168" s="10">
        <f t="shared" si="14"/>
        <v>0</v>
      </c>
      <c r="H168" s="10">
        <f t="shared" si="14"/>
        <v>0</v>
      </c>
      <c r="I168" s="44">
        <f t="shared" si="14"/>
        <v>0</v>
      </c>
      <c r="J168" s="10">
        <f t="shared" si="12"/>
        <v>0</v>
      </c>
      <c r="K168" s="67">
        <f t="shared" si="13"/>
        <v>22084.507042253521</v>
      </c>
    </row>
    <row r="169" spans="1:11" x14ac:dyDescent="0.25">
      <c r="A169" s="53">
        <f>'A) Base RI'!A168</f>
        <v>5666</v>
      </c>
      <c r="B169" s="35" t="str">
        <f>'A) Base RI'!B168</f>
        <v>Chesalles-sur-Moudon</v>
      </c>
      <c r="C169" s="10">
        <f>'A) Base RI'!AN168</f>
        <v>196</v>
      </c>
      <c r="D169" s="34">
        <f t="shared" si="15"/>
        <v>196</v>
      </c>
      <c r="E169" s="10">
        <f t="shared" si="14"/>
        <v>0</v>
      </c>
      <c r="F169" s="10">
        <f t="shared" si="14"/>
        <v>0</v>
      </c>
      <c r="G169" s="10">
        <f t="shared" si="14"/>
        <v>0</v>
      </c>
      <c r="H169" s="10">
        <f t="shared" si="14"/>
        <v>0</v>
      </c>
      <c r="I169" s="44">
        <f t="shared" si="14"/>
        <v>0</v>
      </c>
      <c r="J169" s="10">
        <f>IF(C169&gt;$J$4,C169-$J$4,0)</f>
        <v>0</v>
      </c>
      <c r="K169" s="67">
        <f t="shared" si="13"/>
        <v>19323.943661971829</v>
      </c>
    </row>
    <row r="170" spans="1:11" x14ac:dyDescent="0.25">
      <c r="A170" s="53">
        <f>'A) Base RI'!A169</f>
        <v>5668</v>
      </c>
      <c r="B170" s="35" t="str">
        <f>'A) Base RI'!B169</f>
        <v>Cremin</v>
      </c>
      <c r="C170" s="10">
        <f>'A) Base RI'!AN169</f>
        <v>59</v>
      </c>
      <c r="D170" s="34">
        <f t="shared" si="15"/>
        <v>59</v>
      </c>
      <c r="E170" s="10">
        <f t="shared" si="14"/>
        <v>0</v>
      </c>
      <c r="F170" s="10">
        <f t="shared" si="14"/>
        <v>0</v>
      </c>
      <c r="G170" s="10">
        <f t="shared" si="14"/>
        <v>0</v>
      </c>
      <c r="H170" s="10">
        <f t="shared" si="14"/>
        <v>0</v>
      </c>
      <c r="I170" s="44">
        <f t="shared" si="14"/>
        <v>0</v>
      </c>
      <c r="J170" s="10">
        <f t="shared" ref="J170:J233" si="16">IF(C170&gt;$J$4,C170-$J$4,0)</f>
        <v>0</v>
      </c>
      <c r="K170" s="67">
        <f t="shared" si="13"/>
        <v>5816.9014084507035</v>
      </c>
    </row>
    <row r="171" spans="1:11" x14ac:dyDescent="0.25">
      <c r="A171" s="53">
        <f>'A) Base RI'!A170</f>
        <v>5669</v>
      </c>
      <c r="B171" s="35" t="str">
        <f>'A) Base RI'!B170</f>
        <v>Curtilles</v>
      </c>
      <c r="C171" s="10">
        <f>'A) Base RI'!AN170</f>
        <v>309</v>
      </c>
      <c r="D171" s="34">
        <f t="shared" si="15"/>
        <v>309</v>
      </c>
      <c r="E171" s="10">
        <f t="shared" si="14"/>
        <v>0</v>
      </c>
      <c r="F171" s="10">
        <f t="shared" si="14"/>
        <v>0</v>
      </c>
      <c r="G171" s="10">
        <f t="shared" si="14"/>
        <v>0</v>
      </c>
      <c r="H171" s="10">
        <f t="shared" si="14"/>
        <v>0</v>
      </c>
      <c r="I171" s="44">
        <f t="shared" si="14"/>
        <v>0</v>
      </c>
      <c r="J171" s="10">
        <f t="shared" si="16"/>
        <v>0</v>
      </c>
      <c r="K171" s="67">
        <f t="shared" si="13"/>
        <v>30464.788732394365</v>
      </c>
    </row>
    <row r="172" spans="1:11" x14ac:dyDescent="0.25">
      <c r="A172" s="53">
        <f>'A) Base RI'!A171</f>
        <v>5671</v>
      </c>
      <c r="B172" s="35" t="str">
        <f>'A) Base RI'!B171</f>
        <v>Dompierre</v>
      </c>
      <c r="C172" s="10">
        <f>'A) Base RI'!AN171</f>
        <v>242</v>
      </c>
      <c r="D172" s="34">
        <f t="shared" si="15"/>
        <v>242</v>
      </c>
      <c r="E172" s="10">
        <f t="shared" si="14"/>
        <v>0</v>
      </c>
      <c r="F172" s="10">
        <f t="shared" si="14"/>
        <v>0</v>
      </c>
      <c r="G172" s="10">
        <f t="shared" si="14"/>
        <v>0</v>
      </c>
      <c r="H172" s="10">
        <f t="shared" si="14"/>
        <v>0</v>
      </c>
      <c r="I172" s="44">
        <f t="shared" si="14"/>
        <v>0</v>
      </c>
      <c r="J172" s="10">
        <f t="shared" si="16"/>
        <v>0</v>
      </c>
      <c r="K172" s="67">
        <f t="shared" si="13"/>
        <v>23859.154929577464</v>
      </c>
    </row>
    <row r="173" spans="1:11" x14ac:dyDescent="0.25">
      <c r="A173" s="53">
        <f>'A) Base RI'!A172</f>
        <v>5672</v>
      </c>
      <c r="B173" s="35" t="str">
        <f>'A) Base RI'!B172</f>
        <v>Forel-sur-Lucens</v>
      </c>
      <c r="C173" s="10">
        <f>'A) Base RI'!AN172</f>
        <v>154</v>
      </c>
      <c r="D173" s="34">
        <f t="shared" si="15"/>
        <v>154</v>
      </c>
      <c r="E173" s="10">
        <f t="shared" si="14"/>
        <v>0</v>
      </c>
      <c r="F173" s="10">
        <f t="shared" si="14"/>
        <v>0</v>
      </c>
      <c r="G173" s="10">
        <f t="shared" si="14"/>
        <v>0</v>
      </c>
      <c r="H173" s="10">
        <f t="shared" si="14"/>
        <v>0</v>
      </c>
      <c r="I173" s="44">
        <f t="shared" si="14"/>
        <v>0</v>
      </c>
      <c r="J173" s="10">
        <f t="shared" si="16"/>
        <v>0</v>
      </c>
      <c r="K173" s="67">
        <f t="shared" si="13"/>
        <v>15183.098591549295</v>
      </c>
    </row>
    <row r="174" spans="1:11" x14ac:dyDescent="0.25">
      <c r="A174" s="53">
        <f>'A) Base RI'!A173</f>
        <v>5673</v>
      </c>
      <c r="B174" s="35" t="str">
        <f>'A) Base RI'!B173</f>
        <v>Hermenches</v>
      </c>
      <c r="C174" s="10">
        <f>'A) Base RI'!AN173</f>
        <v>379</v>
      </c>
      <c r="D174" s="34">
        <f t="shared" si="15"/>
        <v>379</v>
      </c>
      <c r="E174" s="10">
        <f t="shared" si="14"/>
        <v>0</v>
      </c>
      <c r="F174" s="10">
        <f t="shared" si="14"/>
        <v>0</v>
      </c>
      <c r="G174" s="10">
        <f t="shared" si="14"/>
        <v>0</v>
      </c>
      <c r="H174" s="10">
        <f t="shared" si="14"/>
        <v>0</v>
      </c>
      <c r="I174" s="44">
        <f t="shared" si="14"/>
        <v>0</v>
      </c>
      <c r="J174" s="10">
        <f t="shared" si="16"/>
        <v>0</v>
      </c>
      <c r="K174" s="67">
        <f t="shared" si="13"/>
        <v>37366.197183098586</v>
      </c>
    </row>
    <row r="175" spans="1:11" x14ac:dyDescent="0.25">
      <c r="A175" s="53">
        <f>'A) Base RI'!A174</f>
        <v>5674</v>
      </c>
      <c r="B175" s="35" t="str">
        <f>'A) Base RI'!B174</f>
        <v>Lovatens</v>
      </c>
      <c r="C175" s="10">
        <f>'A) Base RI'!AN174</f>
        <v>143</v>
      </c>
      <c r="D175" s="34">
        <f t="shared" si="15"/>
        <v>143</v>
      </c>
      <c r="E175" s="10">
        <f t="shared" si="14"/>
        <v>0</v>
      </c>
      <c r="F175" s="10">
        <f t="shared" si="14"/>
        <v>0</v>
      </c>
      <c r="G175" s="10">
        <f t="shared" si="14"/>
        <v>0</v>
      </c>
      <c r="H175" s="10">
        <f t="shared" si="14"/>
        <v>0</v>
      </c>
      <c r="I175" s="44">
        <f t="shared" si="14"/>
        <v>0</v>
      </c>
      <c r="J175" s="10">
        <f t="shared" si="16"/>
        <v>0</v>
      </c>
      <c r="K175" s="67">
        <f t="shared" si="13"/>
        <v>14098.591549295774</v>
      </c>
    </row>
    <row r="176" spans="1:11" x14ac:dyDescent="0.25">
      <c r="A176" s="53">
        <f>'A) Base RI'!A175</f>
        <v>5675</v>
      </c>
      <c r="B176" s="35" t="str">
        <f>'A) Base RI'!B175</f>
        <v>Lucens</v>
      </c>
      <c r="C176" s="10">
        <f>'A) Base RI'!AN175</f>
        <v>3380</v>
      </c>
      <c r="D176" s="34">
        <f t="shared" si="15"/>
        <v>1000</v>
      </c>
      <c r="E176" s="10">
        <f t="shared" si="14"/>
        <v>2000</v>
      </c>
      <c r="F176" s="10">
        <f t="shared" si="14"/>
        <v>380</v>
      </c>
      <c r="G176" s="10">
        <f t="shared" si="14"/>
        <v>0</v>
      </c>
      <c r="H176" s="10">
        <f t="shared" si="14"/>
        <v>0</v>
      </c>
      <c r="I176" s="44">
        <f t="shared" si="14"/>
        <v>0</v>
      </c>
      <c r="J176" s="10">
        <f t="shared" si="16"/>
        <v>0</v>
      </c>
      <c r="K176" s="67">
        <f t="shared" si="13"/>
        <v>976056.338028169</v>
      </c>
    </row>
    <row r="177" spans="1:11" x14ac:dyDescent="0.25">
      <c r="A177" s="53">
        <f>'A) Base RI'!A176</f>
        <v>5678</v>
      </c>
      <c r="B177" s="35" t="str">
        <f>'A) Base RI'!B176</f>
        <v>Moudon</v>
      </c>
      <c r="C177" s="10">
        <f>'A) Base RI'!AN176</f>
        <v>6003</v>
      </c>
      <c r="D177" s="34">
        <f t="shared" si="15"/>
        <v>1000</v>
      </c>
      <c r="E177" s="10">
        <f t="shared" si="14"/>
        <v>2000</v>
      </c>
      <c r="F177" s="10">
        <f t="shared" si="14"/>
        <v>2000</v>
      </c>
      <c r="G177" s="10">
        <f t="shared" si="14"/>
        <v>1003</v>
      </c>
      <c r="H177" s="10">
        <f t="shared" si="14"/>
        <v>0</v>
      </c>
      <c r="I177" s="44">
        <f t="shared" si="14"/>
        <v>0</v>
      </c>
      <c r="J177" s="10">
        <f t="shared" si="16"/>
        <v>0</v>
      </c>
      <c r="K177" s="67">
        <f t="shared" si="13"/>
        <v>2367971.8309859154</v>
      </c>
    </row>
    <row r="178" spans="1:11" x14ac:dyDescent="0.25">
      <c r="A178" s="53">
        <f>'A) Base RI'!A177</f>
        <v>5680</v>
      </c>
      <c r="B178" s="35" t="str">
        <f>'A) Base RI'!B177</f>
        <v>Ogens</v>
      </c>
      <c r="C178" s="10">
        <f>'A) Base RI'!AN177</f>
        <v>296</v>
      </c>
      <c r="D178" s="34">
        <f t="shared" si="15"/>
        <v>296</v>
      </c>
      <c r="E178" s="10">
        <f t="shared" si="14"/>
        <v>0</v>
      </c>
      <c r="F178" s="10">
        <f t="shared" si="14"/>
        <v>0</v>
      </c>
      <c r="G178" s="10">
        <f t="shared" si="14"/>
        <v>0</v>
      </c>
      <c r="H178" s="10">
        <f t="shared" si="14"/>
        <v>0</v>
      </c>
      <c r="I178" s="44">
        <f t="shared" si="14"/>
        <v>0</v>
      </c>
      <c r="J178" s="10">
        <f t="shared" si="16"/>
        <v>0</v>
      </c>
      <c r="K178" s="67">
        <f t="shared" si="13"/>
        <v>29183.098591549293</v>
      </c>
    </row>
    <row r="179" spans="1:11" x14ac:dyDescent="0.25">
      <c r="A179" s="53">
        <f>'A) Base RI'!A178</f>
        <v>5683</v>
      </c>
      <c r="B179" s="35" t="str">
        <f>'A) Base RI'!B178</f>
        <v>Prévonloup</v>
      </c>
      <c r="C179" s="10">
        <f>'A) Base RI'!AN178</f>
        <v>166</v>
      </c>
      <c r="D179" s="34">
        <f t="shared" si="15"/>
        <v>166</v>
      </c>
      <c r="E179" s="10">
        <f t="shared" si="14"/>
        <v>0</v>
      </c>
      <c r="F179" s="10">
        <f t="shared" si="14"/>
        <v>0</v>
      </c>
      <c r="G179" s="10">
        <f t="shared" si="14"/>
        <v>0</v>
      </c>
      <c r="H179" s="10">
        <f t="shared" si="14"/>
        <v>0</v>
      </c>
      <c r="I179" s="44">
        <f t="shared" si="14"/>
        <v>0</v>
      </c>
      <c r="J179" s="10">
        <f t="shared" si="16"/>
        <v>0</v>
      </c>
      <c r="K179" s="67">
        <f t="shared" si="13"/>
        <v>16366.197183098591</v>
      </c>
    </row>
    <row r="180" spans="1:11" x14ac:dyDescent="0.25">
      <c r="A180" s="53">
        <f>'A) Base RI'!A179</f>
        <v>5684</v>
      </c>
      <c r="B180" s="35" t="str">
        <f>'A) Base RI'!B179</f>
        <v>Rossenges</v>
      </c>
      <c r="C180" s="10">
        <f>'A) Base RI'!AN179</f>
        <v>60</v>
      </c>
      <c r="D180" s="34">
        <f t="shared" si="15"/>
        <v>60</v>
      </c>
      <c r="E180" s="10">
        <f t="shared" si="14"/>
        <v>0</v>
      </c>
      <c r="F180" s="10">
        <f t="shared" si="14"/>
        <v>0</v>
      </c>
      <c r="G180" s="10">
        <f t="shared" si="14"/>
        <v>0</v>
      </c>
      <c r="H180" s="10">
        <f t="shared" si="14"/>
        <v>0</v>
      </c>
      <c r="I180" s="44">
        <f t="shared" si="14"/>
        <v>0</v>
      </c>
      <c r="J180" s="10">
        <f t="shared" si="16"/>
        <v>0</v>
      </c>
      <c r="K180" s="67">
        <f t="shared" si="13"/>
        <v>5915.4929577464782</v>
      </c>
    </row>
    <row r="181" spans="1:11" x14ac:dyDescent="0.25">
      <c r="A181" s="53">
        <f>'A) Base RI'!A180</f>
        <v>5686</v>
      </c>
      <c r="B181" s="35" t="str">
        <f>'A) Base RI'!B180</f>
        <v>Sarzens</v>
      </c>
      <c r="C181" s="10">
        <f>'A) Base RI'!AN180</f>
        <v>82</v>
      </c>
      <c r="D181" s="34">
        <f t="shared" si="15"/>
        <v>82</v>
      </c>
      <c r="E181" s="10">
        <f t="shared" si="14"/>
        <v>0</v>
      </c>
      <c r="F181" s="10">
        <f t="shared" si="14"/>
        <v>0</v>
      </c>
      <c r="G181" s="10">
        <f t="shared" si="14"/>
        <v>0</v>
      </c>
      <c r="H181" s="10">
        <f t="shared" si="14"/>
        <v>0</v>
      </c>
      <c r="I181" s="44">
        <f t="shared" si="14"/>
        <v>0</v>
      </c>
      <c r="J181" s="10">
        <f t="shared" si="16"/>
        <v>0</v>
      </c>
      <c r="K181" s="67">
        <f t="shared" si="13"/>
        <v>8084.5070422535209</v>
      </c>
    </row>
    <row r="182" spans="1:11" x14ac:dyDescent="0.25">
      <c r="A182" s="53">
        <f>'A) Base RI'!A181</f>
        <v>5688</v>
      </c>
      <c r="B182" s="35" t="str">
        <f>'A) Base RI'!B181</f>
        <v>Syens</v>
      </c>
      <c r="C182" s="10">
        <f>'A) Base RI'!AN181</f>
        <v>145</v>
      </c>
      <c r="D182" s="34">
        <f t="shared" si="15"/>
        <v>145</v>
      </c>
      <c r="E182" s="10">
        <f t="shared" si="14"/>
        <v>0</v>
      </c>
      <c r="F182" s="10">
        <f t="shared" si="14"/>
        <v>0</v>
      </c>
      <c r="G182" s="10">
        <f t="shared" si="14"/>
        <v>0</v>
      </c>
      <c r="H182" s="10">
        <f t="shared" si="14"/>
        <v>0</v>
      </c>
      <c r="I182" s="44">
        <f t="shared" si="14"/>
        <v>0</v>
      </c>
      <c r="J182" s="10">
        <f t="shared" si="16"/>
        <v>0</v>
      </c>
      <c r="K182" s="67">
        <f t="shared" si="13"/>
        <v>14295.774647887323</v>
      </c>
    </row>
    <row r="183" spans="1:11" x14ac:dyDescent="0.25">
      <c r="A183" s="53">
        <f>'A) Base RI'!A182</f>
        <v>5690</v>
      </c>
      <c r="B183" s="35" t="str">
        <f>'A) Base RI'!B182</f>
        <v>Villars-le-Comte</v>
      </c>
      <c r="C183" s="10">
        <f>'A) Base RI'!AN182</f>
        <v>143</v>
      </c>
      <c r="D183" s="34">
        <f t="shared" si="15"/>
        <v>143</v>
      </c>
      <c r="E183" s="10">
        <f t="shared" si="14"/>
        <v>0</v>
      </c>
      <c r="F183" s="10">
        <f t="shared" si="14"/>
        <v>0</v>
      </c>
      <c r="G183" s="10">
        <f t="shared" si="14"/>
        <v>0</v>
      </c>
      <c r="H183" s="10">
        <f t="shared" si="14"/>
        <v>0</v>
      </c>
      <c r="I183" s="44">
        <f t="shared" si="14"/>
        <v>0</v>
      </c>
      <c r="J183" s="10">
        <f t="shared" si="16"/>
        <v>0</v>
      </c>
      <c r="K183" s="67">
        <f t="shared" si="13"/>
        <v>14098.591549295774</v>
      </c>
    </row>
    <row r="184" spans="1:11" x14ac:dyDescent="0.25">
      <c r="A184" s="53">
        <f>'A) Base RI'!A183</f>
        <v>5692</v>
      </c>
      <c r="B184" s="35" t="str">
        <f>'A) Base RI'!B183</f>
        <v>Vucherens</v>
      </c>
      <c r="C184" s="10">
        <f>'A) Base RI'!AN183</f>
        <v>557</v>
      </c>
      <c r="D184" s="34">
        <f t="shared" si="15"/>
        <v>557</v>
      </c>
      <c r="E184" s="10">
        <f t="shared" si="14"/>
        <v>0</v>
      </c>
      <c r="F184" s="10">
        <f t="shared" si="14"/>
        <v>0</v>
      </c>
      <c r="G184" s="10">
        <f t="shared" si="14"/>
        <v>0</v>
      </c>
      <c r="H184" s="10">
        <f t="shared" si="14"/>
        <v>0</v>
      </c>
      <c r="I184" s="44">
        <f t="shared" si="14"/>
        <v>0</v>
      </c>
      <c r="J184" s="10">
        <f t="shared" si="16"/>
        <v>0</v>
      </c>
      <c r="K184" s="67">
        <f t="shared" si="13"/>
        <v>54915.492957746472</v>
      </c>
    </row>
    <row r="185" spans="1:11" x14ac:dyDescent="0.25">
      <c r="A185" s="53">
        <f>'A) Base RI'!A184</f>
        <v>5693</v>
      </c>
      <c r="B185" s="35" t="str">
        <f>'A) Base RI'!B184</f>
        <v>Montanaire</v>
      </c>
      <c r="C185" s="10">
        <f>'A) Base RI'!AN184</f>
        <v>2500</v>
      </c>
      <c r="D185" s="34">
        <f t="shared" si="15"/>
        <v>1000</v>
      </c>
      <c r="E185" s="10">
        <f t="shared" si="14"/>
        <v>1500</v>
      </c>
      <c r="F185" s="10">
        <f t="shared" si="14"/>
        <v>0</v>
      </c>
      <c r="G185" s="10">
        <f t="shared" si="14"/>
        <v>0</v>
      </c>
      <c r="H185" s="10">
        <f t="shared" si="14"/>
        <v>0</v>
      </c>
      <c r="I185" s="44">
        <f t="shared" si="14"/>
        <v>0</v>
      </c>
      <c r="J185" s="10">
        <f t="shared" si="16"/>
        <v>0</v>
      </c>
      <c r="K185" s="67">
        <f t="shared" si="13"/>
        <v>616197.18309859151</v>
      </c>
    </row>
    <row r="186" spans="1:11" x14ac:dyDescent="0.25">
      <c r="A186" s="53">
        <f>'A) Base RI'!A185</f>
        <v>5701</v>
      </c>
      <c r="B186" s="35" t="str">
        <f>'A) Base RI'!B185</f>
        <v>Arnex-sur-Nyon</v>
      </c>
      <c r="C186" s="10">
        <f>'A) Base RI'!AN185</f>
        <v>214</v>
      </c>
      <c r="D186" s="34">
        <f t="shared" si="15"/>
        <v>214</v>
      </c>
      <c r="E186" s="10">
        <f t="shared" si="14"/>
        <v>0</v>
      </c>
      <c r="F186" s="10">
        <f t="shared" si="14"/>
        <v>0</v>
      </c>
      <c r="G186" s="10">
        <f t="shared" si="14"/>
        <v>0</v>
      </c>
      <c r="H186" s="10">
        <f t="shared" si="14"/>
        <v>0</v>
      </c>
      <c r="I186" s="44">
        <f t="shared" si="14"/>
        <v>0</v>
      </c>
      <c r="J186" s="10">
        <f t="shared" si="16"/>
        <v>0</v>
      </c>
      <c r="K186" s="67">
        <f t="shared" si="13"/>
        <v>21098.591549295772</v>
      </c>
    </row>
    <row r="187" spans="1:11" x14ac:dyDescent="0.25">
      <c r="A187" s="53">
        <f>'A) Base RI'!A186</f>
        <v>5702</v>
      </c>
      <c r="B187" s="35" t="str">
        <f>'A) Base RI'!B186</f>
        <v>Arzier-Le Muids</v>
      </c>
      <c r="C187" s="10">
        <f>'A) Base RI'!AN186</f>
        <v>2565</v>
      </c>
      <c r="D187" s="34">
        <f t="shared" si="15"/>
        <v>1000</v>
      </c>
      <c r="E187" s="10">
        <f t="shared" si="14"/>
        <v>1565</v>
      </c>
      <c r="F187" s="10">
        <f t="shared" si="14"/>
        <v>0</v>
      </c>
      <c r="G187" s="10">
        <f t="shared" si="14"/>
        <v>0</v>
      </c>
      <c r="H187" s="10">
        <f t="shared" si="14"/>
        <v>0</v>
      </c>
      <c r="I187" s="44">
        <f t="shared" si="14"/>
        <v>0</v>
      </c>
      <c r="J187" s="10">
        <f t="shared" si="16"/>
        <v>0</v>
      </c>
      <c r="K187" s="67">
        <f t="shared" si="13"/>
        <v>638626.76056338032</v>
      </c>
    </row>
    <row r="188" spans="1:11" x14ac:dyDescent="0.25">
      <c r="A188" s="53">
        <f>'A) Base RI'!A187</f>
        <v>5703</v>
      </c>
      <c r="B188" s="35" t="str">
        <f>'A) Base RI'!B187</f>
        <v>Bassins</v>
      </c>
      <c r="C188" s="10">
        <f>'A) Base RI'!AN187</f>
        <v>1311</v>
      </c>
      <c r="D188" s="34">
        <f t="shared" si="15"/>
        <v>1000</v>
      </c>
      <c r="E188" s="10">
        <f t="shared" si="14"/>
        <v>311</v>
      </c>
      <c r="F188" s="10">
        <f t="shared" si="14"/>
        <v>0</v>
      </c>
      <c r="G188" s="10">
        <f t="shared" si="14"/>
        <v>0</v>
      </c>
      <c r="H188" s="10">
        <f t="shared" si="14"/>
        <v>0</v>
      </c>
      <c r="I188" s="44">
        <f t="shared" si="14"/>
        <v>0</v>
      </c>
      <c r="J188" s="10">
        <f t="shared" si="16"/>
        <v>0</v>
      </c>
      <c r="K188" s="67">
        <f t="shared" si="13"/>
        <v>205908.45070422534</v>
      </c>
    </row>
    <row r="189" spans="1:11" x14ac:dyDescent="0.25">
      <c r="A189" s="53">
        <f>'A) Base RI'!A188</f>
        <v>5704</v>
      </c>
      <c r="B189" s="35" t="str">
        <f>'A) Base RI'!B188</f>
        <v>Begnins</v>
      </c>
      <c r="C189" s="10">
        <f>'A) Base RI'!AN188</f>
        <v>1856</v>
      </c>
      <c r="D189" s="34">
        <f t="shared" si="15"/>
        <v>1000</v>
      </c>
      <c r="E189" s="10">
        <f t="shared" si="14"/>
        <v>856</v>
      </c>
      <c r="F189" s="10">
        <f t="shared" si="14"/>
        <v>0</v>
      </c>
      <c r="G189" s="10">
        <f t="shared" si="14"/>
        <v>0</v>
      </c>
      <c r="H189" s="10">
        <f t="shared" si="14"/>
        <v>0</v>
      </c>
      <c r="I189" s="44">
        <f t="shared" si="14"/>
        <v>0</v>
      </c>
      <c r="J189" s="10">
        <f t="shared" si="16"/>
        <v>0</v>
      </c>
      <c r="K189" s="67">
        <f t="shared" si="13"/>
        <v>393971.8309859155</v>
      </c>
    </row>
    <row r="190" spans="1:11" x14ac:dyDescent="0.25">
      <c r="A190" s="53">
        <f>'A) Base RI'!A189</f>
        <v>5705</v>
      </c>
      <c r="B190" s="35" t="str">
        <f>'A) Base RI'!B189</f>
        <v>Bogis-Bossey</v>
      </c>
      <c r="C190" s="10">
        <f>'A) Base RI'!AN189</f>
        <v>827</v>
      </c>
      <c r="D190" s="34">
        <f t="shared" si="15"/>
        <v>827</v>
      </c>
      <c r="E190" s="10">
        <f t="shared" si="14"/>
        <v>0</v>
      </c>
      <c r="F190" s="10">
        <f t="shared" si="14"/>
        <v>0</v>
      </c>
      <c r="G190" s="10">
        <f t="shared" si="14"/>
        <v>0</v>
      </c>
      <c r="H190" s="10">
        <f t="shared" si="14"/>
        <v>0</v>
      </c>
      <c r="I190" s="44">
        <f t="shared" si="14"/>
        <v>0</v>
      </c>
      <c r="J190" s="10">
        <f t="shared" si="16"/>
        <v>0</v>
      </c>
      <c r="K190" s="67">
        <f t="shared" si="13"/>
        <v>81535.211267605628</v>
      </c>
    </row>
    <row r="191" spans="1:11" x14ac:dyDescent="0.25">
      <c r="A191" s="53">
        <f>'A) Base RI'!A190</f>
        <v>5706</v>
      </c>
      <c r="B191" s="35" t="str">
        <f>'A) Base RI'!B190</f>
        <v>Borex</v>
      </c>
      <c r="C191" s="10">
        <f>'A) Base RI'!AN190</f>
        <v>1099</v>
      </c>
      <c r="D191" s="34">
        <f t="shared" si="15"/>
        <v>1000</v>
      </c>
      <c r="E191" s="10">
        <f t="shared" si="14"/>
        <v>99</v>
      </c>
      <c r="F191" s="10">
        <f t="shared" si="14"/>
        <v>0</v>
      </c>
      <c r="G191" s="10">
        <f t="shared" si="14"/>
        <v>0</v>
      </c>
      <c r="H191" s="10">
        <f t="shared" si="14"/>
        <v>0</v>
      </c>
      <c r="I191" s="44">
        <f t="shared" si="14"/>
        <v>0</v>
      </c>
      <c r="J191" s="10">
        <f t="shared" si="16"/>
        <v>0</v>
      </c>
      <c r="K191" s="67">
        <f t="shared" si="13"/>
        <v>132753.52112676058</v>
      </c>
    </row>
    <row r="192" spans="1:11" x14ac:dyDescent="0.25">
      <c r="A192" s="53">
        <f>'A) Base RI'!A191</f>
        <v>5707</v>
      </c>
      <c r="B192" s="35" t="str">
        <f>'A) Base RI'!B191</f>
        <v>Chavannes-de-Bogis</v>
      </c>
      <c r="C192" s="10">
        <f>'A) Base RI'!AN191</f>
        <v>1153</v>
      </c>
      <c r="D192" s="34">
        <f t="shared" si="15"/>
        <v>1000</v>
      </c>
      <c r="E192" s="10">
        <f t="shared" si="14"/>
        <v>153</v>
      </c>
      <c r="F192" s="10">
        <f t="shared" si="14"/>
        <v>0</v>
      </c>
      <c r="G192" s="10">
        <f t="shared" si="14"/>
        <v>0</v>
      </c>
      <c r="H192" s="10">
        <f t="shared" si="14"/>
        <v>0</v>
      </c>
      <c r="I192" s="44">
        <f t="shared" si="14"/>
        <v>0</v>
      </c>
      <c r="J192" s="10">
        <f t="shared" si="16"/>
        <v>0</v>
      </c>
      <c r="K192" s="67">
        <f t="shared" si="13"/>
        <v>151387.32394366196</v>
      </c>
    </row>
    <row r="193" spans="1:11" x14ac:dyDescent="0.25">
      <c r="A193" s="53">
        <f>'A) Base RI'!A192</f>
        <v>5708</v>
      </c>
      <c r="B193" s="35" t="str">
        <f>'A) Base RI'!B192</f>
        <v>Chavannes-des-Bois</v>
      </c>
      <c r="C193" s="10">
        <f>'A) Base RI'!AN192</f>
        <v>850</v>
      </c>
      <c r="D193" s="34">
        <f t="shared" si="15"/>
        <v>850</v>
      </c>
      <c r="E193" s="10">
        <f t="shared" si="14"/>
        <v>0</v>
      </c>
      <c r="F193" s="10">
        <f t="shared" ref="E193:I235" si="17">IF($C193&gt;F$4,IF($C193&lt;F$5,$C193-F$4,F$5-F$4),0)</f>
        <v>0</v>
      </c>
      <c r="G193" s="10">
        <f t="shared" si="17"/>
        <v>0</v>
      </c>
      <c r="H193" s="10">
        <f t="shared" si="17"/>
        <v>0</v>
      </c>
      <c r="I193" s="44">
        <f t="shared" si="17"/>
        <v>0</v>
      </c>
      <c r="J193" s="10">
        <f t="shared" si="16"/>
        <v>0</v>
      </c>
      <c r="K193" s="67">
        <f t="shared" si="13"/>
        <v>83802.816901408441</v>
      </c>
    </row>
    <row r="194" spans="1:11" x14ac:dyDescent="0.25">
      <c r="A194" s="53">
        <f>'A) Base RI'!A193</f>
        <v>5709</v>
      </c>
      <c r="B194" s="35" t="str">
        <f>'A) Base RI'!B193</f>
        <v>Chéserex</v>
      </c>
      <c r="C194" s="10">
        <f>'A) Base RI'!AN193</f>
        <v>1222</v>
      </c>
      <c r="D194" s="34">
        <f t="shared" si="15"/>
        <v>1000</v>
      </c>
      <c r="E194" s="10">
        <f t="shared" si="17"/>
        <v>222</v>
      </c>
      <c r="F194" s="10">
        <f t="shared" si="17"/>
        <v>0</v>
      </c>
      <c r="G194" s="10">
        <f t="shared" si="17"/>
        <v>0</v>
      </c>
      <c r="H194" s="10">
        <f t="shared" si="17"/>
        <v>0</v>
      </c>
      <c r="I194" s="44">
        <f t="shared" si="17"/>
        <v>0</v>
      </c>
      <c r="J194" s="10">
        <f t="shared" si="16"/>
        <v>0</v>
      </c>
      <c r="K194" s="67">
        <f t="shared" si="13"/>
        <v>175197.18309859154</v>
      </c>
    </row>
    <row r="195" spans="1:11" x14ac:dyDescent="0.25">
      <c r="A195" s="53">
        <f>'A) Base RI'!A194</f>
        <v>5710</v>
      </c>
      <c r="B195" s="35" t="str">
        <f>'A) Base RI'!B194</f>
        <v>Coinsins</v>
      </c>
      <c r="C195" s="10">
        <f>'A) Base RI'!AN194</f>
        <v>490</v>
      </c>
      <c r="D195" s="34">
        <f t="shared" si="15"/>
        <v>490</v>
      </c>
      <c r="E195" s="10">
        <f t="shared" si="17"/>
        <v>0</v>
      </c>
      <c r="F195" s="10">
        <f t="shared" si="17"/>
        <v>0</v>
      </c>
      <c r="G195" s="10">
        <f t="shared" si="17"/>
        <v>0</v>
      </c>
      <c r="H195" s="10">
        <f t="shared" si="17"/>
        <v>0</v>
      </c>
      <c r="I195" s="44">
        <f t="shared" si="17"/>
        <v>0</v>
      </c>
      <c r="J195" s="10">
        <f t="shared" si="16"/>
        <v>0</v>
      </c>
      <c r="K195" s="67">
        <f t="shared" si="13"/>
        <v>48309.859154929574</v>
      </c>
    </row>
    <row r="196" spans="1:11" x14ac:dyDescent="0.25">
      <c r="A196" s="53">
        <f>'A) Base RI'!A195</f>
        <v>5711</v>
      </c>
      <c r="B196" s="35" t="str">
        <f>'A) Base RI'!B195</f>
        <v>Commugny</v>
      </c>
      <c r="C196" s="10">
        <f>'A) Base RI'!AN195</f>
        <v>2561</v>
      </c>
      <c r="D196" s="34">
        <f t="shared" si="15"/>
        <v>1000</v>
      </c>
      <c r="E196" s="10">
        <f t="shared" si="17"/>
        <v>1561</v>
      </c>
      <c r="F196" s="10">
        <f t="shared" si="17"/>
        <v>0</v>
      </c>
      <c r="G196" s="10">
        <f t="shared" si="17"/>
        <v>0</v>
      </c>
      <c r="H196" s="10">
        <f t="shared" si="17"/>
        <v>0</v>
      </c>
      <c r="I196" s="44">
        <f t="shared" si="17"/>
        <v>0</v>
      </c>
      <c r="J196" s="10">
        <f t="shared" si="16"/>
        <v>0</v>
      </c>
      <c r="K196" s="67">
        <f t="shared" si="13"/>
        <v>637246.47887323948</v>
      </c>
    </row>
    <row r="197" spans="1:11" x14ac:dyDescent="0.25">
      <c r="A197" s="53">
        <f>'A) Base RI'!A196</f>
        <v>5712</v>
      </c>
      <c r="B197" s="35" t="str">
        <f>'A) Base RI'!B196</f>
        <v>Coppet</v>
      </c>
      <c r="C197" s="10">
        <f>'A) Base RI'!AN196</f>
        <v>2942</v>
      </c>
      <c r="D197" s="34">
        <f t="shared" si="15"/>
        <v>1000</v>
      </c>
      <c r="E197" s="10">
        <f t="shared" si="17"/>
        <v>1942</v>
      </c>
      <c r="F197" s="10">
        <f t="shared" si="17"/>
        <v>0</v>
      </c>
      <c r="G197" s="10">
        <f t="shared" si="17"/>
        <v>0</v>
      </c>
      <c r="H197" s="10">
        <f t="shared" si="17"/>
        <v>0</v>
      </c>
      <c r="I197" s="44">
        <f t="shared" si="17"/>
        <v>0</v>
      </c>
      <c r="J197" s="10">
        <f t="shared" si="16"/>
        <v>0</v>
      </c>
      <c r="K197" s="67">
        <f t="shared" si="13"/>
        <v>768718.30985915498</v>
      </c>
    </row>
    <row r="198" spans="1:11" x14ac:dyDescent="0.25">
      <c r="A198" s="53">
        <f>'A) Base RI'!A197</f>
        <v>5713</v>
      </c>
      <c r="B198" s="35" t="str">
        <f>'A) Base RI'!B197</f>
        <v>Crans-près-Céligny</v>
      </c>
      <c r="C198" s="10">
        <f>'A) Base RI'!AN197</f>
        <v>2059</v>
      </c>
      <c r="D198" s="34">
        <f t="shared" si="15"/>
        <v>1000</v>
      </c>
      <c r="E198" s="10">
        <f t="shared" si="17"/>
        <v>1059</v>
      </c>
      <c r="F198" s="10">
        <f t="shared" si="17"/>
        <v>0</v>
      </c>
      <c r="G198" s="10">
        <f t="shared" si="17"/>
        <v>0</v>
      </c>
      <c r="H198" s="10">
        <f t="shared" si="17"/>
        <v>0</v>
      </c>
      <c r="I198" s="44">
        <f t="shared" si="17"/>
        <v>0</v>
      </c>
      <c r="J198" s="10">
        <f t="shared" si="16"/>
        <v>0</v>
      </c>
      <c r="K198" s="67">
        <f t="shared" si="13"/>
        <v>464021.12676056341</v>
      </c>
    </row>
    <row r="199" spans="1:11" x14ac:dyDescent="0.25">
      <c r="A199" s="53">
        <f>'A) Base RI'!A198</f>
        <v>5714</v>
      </c>
      <c r="B199" s="35" t="str">
        <f>'A) Base RI'!B198</f>
        <v>Crassier</v>
      </c>
      <c r="C199" s="10">
        <f>'A) Base RI'!AN198</f>
        <v>1172</v>
      </c>
      <c r="D199" s="34">
        <f t="shared" si="15"/>
        <v>1000</v>
      </c>
      <c r="E199" s="10">
        <f t="shared" si="17"/>
        <v>172</v>
      </c>
      <c r="F199" s="10">
        <f t="shared" si="17"/>
        <v>0</v>
      </c>
      <c r="G199" s="10">
        <f t="shared" si="17"/>
        <v>0</v>
      </c>
      <c r="H199" s="10">
        <f t="shared" si="17"/>
        <v>0</v>
      </c>
      <c r="I199" s="44">
        <f t="shared" si="17"/>
        <v>0</v>
      </c>
      <c r="J199" s="10">
        <f t="shared" si="16"/>
        <v>0</v>
      </c>
      <c r="K199" s="67">
        <f t="shared" si="13"/>
        <v>157943.661971831</v>
      </c>
    </row>
    <row r="200" spans="1:11" x14ac:dyDescent="0.25">
      <c r="A200" s="53">
        <f>'A) Base RI'!A199</f>
        <v>5715</v>
      </c>
      <c r="B200" s="35" t="str">
        <f>'A) Base RI'!B199</f>
        <v>Duillier</v>
      </c>
      <c r="C200" s="10">
        <f>'A) Base RI'!AN199</f>
        <v>1039</v>
      </c>
      <c r="D200" s="34">
        <f t="shared" si="15"/>
        <v>1000</v>
      </c>
      <c r="E200" s="10">
        <f t="shared" si="17"/>
        <v>39</v>
      </c>
      <c r="F200" s="10">
        <f t="shared" si="17"/>
        <v>0</v>
      </c>
      <c r="G200" s="10">
        <f t="shared" si="17"/>
        <v>0</v>
      </c>
      <c r="H200" s="10">
        <f t="shared" si="17"/>
        <v>0</v>
      </c>
      <c r="I200" s="44">
        <f t="shared" si="17"/>
        <v>0</v>
      </c>
      <c r="J200" s="10">
        <f t="shared" si="16"/>
        <v>0</v>
      </c>
      <c r="K200" s="67">
        <f t="shared" si="13"/>
        <v>112049.29577464788</v>
      </c>
    </row>
    <row r="201" spans="1:11" x14ac:dyDescent="0.25">
      <c r="A201" s="53">
        <f>'A) Base RI'!A200</f>
        <v>5716</v>
      </c>
      <c r="B201" s="35" t="str">
        <f>'A) Base RI'!B200</f>
        <v>Eysins</v>
      </c>
      <c r="C201" s="10">
        <f>'A) Base RI'!AN200</f>
        <v>1482</v>
      </c>
      <c r="D201" s="34">
        <f t="shared" si="15"/>
        <v>1000</v>
      </c>
      <c r="E201" s="10">
        <f t="shared" si="17"/>
        <v>482</v>
      </c>
      <c r="F201" s="10">
        <f t="shared" si="17"/>
        <v>0</v>
      </c>
      <c r="G201" s="10">
        <f t="shared" si="17"/>
        <v>0</v>
      </c>
      <c r="H201" s="10">
        <f t="shared" si="17"/>
        <v>0</v>
      </c>
      <c r="I201" s="44">
        <f t="shared" si="17"/>
        <v>0</v>
      </c>
      <c r="J201" s="10">
        <f t="shared" si="16"/>
        <v>0</v>
      </c>
      <c r="K201" s="67">
        <f t="shared" ref="K201:K264" si="18">(D201*D$7)+(E201*E$7)+(F201*F$7)+(G201*G$7)+(H201*H$7)+(I201*I$7)+(J201*J$7)</f>
        <v>264915.49295774649</v>
      </c>
    </row>
    <row r="202" spans="1:11" x14ac:dyDescent="0.25">
      <c r="A202" s="53">
        <f>'A) Base RI'!A201</f>
        <v>5717</v>
      </c>
      <c r="B202" s="35" t="str">
        <f>'A) Base RI'!B201</f>
        <v>Founex</v>
      </c>
      <c r="C202" s="10">
        <f>'A) Base RI'!AN201</f>
        <v>3410</v>
      </c>
      <c r="D202" s="34">
        <f t="shared" si="15"/>
        <v>1000</v>
      </c>
      <c r="E202" s="10">
        <f t="shared" si="17"/>
        <v>2000</v>
      </c>
      <c r="F202" s="10">
        <f t="shared" si="17"/>
        <v>410</v>
      </c>
      <c r="G202" s="10">
        <f t="shared" si="17"/>
        <v>0</v>
      </c>
      <c r="H202" s="10">
        <f t="shared" si="17"/>
        <v>0</v>
      </c>
      <c r="I202" s="44">
        <f t="shared" si="17"/>
        <v>0</v>
      </c>
      <c r="J202" s="10">
        <f t="shared" si="16"/>
        <v>0</v>
      </c>
      <c r="K202" s="67">
        <f t="shared" si="18"/>
        <v>990845.07042253518</v>
      </c>
    </row>
    <row r="203" spans="1:11" x14ac:dyDescent="0.25">
      <c r="A203" s="53">
        <f>'A) Base RI'!A202</f>
        <v>5718</v>
      </c>
      <c r="B203" s="35" t="str">
        <f>'A) Base RI'!B202</f>
        <v>Genolier</v>
      </c>
      <c r="C203" s="10">
        <f>'A) Base RI'!AN202</f>
        <v>1895</v>
      </c>
      <c r="D203" s="34">
        <f t="shared" si="15"/>
        <v>1000</v>
      </c>
      <c r="E203" s="10">
        <f t="shared" si="17"/>
        <v>895</v>
      </c>
      <c r="F203" s="10">
        <f t="shared" si="17"/>
        <v>0</v>
      </c>
      <c r="G203" s="10">
        <f t="shared" si="17"/>
        <v>0</v>
      </c>
      <c r="H203" s="10">
        <f t="shared" si="17"/>
        <v>0</v>
      </c>
      <c r="I203" s="44">
        <f t="shared" si="17"/>
        <v>0</v>
      </c>
      <c r="J203" s="10">
        <f t="shared" si="16"/>
        <v>0</v>
      </c>
      <c r="K203" s="67">
        <f t="shared" si="18"/>
        <v>407429.57746478874</v>
      </c>
    </row>
    <row r="204" spans="1:11" x14ac:dyDescent="0.25">
      <c r="A204" s="53">
        <f>'A) Base RI'!A203</f>
        <v>5719</v>
      </c>
      <c r="B204" s="35" t="str">
        <f>'A) Base RI'!B203</f>
        <v>Gingins</v>
      </c>
      <c r="C204" s="10">
        <f>'A) Base RI'!AN203</f>
        <v>1195</v>
      </c>
      <c r="D204" s="34">
        <f t="shared" si="15"/>
        <v>1000</v>
      </c>
      <c r="E204" s="10">
        <f t="shared" si="17"/>
        <v>195</v>
      </c>
      <c r="F204" s="10">
        <f t="shared" si="17"/>
        <v>0</v>
      </c>
      <c r="G204" s="10">
        <f t="shared" si="17"/>
        <v>0</v>
      </c>
      <c r="H204" s="10">
        <f t="shared" si="17"/>
        <v>0</v>
      </c>
      <c r="I204" s="44">
        <f t="shared" si="17"/>
        <v>0</v>
      </c>
      <c r="J204" s="10">
        <f t="shared" si="16"/>
        <v>0</v>
      </c>
      <c r="K204" s="67">
        <f t="shared" si="18"/>
        <v>165880.28169014084</v>
      </c>
    </row>
    <row r="205" spans="1:11" x14ac:dyDescent="0.25">
      <c r="A205" s="53">
        <f>'A) Base RI'!A204</f>
        <v>5720</v>
      </c>
      <c r="B205" s="35" t="str">
        <f>'A) Base RI'!B204</f>
        <v>Givrins</v>
      </c>
      <c r="C205" s="10">
        <f>'A) Base RI'!AN204</f>
        <v>1000</v>
      </c>
      <c r="D205" s="34">
        <f t="shared" si="15"/>
        <v>1000</v>
      </c>
      <c r="E205" s="10">
        <f t="shared" si="17"/>
        <v>0</v>
      </c>
      <c r="F205" s="10">
        <f t="shared" si="17"/>
        <v>0</v>
      </c>
      <c r="G205" s="10">
        <f t="shared" si="17"/>
        <v>0</v>
      </c>
      <c r="H205" s="10">
        <f t="shared" si="17"/>
        <v>0</v>
      </c>
      <c r="I205" s="44">
        <f t="shared" si="17"/>
        <v>0</v>
      </c>
      <c r="J205" s="10">
        <f t="shared" si="16"/>
        <v>0</v>
      </c>
      <c r="K205" s="67">
        <f t="shared" si="18"/>
        <v>98591.549295774646</v>
      </c>
    </row>
    <row r="206" spans="1:11" x14ac:dyDescent="0.25">
      <c r="A206" s="53">
        <f>'A) Base RI'!A205</f>
        <v>5721</v>
      </c>
      <c r="B206" s="35" t="str">
        <f>'A) Base RI'!B205</f>
        <v>Gland</v>
      </c>
      <c r="C206" s="10">
        <f>'A) Base RI'!AN205</f>
        <v>12829</v>
      </c>
      <c r="D206" s="34">
        <f t="shared" si="15"/>
        <v>1000</v>
      </c>
      <c r="E206" s="10">
        <f t="shared" si="17"/>
        <v>2000</v>
      </c>
      <c r="F206" s="10">
        <f t="shared" si="17"/>
        <v>2000</v>
      </c>
      <c r="G206" s="10">
        <f t="shared" si="17"/>
        <v>4000</v>
      </c>
      <c r="H206" s="10">
        <f t="shared" si="17"/>
        <v>3000</v>
      </c>
      <c r="I206" s="44">
        <f t="shared" si="17"/>
        <v>829</v>
      </c>
      <c r="J206" s="10">
        <f t="shared" si="16"/>
        <v>0</v>
      </c>
      <c r="K206" s="67">
        <f t="shared" si="18"/>
        <v>7472253.5211267602</v>
      </c>
    </row>
    <row r="207" spans="1:11" x14ac:dyDescent="0.25">
      <c r="A207" s="53">
        <f>'A) Base RI'!A206</f>
        <v>5722</v>
      </c>
      <c r="B207" s="35" t="str">
        <f>'A) Base RI'!B206</f>
        <v>Grens</v>
      </c>
      <c r="C207" s="10">
        <f>'A) Base RI'!AN206</f>
        <v>377</v>
      </c>
      <c r="D207" s="34">
        <f t="shared" si="15"/>
        <v>377</v>
      </c>
      <c r="E207" s="10">
        <f t="shared" si="17"/>
        <v>0</v>
      </c>
      <c r="F207" s="10">
        <f t="shared" si="17"/>
        <v>0</v>
      </c>
      <c r="G207" s="10">
        <f t="shared" si="17"/>
        <v>0</v>
      </c>
      <c r="H207" s="10">
        <f t="shared" si="17"/>
        <v>0</v>
      </c>
      <c r="I207" s="44">
        <f t="shared" si="17"/>
        <v>0</v>
      </c>
      <c r="J207" s="10">
        <f t="shared" si="16"/>
        <v>0</v>
      </c>
      <c r="K207" s="67">
        <f t="shared" si="18"/>
        <v>37169.014084507042</v>
      </c>
    </row>
    <row r="208" spans="1:11" x14ac:dyDescent="0.25">
      <c r="A208" s="53">
        <f>'A) Base RI'!A207</f>
        <v>5723</v>
      </c>
      <c r="B208" s="35" t="str">
        <f>'A) Base RI'!B207</f>
        <v>Mies</v>
      </c>
      <c r="C208" s="10">
        <f>'A) Base RI'!AN207</f>
        <v>1791</v>
      </c>
      <c r="D208" s="34">
        <f t="shared" si="15"/>
        <v>1000</v>
      </c>
      <c r="E208" s="10">
        <f t="shared" si="17"/>
        <v>791</v>
      </c>
      <c r="F208" s="10">
        <f t="shared" si="17"/>
        <v>0</v>
      </c>
      <c r="G208" s="10">
        <f t="shared" si="17"/>
        <v>0</v>
      </c>
      <c r="H208" s="10">
        <f t="shared" si="17"/>
        <v>0</v>
      </c>
      <c r="I208" s="44">
        <f t="shared" si="17"/>
        <v>0</v>
      </c>
      <c r="J208" s="10">
        <f t="shared" si="16"/>
        <v>0</v>
      </c>
      <c r="K208" s="67">
        <f t="shared" si="18"/>
        <v>371542.25352112675</v>
      </c>
    </row>
    <row r="209" spans="1:11" x14ac:dyDescent="0.25">
      <c r="A209" s="53">
        <f>'A) Base RI'!A208</f>
        <v>5724</v>
      </c>
      <c r="B209" s="35" t="str">
        <f>'A) Base RI'!B208</f>
        <v>Nyon</v>
      </c>
      <c r="C209" s="10">
        <f>'A) Base RI'!AN208</f>
        <v>20047</v>
      </c>
      <c r="D209" s="34">
        <f t="shared" si="15"/>
        <v>1000</v>
      </c>
      <c r="E209" s="10">
        <f t="shared" si="17"/>
        <v>2000</v>
      </c>
      <c r="F209" s="10">
        <f t="shared" si="17"/>
        <v>2000</v>
      </c>
      <c r="G209" s="10">
        <f t="shared" si="17"/>
        <v>4000</v>
      </c>
      <c r="H209" s="10">
        <f t="shared" si="17"/>
        <v>3000</v>
      </c>
      <c r="I209" s="44">
        <f t="shared" si="17"/>
        <v>3000</v>
      </c>
      <c r="J209" s="10">
        <f t="shared" si="16"/>
        <v>5047</v>
      </c>
      <c r="K209" s="67">
        <f t="shared" si="18"/>
        <v>14837387.32394366</v>
      </c>
    </row>
    <row r="210" spans="1:11" x14ac:dyDescent="0.25">
      <c r="A210" s="53">
        <f>'A) Base RI'!A209</f>
        <v>5725</v>
      </c>
      <c r="B210" s="35" t="str">
        <f>'A) Base RI'!B209</f>
        <v>Prangins</v>
      </c>
      <c r="C210" s="10">
        <f>'A) Base RI'!AN209</f>
        <v>4011</v>
      </c>
      <c r="D210" s="34">
        <f t="shared" si="15"/>
        <v>1000</v>
      </c>
      <c r="E210" s="10">
        <f t="shared" si="17"/>
        <v>2000</v>
      </c>
      <c r="F210" s="10">
        <f t="shared" si="17"/>
        <v>1011</v>
      </c>
      <c r="G210" s="10">
        <f t="shared" si="17"/>
        <v>0</v>
      </c>
      <c r="H210" s="10">
        <f t="shared" si="17"/>
        <v>0</v>
      </c>
      <c r="I210" s="44">
        <f t="shared" si="17"/>
        <v>0</v>
      </c>
      <c r="J210" s="10">
        <f t="shared" si="16"/>
        <v>0</v>
      </c>
      <c r="K210" s="67">
        <f t="shared" si="18"/>
        <v>1287112.676056338</v>
      </c>
    </row>
    <row r="211" spans="1:11" x14ac:dyDescent="0.25">
      <c r="A211" s="53">
        <f>'A) Base RI'!A210</f>
        <v>5726</v>
      </c>
      <c r="B211" s="35" t="str">
        <f>'A) Base RI'!B210</f>
        <v>La Rippe</v>
      </c>
      <c r="C211" s="10">
        <f>'A) Base RI'!AN210</f>
        <v>1120</v>
      </c>
      <c r="D211" s="34">
        <f t="shared" si="15"/>
        <v>1000</v>
      </c>
      <c r="E211" s="10">
        <f t="shared" si="17"/>
        <v>120</v>
      </c>
      <c r="F211" s="10">
        <f t="shared" si="17"/>
        <v>0</v>
      </c>
      <c r="G211" s="10">
        <f t="shared" si="17"/>
        <v>0</v>
      </c>
      <c r="H211" s="10">
        <f t="shared" si="17"/>
        <v>0</v>
      </c>
      <c r="I211" s="44">
        <f t="shared" si="17"/>
        <v>0</v>
      </c>
      <c r="J211" s="10">
        <f t="shared" si="16"/>
        <v>0</v>
      </c>
      <c r="K211" s="67">
        <f t="shared" si="18"/>
        <v>140000</v>
      </c>
    </row>
    <row r="212" spans="1:11" x14ac:dyDescent="0.25">
      <c r="A212" s="53">
        <f>'A) Base RI'!A211</f>
        <v>5727</v>
      </c>
      <c r="B212" s="35" t="str">
        <f>'A) Base RI'!B211</f>
        <v>Saint-Cergue</v>
      </c>
      <c r="C212" s="10">
        <f>'A) Base RI'!AN211</f>
        <v>2481</v>
      </c>
      <c r="D212" s="34">
        <f t="shared" si="15"/>
        <v>1000</v>
      </c>
      <c r="E212" s="10">
        <f t="shared" si="17"/>
        <v>1481</v>
      </c>
      <c r="F212" s="10">
        <f t="shared" si="17"/>
        <v>0</v>
      </c>
      <c r="G212" s="10">
        <f t="shared" si="17"/>
        <v>0</v>
      </c>
      <c r="H212" s="10">
        <f t="shared" si="17"/>
        <v>0</v>
      </c>
      <c r="I212" s="44">
        <f t="shared" si="17"/>
        <v>0</v>
      </c>
      <c r="J212" s="10">
        <f t="shared" si="16"/>
        <v>0</v>
      </c>
      <c r="K212" s="67">
        <f t="shared" si="18"/>
        <v>609640.84507042251</v>
      </c>
    </row>
    <row r="213" spans="1:11" x14ac:dyDescent="0.25">
      <c r="A213" s="53">
        <f>'A) Base RI'!A212</f>
        <v>5728</v>
      </c>
      <c r="B213" s="35" t="str">
        <f>'A) Base RI'!B212</f>
        <v>Signy-Avenex</v>
      </c>
      <c r="C213" s="10">
        <f>'A) Base RI'!AN212</f>
        <v>516</v>
      </c>
      <c r="D213" s="34">
        <f t="shared" si="15"/>
        <v>516</v>
      </c>
      <c r="E213" s="10">
        <f t="shared" si="17"/>
        <v>0</v>
      </c>
      <c r="F213" s="10">
        <f t="shared" si="17"/>
        <v>0</v>
      </c>
      <c r="G213" s="10">
        <f t="shared" si="17"/>
        <v>0</v>
      </c>
      <c r="H213" s="10">
        <f t="shared" si="17"/>
        <v>0</v>
      </c>
      <c r="I213" s="44">
        <f t="shared" si="17"/>
        <v>0</v>
      </c>
      <c r="J213" s="10">
        <f t="shared" si="16"/>
        <v>0</v>
      </c>
      <c r="K213" s="67">
        <f t="shared" si="18"/>
        <v>50873.239436619711</v>
      </c>
    </row>
    <row r="214" spans="1:11" x14ac:dyDescent="0.25">
      <c r="A214" s="53">
        <f>'A) Base RI'!A213</f>
        <v>5729</v>
      </c>
      <c r="B214" s="35" t="str">
        <f>'A) Base RI'!B213</f>
        <v>Tannay</v>
      </c>
      <c r="C214" s="10">
        <f>'A) Base RI'!AN213</f>
        <v>1430</v>
      </c>
      <c r="D214" s="34">
        <f t="shared" si="15"/>
        <v>1000</v>
      </c>
      <c r="E214" s="10">
        <f t="shared" si="17"/>
        <v>430</v>
      </c>
      <c r="F214" s="10">
        <f t="shared" si="17"/>
        <v>0</v>
      </c>
      <c r="G214" s="10">
        <f t="shared" si="17"/>
        <v>0</v>
      </c>
      <c r="H214" s="10">
        <f t="shared" si="17"/>
        <v>0</v>
      </c>
      <c r="I214" s="44">
        <f t="shared" si="17"/>
        <v>0</v>
      </c>
      <c r="J214" s="10">
        <f t="shared" si="16"/>
        <v>0</v>
      </c>
      <c r="K214" s="67">
        <f t="shared" si="18"/>
        <v>246971.8309859155</v>
      </c>
    </row>
    <row r="215" spans="1:11" x14ac:dyDescent="0.25">
      <c r="A215" s="53">
        <f>'A) Base RI'!A214</f>
        <v>5730</v>
      </c>
      <c r="B215" s="35" t="str">
        <f>'A) Base RI'!B214</f>
        <v>Trélex</v>
      </c>
      <c r="C215" s="10">
        <f>'A) Base RI'!AN214</f>
        <v>1414</v>
      </c>
      <c r="D215" s="34">
        <f t="shared" si="15"/>
        <v>1000</v>
      </c>
      <c r="E215" s="10">
        <f t="shared" si="17"/>
        <v>414</v>
      </c>
      <c r="F215" s="10">
        <f t="shared" si="17"/>
        <v>0</v>
      </c>
      <c r="G215" s="10">
        <f t="shared" si="17"/>
        <v>0</v>
      </c>
      <c r="H215" s="10">
        <f t="shared" si="17"/>
        <v>0</v>
      </c>
      <c r="I215" s="44">
        <f t="shared" si="17"/>
        <v>0</v>
      </c>
      <c r="J215" s="10">
        <f t="shared" si="16"/>
        <v>0</v>
      </c>
      <c r="K215" s="67">
        <f t="shared" si="18"/>
        <v>241450.70422535209</v>
      </c>
    </row>
    <row r="216" spans="1:11" x14ac:dyDescent="0.25">
      <c r="A216" s="53">
        <f>'A) Base RI'!A215</f>
        <v>5731</v>
      </c>
      <c r="B216" s="35" t="str">
        <f>'A) Base RI'!B215</f>
        <v>Le Vaud</v>
      </c>
      <c r="C216" s="10">
        <f>'A) Base RI'!AN215</f>
        <v>1260</v>
      </c>
      <c r="D216" s="34">
        <f t="shared" ref="D216:D262" si="19">IF($C216&gt;D$4,IF($C216&lt;D$5,$C216-D$4,D$5-D$4),0)</f>
        <v>1000</v>
      </c>
      <c r="E216" s="10">
        <f t="shared" si="17"/>
        <v>260</v>
      </c>
      <c r="F216" s="10">
        <f t="shared" si="17"/>
        <v>0</v>
      </c>
      <c r="G216" s="10">
        <f t="shared" si="17"/>
        <v>0</v>
      </c>
      <c r="H216" s="10">
        <f t="shared" si="17"/>
        <v>0</v>
      </c>
      <c r="I216" s="44">
        <f t="shared" si="17"/>
        <v>0</v>
      </c>
      <c r="J216" s="10">
        <f t="shared" si="16"/>
        <v>0</v>
      </c>
      <c r="K216" s="67">
        <f t="shared" si="18"/>
        <v>188309.85915492958</v>
      </c>
    </row>
    <row r="217" spans="1:11" x14ac:dyDescent="0.25">
      <c r="A217" s="53">
        <f>'A) Base RI'!A216</f>
        <v>5732</v>
      </c>
      <c r="B217" s="35" t="str">
        <f>'A) Base RI'!B216</f>
        <v>Vich</v>
      </c>
      <c r="C217" s="10">
        <f>'A) Base RI'!AN216</f>
        <v>958</v>
      </c>
      <c r="D217" s="34">
        <f t="shared" si="19"/>
        <v>958</v>
      </c>
      <c r="E217" s="10">
        <f t="shared" si="17"/>
        <v>0</v>
      </c>
      <c r="F217" s="10">
        <f t="shared" si="17"/>
        <v>0</v>
      </c>
      <c r="G217" s="10">
        <f t="shared" si="17"/>
        <v>0</v>
      </c>
      <c r="H217" s="10">
        <f t="shared" si="17"/>
        <v>0</v>
      </c>
      <c r="I217" s="44">
        <f t="shared" si="17"/>
        <v>0</v>
      </c>
      <c r="J217" s="10">
        <f t="shared" si="16"/>
        <v>0</v>
      </c>
      <c r="K217" s="67">
        <f t="shared" si="18"/>
        <v>94450.704225352107</v>
      </c>
    </row>
    <row r="218" spans="1:11" x14ac:dyDescent="0.25">
      <c r="A218" s="53">
        <f>'A) Base RI'!A217</f>
        <v>5741</v>
      </c>
      <c r="B218" s="35" t="str">
        <f>'A) Base RI'!B217</f>
        <v>L'Abergement</v>
      </c>
      <c r="C218" s="10">
        <f>'A) Base RI'!AN217</f>
        <v>240</v>
      </c>
      <c r="D218" s="34">
        <f t="shared" si="19"/>
        <v>240</v>
      </c>
      <c r="E218" s="10">
        <f t="shared" si="17"/>
        <v>0</v>
      </c>
      <c r="F218" s="10">
        <f t="shared" si="17"/>
        <v>0</v>
      </c>
      <c r="G218" s="10">
        <f t="shared" si="17"/>
        <v>0</v>
      </c>
      <c r="H218" s="10">
        <f t="shared" si="17"/>
        <v>0</v>
      </c>
      <c r="I218" s="44">
        <f t="shared" si="17"/>
        <v>0</v>
      </c>
      <c r="J218" s="10">
        <f t="shared" si="16"/>
        <v>0</v>
      </c>
      <c r="K218" s="67">
        <f t="shared" si="18"/>
        <v>23661.971830985913</v>
      </c>
    </row>
    <row r="219" spans="1:11" x14ac:dyDescent="0.25">
      <c r="A219" s="53">
        <f>'A) Base RI'!A218</f>
        <v>5742</v>
      </c>
      <c r="B219" s="35" t="str">
        <f>'A) Base RI'!B218</f>
        <v>Agiez</v>
      </c>
      <c r="C219" s="10">
        <f>'A) Base RI'!AN218</f>
        <v>293</v>
      </c>
      <c r="D219" s="34">
        <f t="shared" si="19"/>
        <v>293</v>
      </c>
      <c r="E219" s="10">
        <f t="shared" si="17"/>
        <v>0</v>
      </c>
      <c r="F219" s="10">
        <f t="shared" si="17"/>
        <v>0</v>
      </c>
      <c r="G219" s="10">
        <f t="shared" si="17"/>
        <v>0</v>
      </c>
      <c r="H219" s="10">
        <f t="shared" si="17"/>
        <v>0</v>
      </c>
      <c r="I219" s="44">
        <f t="shared" si="17"/>
        <v>0</v>
      </c>
      <c r="J219" s="10">
        <f t="shared" si="16"/>
        <v>0</v>
      </c>
      <c r="K219" s="67">
        <f t="shared" si="18"/>
        <v>28887.32394366197</v>
      </c>
    </row>
    <row r="220" spans="1:11" x14ac:dyDescent="0.25">
      <c r="A220" s="53">
        <f>'A) Base RI'!A219</f>
        <v>5743</v>
      </c>
      <c r="B220" s="35" t="str">
        <f>'A) Base RI'!B219</f>
        <v>Arnex-sur-Orbe</v>
      </c>
      <c r="C220" s="10">
        <f>'A) Base RI'!AN219</f>
        <v>632</v>
      </c>
      <c r="D220" s="34">
        <f t="shared" si="19"/>
        <v>632</v>
      </c>
      <c r="E220" s="10">
        <f t="shared" si="17"/>
        <v>0</v>
      </c>
      <c r="F220" s="10">
        <f t="shared" si="17"/>
        <v>0</v>
      </c>
      <c r="G220" s="10">
        <f t="shared" si="17"/>
        <v>0</v>
      </c>
      <c r="H220" s="10">
        <f t="shared" si="17"/>
        <v>0</v>
      </c>
      <c r="I220" s="44">
        <f t="shared" si="17"/>
        <v>0</v>
      </c>
      <c r="J220" s="10">
        <f t="shared" si="16"/>
        <v>0</v>
      </c>
      <c r="K220" s="67">
        <f t="shared" si="18"/>
        <v>62309.859154929574</v>
      </c>
    </row>
    <row r="221" spans="1:11" x14ac:dyDescent="0.25">
      <c r="A221" s="53">
        <f>'A) Base RI'!A220</f>
        <v>5744</v>
      </c>
      <c r="B221" s="35" t="str">
        <f>'A) Base RI'!B220</f>
        <v>Ballaigues</v>
      </c>
      <c r="C221" s="10">
        <f>'A) Base RI'!AN220</f>
        <v>1101</v>
      </c>
      <c r="D221" s="34">
        <f t="shared" si="19"/>
        <v>1000</v>
      </c>
      <c r="E221" s="10">
        <f t="shared" si="17"/>
        <v>101</v>
      </c>
      <c r="F221" s="10">
        <f t="shared" si="17"/>
        <v>0</v>
      </c>
      <c r="G221" s="10">
        <f t="shared" si="17"/>
        <v>0</v>
      </c>
      <c r="H221" s="10">
        <f t="shared" si="17"/>
        <v>0</v>
      </c>
      <c r="I221" s="44">
        <f t="shared" si="17"/>
        <v>0</v>
      </c>
      <c r="J221" s="10">
        <f t="shared" si="16"/>
        <v>0</v>
      </c>
      <c r="K221" s="67">
        <f t="shared" si="18"/>
        <v>133443.661971831</v>
      </c>
    </row>
    <row r="222" spans="1:11" x14ac:dyDescent="0.25">
      <c r="A222" s="53">
        <f>'A) Base RI'!A221</f>
        <v>5745</v>
      </c>
      <c r="B222" s="35" t="str">
        <f>'A) Base RI'!B221</f>
        <v>Baulmes</v>
      </c>
      <c r="C222" s="10">
        <f>'A) Base RI'!AN221</f>
        <v>1055</v>
      </c>
      <c r="D222" s="34">
        <f t="shared" si="19"/>
        <v>1000</v>
      </c>
      <c r="E222" s="10">
        <f t="shared" si="17"/>
        <v>55</v>
      </c>
      <c r="F222" s="10">
        <f t="shared" si="17"/>
        <v>0</v>
      </c>
      <c r="G222" s="10">
        <f t="shared" si="17"/>
        <v>0</v>
      </c>
      <c r="H222" s="10">
        <f t="shared" si="17"/>
        <v>0</v>
      </c>
      <c r="I222" s="44">
        <f t="shared" si="17"/>
        <v>0</v>
      </c>
      <c r="J222" s="10">
        <f t="shared" si="16"/>
        <v>0</v>
      </c>
      <c r="K222" s="67">
        <f t="shared" si="18"/>
        <v>117570.42253521127</v>
      </c>
    </row>
    <row r="223" spans="1:11" x14ac:dyDescent="0.25">
      <c r="A223" s="53">
        <f>'A) Base RI'!A222</f>
        <v>5746</v>
      </c>
      <c r="B223" s="35" t="str">
        <f>'A) Base RI'!B222</f>
        <v>Bavois</v>
      </c>
      <c r="C223" s="10">
        <f>'A) Base RI'!AN222</f>
        <v>939</v>
      </c>
      <c r="D223" s="34">
        <f t="shared" si="19"/>
        <v>939</v>
      </c>
      <c r="E223" s="10">
        <f t="shared" si="17"/>
        <v>0</v>
      </c>
      <c r="F223" s="10">
        <f t="shared" si="17"/>
        <v>0</v>
      </c>
      <c r="G223" s="10">
        <f t="shared" si="17"/>
        <v>0</v>
      </c>
      <c r="H223" s="10">
        <f t="shared" si="17"/>
        <v>0</v>
      </c>
      <c r="I223" s="44">
        <f t="shared" si="17"/>
        <v>0</v>
      </c>
      <c r="J223" s="10">
        <f t="shared" si="16"/>
        <v>0</v>
      </c>
      <c r="K223" s="67">
        <f t="shared" si="18"/>
        <v>92577.464788732381</v>
      </c>
    </row>
    <row r="224" spans="1:11" x14ac:dyDescent="0.25">
      <c r="A224" s="53">
        <f>'A) Base RI'!A223</f>
        <v>5747</v>
      </c>
      <c r="B224" s="35" t="str">
        <f>'A) Base RI'!B223</f>
        <v>Bofflens</v>
      </c>
      <c r="C224" s="10">
        <f>'A) Base RI'!AN223</f>
        <v>188</v>
      </c>
      <c r="D224" s="34">
        <f t="shared" si="19"/>
        <v>188</v>
      </c>
      <c r="E224" s="10">
        <f t="shared" si="17"/>
        <v>0</v>
      </c>
      <c r="F224" s="10">
        <f t="shared" si="17"/>
        <v>0</v>
      </c>
      <c r="G224" s="10">
        <f t="shared" si="17"/>
        <v>0</v>
      </c>
      <c r="H224" s="10">
        <f t="shared" si="17"/>
        <v>0</v>
      </c>
      <c r="I224" s="44">
        <f t="shared" si="17"/>
        <v>0</v>
      </c>
      <c r="J224" s="10">
        <f t="shared" si="16"/>
        <v>0</v>
      </c>
      <c r="K224" s="67">
        <f t="shared" si="18"/>
        <v>18535.211267605631</v>
      </c>
    </row>
    <row r="225" spans="1:11" x14ac:dyDescent="0.25">
      <c r="A225" s="53">
        <f>'A) Base RI'!A224</f>
        <v>5748</v>
      </c>
      <c r="B225" s="35" t="str">
        <f>'A) Base RI'!B224</f>
        <v>Bretonnières</v>
      </c>
      <c r="C225" s="10">
        <f>'A) Base RI'!AN224</f>
        <v>258</v>
      </c>
      <c r="D225" s="34">
        <f t="shared" si="19"/>
        <v>258</v>
      </c>
      <c r="E225" s="10">
        <f t="shared" si="17"/>
        <v>0</v>
      </c>
      <c r="F225" s="10">
        <f t="shared" si="17"/>
        <v>0</v>
      </c>
      <c r="G225" s="10">
        <f t="shared" si="17"/>
        <v>0</v>
      </c>
      <c r="H225" s="10">
        <f t="shared" si="17"/>
        <v>0</v>
      </c>
      <c r="I225" s="44">
        <f t="shared" si="17"/>
        <v>0</v>
      </c>
      <c r="J225" s="10">
        <f t="shared" si="16"/>
        <v>0</v>
      </c>
      <c r="K225" s="67">
        <f t="shared" si="18"/>
        <v>25436.619718309856</v>
      </c>
    </row>
    <row r="226" spans="1:11" x14ac:dyDescent="0.25">
      <c r="A226" s="53">
        <f>'A) Base RI'!A225</f>
        <v>5749</v>
      </c>
      <c r="B226" s="35" t="str">
        <f>'A) Base RI'!B225</f>
        <v>Chavornay</v>
      </c>
      <c r="C226" s="10">
        <f>'A) Base RI'!AN225</f>
        <v>4293</v>
      </c>
      <c r="D226" s="34">
        <f t="shared" si="19"/>
        <v>1000</v>
      </c>
      <c r="E226" s="10">
        <f t="shared" si="17"/>
        <v>2000</v>
      </c>
      <c r="F226" s="10">
        <f t="shared" si="17"/>
        <v>1293</v>
      </c>
      <c r="G226" s="10">
        <f t="shared" si="17"/>
        <v>0</v>
      </c>
      <c r="H226" s="10">
        <f t="shared" si="17"/>
        <v>0</v>
      </c>
      <c r="I226" s="44">
        <f t="shared" si="17"/>
        <v>0</v>
      </c>
      <c r="J226" s="10">
        <f t="shared" si="16"/>
        <v>0</v>
      </c>
      <c r="K226" s="67">
        <f t="shared" si="18"/>
        <v>1426126.7605633801</v>
      </c>
    </row>
    <row r="227" spans="1:11" x14ac:dyDescent="0.25">
      <c r="A227" s="53">
        <f>'A) Base RI'!A226</f>
        <v>5750</v>
      </c>
      <c r="B227" s="35" t="str">
        <f>'A) Base RI'!B226</f>
        <v>Les Clées</v>
      </c>
      <c r="C227" s="10">
        <f>'A) Base RI'!AN226</f>
        <v>176</v>
      </c>
      <c r="D227" s="34">
        <f t="shared" si="19"/>
        <v>176</v>
      </c>
      <c r="E227" s="10">
        <f t="shared" si="17"/>
        <v>0</v>
      </c>
      <c r="F227" s="10">
        <f t="shared" si="17"/>
        <v>0</v>
      </c>
      <c r="G227" s="10">
        <f t="shared" si="17"/>
        <v>0</v>
      </c>
      <c r="H227" s="10">
        <f t="shared" si="17"/>
        <v>0</v>
      </c>
      <c r="I227" s="44">
        <f t="shared" si="17"/>
        <v>0</v>
      </c>
      <c r="J227" s="10">
        <f t="shared" si="16"/>
        <v>0</v>
      </c>
      <c r="K227" s="67">
        <f t="shared" si="18"/>
        <v>17352.112676056338</v>
      </c>
    </row>
    <row r="228" spans="1:11" x14ac:dyDescent="0.25">
      <c r="A228" s="53">
        <f>'A) Base RI'!A227</f>
        <v>5751</v>
      </c>
      <c r="B228" s="35" t="str">
        <f>'A) Base RI'!B227</f>
        <v>Corcelles-sur-Chavornay</v>
      </c>
      <c r="C228" s="10">
        <f>'A) Base RI'!AN227</f>
        <v>354</v>
      </c>
      <c r="D228" s="34">
        <f t="shared" si="19"/>
        <v>354</v>
      </c>
      <c r="E228" s="10">
        <f t="shared" si="17"/>
        <v>0</v>
      </c>
      <c r="F228" s="10">
        <f t="shared" si="17"/>
        <v>0</v>
      </c>
      <c r="G228" s="10">
        <f t="shared" si="17"/>
        <v>0</v>
      </c>
      <c r="H228" s="10">
        <f t="shared" si="17"/>
        <v>0</v>
      </c>
      <c r="I228" s="44">
        <f t="shared" si="17"/>
        <v>0</v>
      </c>
      <c r="J228" s="10">
        <f t="shared" si="16"/>
        <v>0</v>
      </c>
      <c r="K228" s="67">
        <f t="shared" si="18"/>
        <v>34901.408450704221</v>
      </c>
    </row>
    <row r="229" spans="1:11" x14ac:dyDescent="0.25">
      <c r="A229" s="53">
        <f>'A) Base RI'!A228</f>
        <v>5752</v>
      </c>
      <c r="B229" s="35" t="str">
        <f>'A) Base RI'!B228</f>
        <v>Croy</v>
      </c>
      <c r="C229" s="10">
        <f>'A) Base RI'!AN228</f>
        <v>344</v>
      </c>
      <c r="D229" s="34">
        <f t="shared" si="19"/>
        <v>344</v>
      </c>
      <c r="E229" s="10">
        <f t="shared" si="17"/>
        <v>0</v>
      </c>
      <c r="F229" s="10">
        <f t="shared" si="17"/>
        <v>0</v>
      </c>
      <c r="G229" s="10">
        <f t="shared" si="17"/>
        <v>0</v>
      </c>
      <c r="H229" s="10">
        <f t="shared" si="17"/>
        <v>0</v>
      </c>
      <c r="I229" s="44">
        <f t="shared" si="17"/>
        <v>0</v>
      </c>
      <c r="J229" s="10">
        <f t="shared" si="16"/>
        <v>0</v>
      </c>
      <c r="K229" s="67">
        <f t="shared" si="18"/>
        <v>33915.492957746479</v>
      </c>
    </row>
    <row r="230" spans="1:11" x14ac:dyDescent="0.25">
      <c r="A230" s="53">
        <f>'A) Base RI'!A229</f>
        <v>5754</v>
      </c>
      <c r="B230" s="35" t="str">
        <f>'A) Base RI'!B229</f>
        <v>Juriens</v>
      </c>
      <c r="C230" s="10">
        <f>'A) Base RI'!AN229</f>
        <v>302</v>
      </c>
      <c r="D230" s="34">
        <f t="shared" si="19"/>
        <v>302</v>
      </c>
      <c r="E230" s="10">
        <f t="shared" si="17"/>
        <v>0</v>
      </c>
      <c r="F230" s="10">
        <f t="shared" si="17"/>
        <v>0</v>
      </c>
      <c r="G230" s="10">
        <f t="shared" si="17"/>
        <v>0</v>
      </c>
      <c r="H230" s="10">
        <f t="shared" si="17"/>
        <v>0</v>
      </c>
      <c r="I230" s="44">
        <f t="shared" si="17"/>
        <v>0</v>
      </c>
      <c r="J230" s="10">
        <f t="shared" si="16"/>
        <v>0</v>
      </c>
      <c r="K230" s="67">
        <f t="shared" si="18"/>
        <v>29774.647887323943</v>
      </c>
    </row>
    <row r="231" spans="1:11" x14ac:dyDescent="0.25">
      <c r="A231" s="53">
        <f>'A) Base RI'!A230</f>
        <v>5755</v>
      </c>
      <c r="B231" s="35" t="str">
        <f>'A) Base RI'!B230</f>
        <v>Lignerolle</v>
      </c>
      <c r="C231" s="10">
        <f>'A) Base RI'!AN230</f>
        <v>405</v>
      </c>
      <c r="D231" s="34">
        <f t="shared" si="19"/>
        <v>405</v>
      </c>
      <c r="E231" s="10">
        <f t="shared" si="17"/>
        <v>0</v>
      </c>
      <c r="F231" s="10">
        <f t="shared" si="17"/>
        <v>0</v>
      </c>
      <c r="G231" s="10">
        <f t="shared" si="17"/>
        <v>0</v>
      </c>
      <c r="H231" s="10">
        <f t="shared" si="17"/>
        <v>0</v>
      </c>
      <c r="I231" s="44">
        <f t="shared" si="17"/>
        <v>0</v>
      </c>
      <c r="J231" s="10">
        <f t="shared" si="16"/>
        <v>0</v>
      </c>
      <c r="K231" s="67">
        <f t="shared" si="18"/>
        <v>39929.57746478873</v>
      </c>
    </row>
    <row r="232" spans="1:11" x14ac:dyDescent="0.25">
      <c r="A232" s="53">
        <f>'A) Base RI'!A231</f>
        <v>5756</v>
      </c>
      <c r="B232" s="35" t="str">
        <f>'A) Base RI'!B231</f>
        <v>Montcherand</v>
      </c>
      <c r="C232" s="10">
        <f>'A) Base RI'!AN231</f>
        <v>469</v>
      </c>
      <c r="D232" s="34">
        <f t="shared" si="19"/>
        <v>469</v>
      </c>
      <c r="E232" s="10">
        <f t="shared" si="17"/>
        <v>0</v>
      </c>
      <c r="F232" s="10">
        <f t="shared" si="17"/>
        <v>0</v>
      </c>
      <c r="G232" s="10">
        <f t="shared" si="17"/>
        <v>0</v>
      </c>
      <c r="H232" s="10">
        <f t="shared" si="17"/>
        <v>0</v>
      </c>
      <c r="I232" s="44">
        <f t="shared" si="17"/>
        <v>0</v>
      </c>
      <c r="J232" s="10">
        <f t="shared" si="16"/>
        <v>0</v>
      </c>
      <c r="K232" s="67">
        <f t="shared" si="18"/>
        <v>46239.436619718304</v>
      </c>
    </row>
    <row r="233" spans="1:11" x14ac:dyDescent="0.25">
      <c r="A233" s="53">
        <f>'A) Base RI'!A232</f>
        <v>5757</v>
      </c>
      <c r="B233" s="35" t="str">
        <f>'A) Base RI'!B232</f>
        <v>Orbe</v>
      </c>
      <c r="C233" s="10">
        <f>'A) Base RI'!AN232</f>
        <v>6805</v>
      </c>
      <c r="D233" s="34">
        <f t="shared" si="19"/>
        <v>1000</v>
      </c>
      <c r="E233" s="10">
        <f t="shared" si="17"/>
        <v>2000</v>
      </c>
      <c r="F233" s="10">
        <f t="shared" si="17"/>
        <v>2000</v>
      </c>
      <c r="G233" s="10">
        <f t="shared" si="17"/>
        <v>1805</v>
      </c>
      <c r="H233" s="10">
        <f t="shared" si="17"/>
        <v>0</v>
      </c>
      <c r="I233" s="44">
        <f t="shared" si="17"/>
        <v>0</v>
      </c>
      <c r="J233" s="10">
        <f t="shared" si="16"/>
        <v>0</v>
      </c>
      <c r="K233" s="67">
        <f t="shared" si="18"/>
        <v>2842394.3661971828</v>
      </c>
    </row>
    <row r="234" spans="1:11" x14ac:dyDescent="0.25">
      <c r="A234" s="53">
        <f>'A) Base RI'!A233</f>
        <v>5758</v>
      </c>
      <c r="B234" s="35" t="str">
        <f>'A) Base RI'!B233</f>
        <v>La Praz</v>
      </c>
      <c r="C234" s="10">
        <f>'A) Base RI'!AN233</f>
        <v>159</v>
      </c>
      <c r="D234" s="34">
        <f t="shared" si="19"/>
        <v>159</v>
      </c>
      <c r="E234" s="10">
        <f t="shared" si="17"/>
        <v>0</v>
      </c>
      <c r="F234" s="10">
        <f t="shared" si="17"/>
        <v>0</v>
      </c>
      <c r="G234" s="10">
        <f t="shared" si="17"/>
        <v>0</v>
      </c>
      <c r="H234" s="10">
        <f t="shared" si="17"/>
        <v>0</v>
      </c>
      <c r="I234" s="44">
        <f t="shared" si="17"/>
        <v>0</v>
      </c>
      <c r="J234" s="10">
        <f t="shared" ref="J234:J280" si="20">IF(C234&gt;$J$4,C234-$J$4,0)</f>
        <v>0</v>
      </c>
      <c r="K234" s="67">
        <f t="shared" si="18"/>
        <v>15676.056338028167</v>
      </c>
    </row>
    <row r="235" spans="1:11" x14ac:dyDescent="0.25">
      <c r="A235" s="53">
        <f>'A) Base RI'!A234</f>
        <v>5759</v>
      </c>
      <c r="B235" s="35" t="str">
        <f>'A) Base RI'!B234</f>
        <v>Premier</v>
      </c>
      <c r="C235" s="10">
        <f>'A) Base RI'!AN234</f>
        <v>196</v>
      </c>
      <c r="D235" s="34">
        <f t="shared" si="19"/>
        <v>196</v>
      </c>
      <c r="E235" s="10">
        <f t="shared" si="17"/>
        <v>0</v>
      </c>
      <c r="F235" s="10">
        <f t="shared" si="17"/>
        <v>0</v>
      </c>
      <c r="G235" s="10">
        <f t="shared" si="17"/>
        <v>0</v>
      </c>
      <c r="H235" s="10">
        <f t="shared" si="17"/>
        <v>0</v>
      </c>
      <c r="I235" s="44">
        <f t="shared" ref="E235:I261" si="21">IF($C235&gt;I$4,IF($C235&lt;I$5,$C235-I$4,I$5-I$4),0)</f>
        <v>0</v>
      </c>
      <c r="J235" s="10">
        <f t="shared" si="20"/>
        <v>0</v>
      </c>
      <c r="K235" s="67">
        <f t="shared" si="18"/>
        <v>19323.943661971829</v>
      </c>
    </row>
    <row r="236" spans="1:11" x14ac:dyDescent="0.25">
      <c r="A236" s="53">
        <f>'A) Base RI'!A235</f>
        <v>5760</v>
      </c>
      <c r="B236" s="35" t="str">
        <f>'A) Base RI'!B235</f>
        <v>Rances</v>
      </c>
      <c r="C236" s="10">
        <f>'A) Base RI'!AN235</f>
        <v>473</v>
      </c>
      <c r="D236" s="34">
        <f t="shared" si="19"/>
        <v>473</v>
      </c>
      <c r="E236" s="10">
        <f t="shared" si="21"/>
        <v>0</v>
      </c>
      <c r="F236" s="10">
        <f t="shared" si="21"/>
        <v>0</v>
      </c>
      <c r="G236" s="10">
        <f t="shared" si="21"/>
        <v>0</v>
      </c>
      <c r="H236" s="10">
        <f t="shared" si="21"/>
        <v>0</v>
      </c>
      <c r="I236" s="44">
        <f t="shared" si="21"/>
        <v>0</v>
      </c>
      <c r="J236" s="10">
        <f t="shared" si="20"/>
        <v>0</v>
      </c>
      <c r="K236" s="67">
        <f t="shared" si="18"/>
        <v>46633.802816901407</v>
      </c>
    </row>
    <row r="237" spans="1:11" x14ac:dyDescent="0.25">
      <c r="A237" s="53">
        <f>'A) Base RI'!A236</f>
        <v>5761</v>
      </c>
      <c r="B237" s="35" t="str">
        <f>'A) Base RI'!B236</f>
        <v>Romainmôtier-Envy</v>
      </c>
      <c r="C237" s="10">
        <f>'A) Base RI'!AN236</f>
        <v>546</v>
      </c>
      <c r="D237" s="34">
        <f t="shared" si="19"/>
        <v>546</v>
      </c>
      <c r="E237" s="10">
        <f t="shared" si="21"/>
        <v>0</v>
      </c>
      <c r="F237" s="10">
        <f t="shared" si="21"/>
        <v>0</v>
      </c>
      <c r="G237" s="10">
        <f t="shared" si="21"/>
        <v>0</v>
      </c>
      <c r="H237" s="10">
        <f t="shared" si="21"/>
        <v>0</v>
      </c>
      <c r="I237" s="44">
        <f t="shared" si="21"/>
        <v>0</v>
      </c>
      <c r="J237" s="10">
        <f t="shared" si="20"/>
        <v>0</v>
      </c>
      <c r="K237" s="67">
        <f t="shared" si="18"/>
        <v>53830.985915492951</v>
      </c>
    </row>
    <row r="238" spans="1:11" x14ac:dyDescent="0.25">
      <c r="A238" s="53">
        <f>'A) Base RI'!A237</f>
        <v>5762</v>
      </c>
      <c r="B238" s="35" t="str">
        <f>'A) Base RI'!B237</f>
        <v>Sergey</v>
      </c>
      <c r="C238" s="10">
        <f>'A) Base RI'!AN237</f>
        <v>140</v>
      </c>
      <c r="D238" s="34">
        <f t="shared" si="19"/>
        <v>140</v>
      </c>
      <c r="E238" s="10">
        <f t="shared" si="21"/>
        <v>0</v>
      </c>
      <c r="F238" s="10">
        <f t="shared" si="21"/>
        <v>0</v>
      </c>
      <c r="G238" s="10">
        <f t="shared" si="21"/>
        <v>0</v>
      </c>
      <c r="H238" s="10">
        <f t="shared" si="21"/>
        <v>0</v>
      </c>
      <c r="I238" s="44">
        <f t="shared" si="21"/>
        <v>0</v>
      </c>
      <c r="J238" s="10">
        <f t="shared" si="20"/>
        <v>0</v>
      </c>
      <c r="K238" s="67">
        <f t="shared" si="18"/>
        <v>13802.816901408451</v>
      </c>
    </row>
    <row r="239" spans="1:11" x14ac:dyDescent="0.25">
      <c r="A239" s="53">
        <f>'A) Base RI'!A238</f>
        <v>5763</v>
      </c>
      <c r="B239" s="35" t="str">
        <f>'A) Base RI'!B238</f>
        <v>Valeyres-sous-Rances</v>
      </c>
      <c r="C239" s="10">
        <f>'A) Base RI'!AN238</f>
        <v>623</v>
      </c>
      <c r="D239" s="34">
        <f t="shared" si="19"/>
        <v>623</v>
      </c>
      <c r="E239" s="10">
        <f t="shared" si="21"/>
        <v>0</v>
      </c>
      <c r="F239" s="10">
        <f t="shared" si="21"/>
        <v>0</v>
      </c>
      <c r="G239" s="10">
        <f t="shared" si="21"/>
        <v>0</v>
      </c>
      <c r="H239" s="10">
        <f t="shared" si="21"/>
        <v>0</v>
      </c>
      <c r="I239" s="44">
        <f t="shared" si="21"/>
        <v>0</v>
      </c>
      <c r="J239" s="10">
        <f t="shared" si="20"/>
        <v>0</v>
      </c>
      <c r="K239" s="67">
        <f t="shared" si="18"/>
        <v>61422.535211267605</v>
      </c>
    </row>
    <row r="240" spans="1:11" x14ac:dyDescent="0.25">
      <c r="A240" s="53">
        <f>'A) Base RI'!A239</f>
        <v>5764</v>
      </c>
      <c r="B240" s="35" t="str">
        <f>'A) Base RI'!B239</f>
        <v>Vallorbe</v>
      </c>
      <c r="C240" s="10">
        <f>'A) Base RI'!AN239</f>
        <v>3747</v>
      </c>
      <c r="D240" s="34">
        <f t="shared" si="19"/>
        <v>1000</v>
      </c>
      <c r="E240" s="10">
        <f t="shared" si="21"/>
        <v>2000</v>
      </c>
      <c r="F240" s="10">
        <f t="shared" si="21"/>
        <v>747</v>
      </c>
      <c r="G240" s="10">
        <f t="shared" si="21"/>
        <v>0</v>
      </c>
      <c r="H240" s="10">
        <f t="shared" si="21"/>
        <v>0</v>
      </c>
      <c r="I240" s="44">
        <f t="shared" si="21"/>
        <v>0</v>
      </c>
      <c r="J240" s="10">
        <f t="shared" si="20"/>
        <v>0</v>
      </c>
      <c r="K240" s="67">
        <f t="shared" si="18"/>
        <v>1156971.8309859154</v>
      </c>
    </row>
    <row r="241" spans="1:11" x14ac:dyDescent="0.25">
      <c r="A241" s="53">
        <f>'A) Base RI'!A240</f>
        <v>5765</v>
      </c>
      <c r="B241" s="35" t="str">
        <f>'A) Base RI'!B240</f>
        <v>Vaulion</v>
      </c>
      <c r="C241" s="10">
        <f>'A) Base RI'!AN240</f>
        <v>494</v>
      </c>
      <c r="D241" s="34">
        <f t="shared" si="19"/>
        <v>494</v>
      </c>
      <c r="E241" s="10">
        <f t="shared" si="21"/>
        <v>0</v>
      </c>
      <c r="F241" s="10">
        <f t="shared" si="21"/>
        <v>0</v>
      </c>
      <c r="G241" s="10">
        <f t="shared" si="21"/>
        <v>0</v>
      </c>
      <c r="H241" s="10">
        <f t="shared" si="21"/>
        <v>0</v>
      </c>
      <c r="I241" s="44">
        <f t="shared" si="21"/>
        <v>0</v>
      </c>
      <c r="J241" s="10">
        <f t="shared" si="20"/>
        <v>0</v>
      </c>
      <c r="K241" s="67">
        <f t="shared" si="18"/>
        <v>48704.225352112669</v>
      </c>
    </row>
    <row r="242" spans="1:11" x14ac:dyDescent="0.25">
      <c r="A242" s="53">
        <f>'A) Base RI'!A241</f>
        <v>5766</v>
      </c>
      <c r="B242" s="35" t="str">
        <f>'A) Base RI'!B241</f>
        <v>Vuiteboeuf</v>
      </c>
      <c r="C242" s="10">
        <f>'A) Base RI'!AN241</f>
        <v>556</v>
      </c>
      <c r="D242" s="34">
        <f t="shared" si="19"/>
        <v>556</v>
      </c>
      <c r="E242" s="10">
        <f t="shared" si="21"/>
        <v>0</v>
      </c>
      <c r="F242" s="10">
        <f t="shared" si="21"/>
        <v>0</v>
      </c>
      <c r="G242" s="10">
        <f t="shared" si="21"/>
        <v>0</v>
      </c>
      <c r="H242" s="10">
        <f t="shared" si="21"/>
        <v>0</v>
      </c>
      <c r="I242" s="44">
        <f t="shared" si="21"/>
        <v>0</v>
      </c>
      <c r="J242" s="10">
        <f t="shared" si="20"/>
        <v>0</v>
      </c>
      <c r="K242" s="67">
        <f t="shared" si="18"/>
        <v>54816.9014084507</v>
      </c>
    </row>
    <row r="243" spans="1:11" x14ac:dyDescent="0.25">
      <c r="A243" s="53">
        <f>'A) Base RI'!A242</f>
        <v>5782</v>
      </c>
      <c r="B243" s="35" t="str">
        <f>'A) Base RI'!B242</f>
        <v>Carrouge</v>
      </c>
      <c r="C243" s="10">
        <f>'A) Base RI'!AN242</f>
        <v>1247</v>
      </c>
      <c r="D243" s="34">
        <f t="shared" si="19"/>
        <v>1000</v>
      </c>
      <c r="E243" s="10">
        <f t="shared" si="21"/>
        <v>247</v>
      </c>
      <c r="F243" s="10">
        <f t="shared" si="21"/>
        <v>0</v>
      </c>
      <c r="G243" s="10">
        <f t="shared" si="21"/>
        <v>0</v>
      </c>
      <c r="H243" s="10">
        <f t="shared" si="21"/>
        <v>0</v>
      </c>
      <c r="I243" s="44">
        <f t="shared" si="21"/>
        <v>0</v>
      </c>
      <c r="J243" s="10">
        <f t="shared" si="20"/>
        <v>0</v>
      </c>
      <c r="K243" s="67">
        <f t="shared" si="18"/>
        <v>183823.94366197183</v>
      </c>
    </row>
    <row r="244" spans="1:11" x14ac:dyDescent="0.25">
      <c r="A244" s="53">
        <f>'A) Base RI'!A243</f>
        <v>5785</v>
      </c>
      <c r="B244" s="35" t="str">
        <f>'A) Base RI'!B243</f>
        <v>Corcelles-le-Jorat</v>
      </c>
      <c r="C244" s="10">
        <f>'A) Base RI'!AN243</f>
        <v>425</v>
      </c>
      <c r="D244" s="34">
        <f t="shared" si="19"/>
        <v>425</v>
      </c>
      <c r="E244" s="10">
        <f t="shared" si="21"/>
        <v>0</v>
      </c>
      <c r="F244" s="10">
        <f t="shared" si="21"/>
        <v>0</v>
      </c>
      <c r="G244" s="10">
        <f t="shared" si="21"/>
        <v>0</v>
      </c>
      <c r="H244" s="10">
        <f t="shared" si="21"/>
        <v>0</v>
      </c>
      <c r="I244" s="44">
        <f t="shared" si="21"/>
        <v>0</v>
      </c>
      <c r="J244" s="10">
        <f t="shared" si="20"/>
        <v>0</v>
      </c>
      <c r="K244" s="67">
        <f t="shared" si="18"/>
        <v>41901.408450704221</v>
      </c>
    </row>
    <row r="245" spans="1:11" x14ac:dyDescent="0.25">
      <c r="A245" s="53">
        <f>'A) Base RI'!A244</f>
        <v>5788</v>
      </c>
      <c r="B245" s="35" t="str">
        <f>'A) Base RI'!B244</f>
        <v>Essertes</v>
      </c>
      <c r="C245" s="10">
        <f>'A) Base RI'!AN244</f>
        <v>335</v>
      </c>
      <c r="D245" s="34">
        <f t="shared" si="19"/>
        <v>335</v>
      </c>
      <c r="E245" s="10">
        <f t="shared" si="21"/>
        <v>0</v>
      </c>
      <c r="F245" s="10">
        <f t="shared" si="21"/>
        <v>0</v>
      </c>
      <c r="G245" s="10">
        <f t="shared" si="21"/>
        <v>0</v>
      </c>
      <c r="H245" s="10">
        <f t="shared" si="21"/>
        <v>0</v>
      </c>
      <c r="I245" s="44">
        <f t="shared" si="21"/>
        <v>0</v>
      </c>
      <c r="J245" s="10">
        <f t="shared" si="20"/>
        <v>0</v>
      </c>
      <c r="K245" s="67">
        <f t="shared" si="18"/>
        <v>33028.169014084502</v>
      </c>
    </row>
    <row r="246" spans="1:11" x14ac:dyDescent="0.25">
      <c r="A246" s="53">
        <f>'A) Base RI'!A245</f>
        <v>5789</v>
      </c>
      <c r="B246" s="35" t="str">
        <f>'A) Base RI'!B245</f>
        <v>Ferlens</v>
      </c>
      <c r="C246" s="10">
        <f>'A) Base RI'!AN245</f>
        <v>350</v>
      </c>
      <c r="D246" s="34">
        <f t="shared" si="19"/>
        <v>350</v>
      </c>
      <c r="E246" s="10">
        <f t="shared" si="21"/>
        <v>0</v>
      </c>
      <c r="F246" s="10">
        <f t="shared" si="21"/>
        <v>0</v>
      </c>
      <c r="G246" s="10">
        <f t="shared" si="21"/>
        <v>0</v>
      </c>
      <c r="H246" s="10">
        <f t="shared" si="21"/>
        <v>0</v>
      </c>
      <c r="I246" s="44">
        <f t="shared" si="21"/>
        <v>0</v>
      </c>
      <c r="J246" s="10">
        <f t="shared" si="20"/>
        <v>0</v>
      </c>
      <c r="K246" s="67">
        <f t="shared" si="18"/>
        <v>34507.042253521126</v>
      </c>
    </row>
    <row r="247" spans="1:11" x14ac:dyDescent="0.25">
      <c r="A247" s="53">
        <f>'A) Base RI'!A246</f>
        <v>5790</v>
      </c>
      <c r="B247" s="35" t="str">
        <f>'A) Base RI'!B246</f>
        <v>Maracon</v>
      </c>
      <c r="C247" s="10">
        <f>'A) Base RI'!AN246</f>
        <v>449</v>
      </c>
      <c r="D247" s="34">
        <f t="shared" si="19"/>
        <v>449</v>
      </c>
      <c r="E247" s="10">
        <f t="shared" si="21"/>
        <v>0</v>
      </c>
      <c r="F247" s="10">
        <f t="shared" si="21"/>
        <v>0</v>
      </c>
      <c r="G247" s="10">
        <f t="shared" si="21"/>
        <v>0</v>
      </c>
      <c r="H247" s="10">
        <f t="shared" si="21"/>
        <v>0</v>
      </c>
      <c r="I247" s="44">
        <f t="shared" si="21"/>
        <v>0</v>
      </c>
      <c r="J247" s="10">
        <f t="shared" si="20"/>
        <v>0</v>
      </c>
      <c r="K247" s="67">
        <f t="shared" si="18"/>
        <v>44267.605633802814</v>
      </c>
    </row>
    <row r="248" spans="1:11" x14ac:dyDescent="0.25">
      <c r="A248" s="53">
        <f>'A) Base RI'!A247</f>
        <v>5791</v>
      </c>
      <c r="B248" s="35" t="str">
        <f>'A) Base RI'!B247</f>
        <v>Mézières</v>
      </c>
      <c r="C248" s="10">
        <f>'A) Base RI'!AN247</f>
        <v>1217</v>
      </c>
      <c r="D248" s="34">
        <f t="shared" si="19"/>
        <v>1000</v>
      </c>
      <c r="E248" s="10">
        <f t="shared" si="21"/>
        <v>217</v>
      </c>
      <c r="F248" s="10">
        <f t="shared" si="21"/>
        <v>0</v>
      </c>
      <c r="G248" s="10">
        <f t="shared" si="21"/>
        <v>0</v>
      </c>
      <c r="H248" s="10">
        <f t="shared" si="21"/>
        <v>0</v>
      </c>
      <c r="I248" s="44">
        <f t="shared" si="21"/>
        <v>0</v>
      </c>
      <c r="J248" s="10">
        <f t="shared" si="20"/>
        <v>0</v>
      </c>
      <c r="K248" s="67">
        <f t="shared" si="18"/>
        <v>173471.8309859155</v>
      </c>
    </row>
    <row r="249" spans="1:11" x14ac:dyDescent="0.25">
      <c r="A249" s="53">
        <f>'A) Base RI'!A248</f>
        <v>5792</v>
      </c>
      <c r="B249" s="35" t="str">
        <f>'A) Base RI'!B248</f>
        <v>Montpreveyres</v>
      </c>
      <c r="C249" s="10">
        <f>'A) Base RI'!AN248</f>
        <v>621</v>
      </c>
      <c r="D249" s="34">
        <f t="shared" si="19"/>
        <v>621</v>
      </c>
      <c r="E249" s="10">
        <f t="shared" si="21"/>
        <v>0</v>
      </c>
      <c r="F249" s="10">
        <f t="shared" si="21"/>
        <v>0</v>
      </c>
      <c r="G249" s="10">
        <f t="shared" si="21"/>
        <v>0</v>
      </c>
      <c r="H249" s="10">
        <f t="shared" si="21"/>
        <v>0</v>
      </c>
      <c r="I249" s="44">
        <f t="shared" si="21"/>
        <v>0</v>
      </c>
      <c r="J249" s="10">
        <f t="shared" si="20"/>
        <v>0</v>
      </c>
      <c r="K249" s="67">
        <f t="shared" si="18"/>
        <v>61225.352112676053</v>
      </c>
    </row>
    <row r="250" spans="1:11" x14ac:dyDescent="0.25">
      <c r="A250" s="53">
        <f>'A) Base RI'!A249</f>
        <v>5798</v>
      </c>
      <c r="B250" s="35" t="str">
        <f>'A) Base RI'!B249</f>
        <v>Ropraz</v>
      </c>
      <c r="C250" s="10">
        <f>'A) Base RI'!AN249</f>
        <v>438</v>
      </c>
      <c r="D250" s="34">
        <f t="shared" si="19"/>
        <v>438</v>
      </c>
      <c r="E250" s="10">
        <f t="shared" si="21"/>
        <v>0</v>
      </c>
      <c r="F250" s="10">
        <f t="shared" si="21"/>
        <v>0</v>
      </c>
      <c r="G250" s="10">
        <f t="shared" si="21"/>
        <v>0</v>
      </c>
      <c r="H250" s="10">
        <f t="shared" si="21"/>
        <v>0</v>
      </c>
      <c r="I250" s="44">
        <f t="shared" si="21"/>
        <v>0</v>
      </c>
      <c r="J250" s="10">
        <f t="shared" si="20"/>
        <v>0</v>
      </c>
      <c r="K250" s="67">
        <f t="shared" si="18"/>
        <v>43183.098591549293</v>
      </c>
    </row>
    <row r="251" spans="1:11" x14ac:dyDescent="0.25">
      <c r="A251" s="53">
        <f>'A) Base RI'!A250</f>
        <v>5799</v>
      </c>
      <c r="B251" s="35" t="str">
        <f>'A) Base RI'!B250</f>
        <v>Servion</v>
      </c>
      <c r="C251" s="10">
        <f>'A) Base RI'!AN250</f>
        <v>1918</v>
      </c>
      <c r="D251" s="34">
        <f t="shared" si="19"/>
        <v>1000</v>
      </c>
      <c r="E251" s="10">
        <f t="shared" si="21"/>
        <v>918</v>
      </c>
      <c r="F251" s="10">
        <f t="shared" si="21"/>
        <v>0</v>
      </c>
      <c r="G251" s="10">
        <f t="shared" si="21"/>
        <v>0</v>
      </c>
      <c r="H251" s="10">
        <f t="shared" si="21"/>
        <v>0</v>
      </c>
      <c r="I251" s="44">
        <f t="shared" si="21"/>
        <v>0</v>
      </c>
      <c r="J251" s="10">
        <f t="shared" si="20"/>
        <v>0</v>
      </c>
      <c r="K251" s="67">
        <f t="shared" si="18"/>
        <v>415366.19718309859</v>
      </c>
    </row>
    <row r="252" spans="1:11" x14ac:dyDescent="0.25">
      <c r="A252" s="53">
        <f>'A) Base RI'!A251</f>
        <v>5803</v>
      </c>
      <c r="B252" s="35" t="str">
        <f>'A) Base RI'!B251</f>
        <v>Vulliens</v>
      </c>
      <c r="C252" s="10">
        <f>'A) Base RI'!AN251</f>
        <v>466</v>
      </c>
      <c r="D252" s="34">
        <f t="shared" si="19"/>
        <v>466</v>
      </c>
      <c r="E252" s="10">
        <f t="shared" si="21"/>
        <v>0</v>
      </c>
      <c r="F252" s="10">
        <f t="shared" si="21"/>
        <v>0</v>
      </c>
      <c r="G252" s="10">
        <f t="shared" si="21"/>
        <v>0</v>
      </c>
      <c r="H252" s="10">
        <f t="shared" si="21"/>
        <v>0</v>
      </c>
      <c r="I252" s="44">
        <f t="shared" si="21"/>
        <v>0</v>
      </c>
      <c r="J252" s="10">
        <f t="shared" si="20"/>
        <v>0</v>
      </c>
      <c r="K252" s="67">
        <f t="shared" si="18"/>
        <v>45943.661971830981</v>
      </c>
    </row>
    <row r="253" spans="1:11" x14ac:dyDescent="0.25">
      <c r="A253" s="53">
        <f>'A) Base RI'!A252</f>
        <v>5804</v>
      </c>
      <c r="B253" s="35" t="str">
        <f>'A) Base RI'!B252</f>
        <v>Jorat-Menthue</v>
      </c>
      <c r="C253" s="10">
        <f>'A) Base RI'!AN252</f>
        <v>1545</v>
      </c>
      <c r="D253" s="34">
        <f t="shared" si="19"/>
        <v>1000</v>
      </c>
      <c r="E253" s="10">
        <f t="shared" si="21"/>
        <v>545</v>
      </c>
      <c r="F253" s="10">
        <f t="shared" si="21"/>
        <v>0</v>
      </c>
      <c r="G253" s="10">
        <f t="shared" si="21"/>
        <v>0</v>
      </c>
      <c r="H253" s="10">
        <f t="shared" si="21"/>
        <v>0</v>
      </c>
      <c r="I253" s="44">
        <f t="shared" si="21"/>
        <v>0</v>
      </c>
      <c r="J253" s="10">
        <f t="shared" si="20"/>
        <v>0</v>
      </c>
      <c r="K253" s="67">
        <f t="shared" si="18"/>
        <v>286654.92957746476</v>
      </c>
    </row>
    <row r="254" spans="1:11" x14ac:dyDescent="0.25">
      <c r="A254" s="53">
        <f>'A) Base RI'!A253</f>
        <v>5805</v>
      </c>
      <c r="B254" s="35" t="str">
        <f>'A) Base RI'!B253</f>
        <v>Oron</v>
      </c>
      <c r="C254" s="10">
        <f>'A) Base RI'!AN253</f>
        <v>5397</v>
      </c>
      <c r="D254" s="34">
        <f t="shared" si="19"/>
        <v>1000</v>
      </c>
      <c r="E254" s="10">
        <f t="shared" si="21"/>
        <v>2000</v>
      </c>
      <c r="F254" s="10">
        <f t="shared" si="21"/>
        <v>2000</v>
      </c>
      <c r="G254" s="10">
        <f t="shared" si="21"/>
        <v>397</v>
      </c>
      <c r="H254" s="10">
        <f t="shared" si="21"/>
        <v>0</v>
      </c>
      <c r="I254" s="44">
        <f t="shared" si="21"/>
        <v>0</v>
      </c>
      <c r="J254" s="10">
        <f t="shared" si="20"/>
        <v>0</v>
      </c>
      <c r="K254" s="67">
        <f t="shared" si="18"/>
        <v>2009492.9577464787</v>
      </c>
    </row>
    <row r="255" spans="1:11" x14ac:dyDescent="0.25">
      <c r="A255" s="53">
        <f>'A) Base RI'!A254</f>
        <v>5812</v>
      </c>
      <c r="B255" s="35" t="str">
        <f>'A) Base RI'!B254</f>
        <v>Champtauroz</v>
      </c>
      <c r="C255" s="10">
        <f>'A) Base RI'!AN254</f>
        <v>130</v>
      </c>
      <c r="D255" s="34">
        <f t="shared" si="19"/>
        <v>130</v>
      </c>
      <c r="E255" s="10">
        <f t="shared" si="21"/>
        <v>0</v>
      </c>
      <c r="F255" s="10">
        <f t="shared" si="21"/>
        <v>0</v>
      </c>
      <c r="G255" s="10">
        <f t="shared" si="21"/>
        <v>0</v>
      </c>
      <c r="H255" s="10">
        <f t="shared" si="21"/>
        <v>0</v>
      </c>
      <c r="I255" s="44">
        <f t="shared" si="21"/>
        <v>0</v>
      </c>
      <c r="J255" s="10">
        <f t="shared" si="20"/>
        <v>0</v>
      </c>
      <c r="K255" s="67">
        <f t="shared" si="18"/>
        <v>12816.901408450703</v>
      </c>
    </row>
    <row r="256" spans="1:11" x14ac:dyDescent="0.25">
      <c r="A256" s="53">
        <f>'A) Base RI'!A255</f>
        <v>5813</v>
      </c>
      <c r="B256" s="35" t="str">
        <f>'A) Base RI'!B255</f>
        <v>Chevroux</v>
      </c>
      <c r="C256" s="10">
        <f>'A) Base RI'!AN255</f>
        <v>446</v>
      </c>
      <c r="D256" s="34">
        <f t="shared" si="19"/>
        <v>446</v>
      </c>
      <c r="E256" s="10">
        <f t="shared" si="21"/>
        <v>0</v>
      </c>
      <c r="F256" s="10">
        <f t="shared" si="21"/>
        <v>0</v>
      </c>
      <c r="G256" s="10">
        <f t="shared" si="21"/>
        <v>0</v>
      </c>
      <c r="H256" s="10">
        <f t="shared" si="21"/>
        <v>0</v>
      </c>
      <c r="I256" s="44">
        <f t="shared" si="21"/>
        <v>0</v>
      </c>
      <c r="J256" s="10">
        <f t="shared" si="20"/>
        <v>0</v>
      </c>
      <c r="K256" s="67">
        <f t="shared" si="18"/>
        <v>43971.830985915491</v>
      </c>
    </row>
    <row r="257" spans="1:11" x14ac:dyDescent="0.25">
      <c r="A257" s="53">
        <f>'A) Base RI'!A256</f>
        <v>5816</v>
      </c>
      <c r="B257" s="35" t="str">
        <f>'A) Base RI'!B256</f>
        <v>Corcelles-près-Payerne</v>
      </c>
      <c r="C257" s="10">
        <f>'A) Base RI'!AN256</f>
        <v>2393</v>
      </c>
      <c r="D257" s="34">
        <f t="shared" si="19"/>
        <v>1000</v>
      </c>
      <c r="E257" s="10">
        <f t="shared" si="21"/>
        <v>1393</v>
      </c>
      <c r="F257" s="10">
        <f t="shared" si="21"/>
        <v>0</v>
      </c>
      <c r="G257" s="10">
        <f t="shared" si="21"/>
        <v>0</v>
      </c>
      <c r="H257" s="10">
        <f t="shared" si="21"/>
        <v>0</v>
      </c>
      <c r="I257" s="44">
        <f t="shared" si="21"/>
        <v>0</v>
      </c>
      <c r="J257" s="10">
        <f t="shared" si="20"/>
        <v>0</v>
      </c>
      <c r="K257" s="67">
        <f t="shared" si="18"/>
        <v>579274.64788732387</v>
      </c>
    </row>
    <row r="258" spans="1:11" x14ac:dyDescent="0.25">
      <c r="A258" s="53">
        <f>'A) Base RI'!A257</f>
        <v>5817</v>
      </c>
      <c r="B258" s="35" t="str">
        <f>'A) Base RI'!B257</f>
        <v>Grandcour</v>
      </c>
      <c r="C258" s="10">
        <f>'A) Base RI'!AN257</f>
        <v>885</v>
      </c>
      <c r="D258" s="34">
        <f t="shared" si="19"/>
        <v>885</v>
      </c>
      <c r="E258" s="10">
        <f t="shared" si="21"/>
        <v>0</v>
      </c>
      <c r="F258" s="10">
        <f t="shared" si="21"/>
        <v>0</v>
      </c>
      <c r="G258" s="10">
        <f t="shared" si="21"/>
        <v>0</v>
      </c>
      <c r="H258" s="10">
        <f t="shared" si="21"/>
        <v>0</v>
      </c>
      <c r="I258" s="44">
        <f t="shared" si="21"/>
        <v>0</v>
      </c>
      <c r="J258" s="10">
        <f t="shared" si="20"/>
        <v>0</v>
      </c>
      <c r="K258" s="67">
        <f t="shared" si="18"/>
        <v>87253.521126760563</v>
      </c>
    </row>
    <row r="259" spans="1:11" x14ac:dyDescent="0.25">
      <c r="A259" s="53">
        <f>'A) Base RI'!A258</f>
        <v>5819</v>
      </c>
      <c r="B259" s="35" t="str">
        <f>'A) Base RI'!B258</f>
        <v>Henniez</v>
      </c>
      <c r="C259" s="10">
        <f>'A) Base RI'!AN258</f>
        <v>338</v>
      </c>
      <c r="D259" s="34">
        <f t="shared" si="19"/>
        <v>338</v>
      </c>
      <c r="E259" s="10">
        <f t="shared" si="21"/>
        <v>0</v>
      </c>
      <c r="F259" s="10">
        <f t="shared" si="21"/>
        <v>0</v>
      </c>
      <c r="G259" s="10">
        <f t="shared" si="21"/>
        <v>0</v>
      </c>
      <c r="H259" s="10">
        <f t="shared" si="21"/>
        <v>0</v>
      </c>
      <c r="I259" s="44">
        <f t="shared" si="21"/>
        <v>0</v>
      </c>
      <c r="J259" s="10">
        <f t="shared" si="20"/>
        <v>0</v>
      </c>
      <c r="K259" s="67">
        <f t="shared" si="18"/>
        <v>33323.943661971825</v>
      </c>
    </row>
    <row r="260" spans="1:11" x14ac:dyDescent="0.25">
      <c r="A260" s="53">
        <f>'A) Base RI'!A259</f>
        <v>5821</v>
      </c>
      <c r="B260" s="35" t="str">
        <f>'A) Base RI'!B259</f>
        <v>Missy</v>
      </c>
      <c r="C260" s="10">
        <f>'A) Base RI'!AN259</f>
        <v>361</v>
      </c>
      <c r="D260" s="34">
        <f t="shared" si="19"/>
        <v>361</v>
      </c>
      <c r="E260" s="10">
        <f t="shared" si="21"/>
        <v>0</v>
      </c>
      <c r="F260" s="10">
        <f t="shared" si="21"/>
        <v>0</v>
      </c>
      <c r="G260" s="10">
        <f t="shared" si="21"/>
        <v>0</v>
      </c>
      <c r="H260" s="10">
        <f t="shared" si="21"/>
        <v>0</v>
      </c>
      <c r="I260" s="44">
        <f t="shared" si="21"/>
        <v>0</v>
      </c>
      <c r="J260" s="10">
        <f t="shared" si="20"/>
        <v>0</v>
      </c>
      <c r="K260" s="67">
        <f t="shared" si="18"/>
        <v>35591.549295774646</v>
      </c>
    </row>
    <row r="261" spans="1:11" x14ac:dyDescent="0.25">
      <c r="A261" s="53">
        <f>'A) Base RI'!A260</f>
        <v>5822</v>
      </c>
      <c r="B261" s="35" t="str">
        <f>'A) Base RI'!B260</f>
        <v>Payerne</v>
      </c>
      <c r="C261" s="10">
        <f>'A) Base RI'!AN260</f>
        <v>9301</v>
      </c>
      <c r="D261" s="34">
        <f t="shared" si="19"/>
        <v>1000</v>
      </c>
      <c r="E261" s="10">
        <f t="shared" si="21"/>
        <v>2000</v>
      </c>
      <c r="F261" s="10">
        <f t="shared" si="21"/>
        <v>2000</v>
      </c>
      <c r="G261" s="10">
        <f t="shared" si="21"/>
        <v>4000</v>
      </c>
      <c r="H261" s="10">
        <f t="shared" si="21"/>
        <v>301</v>
      </c>
      <c r="I261" s="44">
        <f t="shared" si="21"/>
        <v>0</v>
      </c>
      <c r="J261" s="10">
        <f t="shared" si="20"/>
        <v>0</v>
      </c>
      <c r="K261" s="67">
        <f t="shared" si="18"/>
        <v>4393091.5492957747</v>
      </c>
    </row>
    <row r="262" spans="1:11" x14ac:dyDescent="0.25">
      <c r="A262" s="53">
        <f>'A) Base RI'!A261</f>
        <v>5827</v>
      </c>
      <c r="B262" s="35" t="str">
        <f>'A) Base RI'!B261</f>
        <v>Trey</v>
      </c>
      <c r="C262" s="10">
        <f>'A) Base RI'!AN261</f>
        <v>260</v>
      </c>
      <c r="D262" s="34">
        <f t="shared" si="19"/>
        <v>260</v>
      </c>
      <c r="E262" s="10">
        <f t="shared" ref="E262:I302" si="22">IF($C262&gt;E$4,IF($C262&lt;E$5,$C262-E$4,E$5-E$4),0)</f>
        <v>0</v>
      </c>
      <c r="F262" s="10">
        <f t="shared" si="22"/>
        <v>0</v>
      </c>
      <c r="G262" s="10">
        <f t="shared" si="22"/>
        <v>0</v>
      </c>
      <c r="H262" s="10">
        <f t="shared" si="22"/>
        <v>0</v>
      </c>
      <c r="I262" s="44">
        <f t="shared" si="22"/>
        <v>0</v>
      </c>
      <c r="J262" s="10">
        <f t="shared" si="20"/>
        <v>0</v>
      </c>
      <c r="K262" s="67">
        <f t="shared" si="18"/>
        <v>25633.802816901407</v>
      </c>
    </row>
    <row r="263" spans="1:11" x14ac:dyDescent="0.25">
      <c r="A263" s="53">
        <f>'A) Base RI'!A262</f>
        <v>5828</v>
      </c>
      <c r="B263" s="35" t="str">
        <f>'A) Base RI'!B262</f>
        <v>Treytorrens (Payerne)</v>
      </c>
      <c r="C263" s="10">
        <f>'A) Base RI'!AN262</f>
        <v>131</v>
      </c>
      <c r="D263" s="34">
        <f t="shared" ref="D263:D294" si="23">IF($C263&gt;D$4,IF($C263&lt;D$5,$C263-D$4,D$5-D$4),0)</f>
        <v>131</v>
      </c>
      <c r="E263" s="10">
        <f t="shared" si="22"/>
        <v>0</v>
      </c>
      <c r="F263" s="10">
        <f t="shared" si="22"/>
        <v>0</v>
      </c>
      <c r="G263" s="10">
        <f t="shared" si="22"/>
        <v>0</v>
      </c>
      <c r="H263" s="10">
        <f t="shared" si="22"/>
        <v>0</v>
      </c>
      <c r="I263" s="44">
        <f t="shared" si="22"/>
        <v>0</v>
      </c>
      <c r="J263" s="10">
        <f t="shared" si="20"/>
        <v>0</v>
      </c>
      <c r="K263" s="67">
        <f t="shared" si="18"/>
        <v>12915.492957746477</v>
      </c>
    </row>
    <row r="264" spans="1:11" x14ac:dyDescent="0.25">
      <c r="A264" s="53">
        <f>'A) Base RI'!A263</f>
        <v>5830</v>
      </c>
      <c r="B264" s="35" t="str">
        <f>'A) Base RI'!B263</f>
        <v>Villarzel</v>
      </c>
      <c r="C264" s="10">
        <f>'A) Base RI'!AN263</f>
        <v>424</v>
      </c>
      <c r="D264" s="34">
        <f t="shared" si="23"/>
        <v>424</v>
      </c>
      <c r="E264" s="10">
        <f t="shared" si="22"/>
        <v>0</v>
      </c>
      <c r="F264" s="10">
        <f t="shared" si="22"/>
        <v>0</v>
      </c>
      <c r="G264" s="10">
        <f t="shared" si="22"/>
        <v>0</v>
      </c>
      <c r="H264" s="10">
        <f t="shared" si="22"/>
        <v>0</v>
      </c>
      <c r="I264" s="44">
        <f t="shared" si="22"/>
        <v>0</v>
      </c>
      <c r="J264" s="10">
        <f t="shared" si="20"/>
        <v>0</v>
      </c>
      <c r="K264" s="67">
        <f t="shared" si="18"/>
        <v>41802.816901408449</v>
      </c>
    </row>
    <row r="265" spans="1:11" x14ac:dyDescent="0.25">
      <c r="A265" s="53">
        <f>'A) Base RI'!A264</f>
        <v>5831</v>
      </c>
      <c r="B265" s="35" t="str">
        <f>'A) Base RI'!B264</f>
        <v>Valbroye</v>
      </c>
      <c r="C265" s="10">
        <f>'A) Base RI'!AN264</f>
        <v>2974</v>
      </c>
      <c r="D265" s="34">
        <f t="shared" si="23"/>
        <v>1000</v>
      </c>
      <c r="E265" s="10">
        <f t="shared" ref="E265:I266" si="24">IF($C265&gt;E$4,IF($C265&lt;E$5,$C265-E$4,E$5-E$4),0)</f>
        <v>1974</v>
      </c>
      <c r="F265" s="10">
        <f t="shared" si="24"/>
        <v>0</v>
      </c>
      <c r="G265" s="10">
        <f t="shared" si="24"/>
        <v>0</v>
      </c>
      <c r="H265" s="10">
        <f t="shared" si="24"/>
        <v>0</v>
      </c>
      <c r="I265" s="44">
        <f t="shared" si="24"/>
        <v>0</v>
      </c>
      <c r="J265" s="10">
        <f t="shared" si="20"/>
        <v>0</v>
      </c>
      <c r="K265" s="67">
        <f t="shared" ref="K265:K325" si="25">(D265*D$7)+(E265*E$7)+(F265*F$7)+(G265*G$7)+(H265*H$7)+(I265*I$7)+(J265*J$7)</f>
        <v>779760.56338028167</v>
      </c>
    </row>
    <row r="266" spans="1:11" x14ac:dyDescent="0.25">
      <c r="A266" s="53">
        <f>'A) Base RI'!A265</f>
        <v>5841</v>
      </c>
      <c r="B266" s="35" t="str">
        <f>'A) Base RI'!B265</f>
        <v>Château-d'Oex</v>
      </c>
      <c r="C266" s="10">
        <f>'A) Base RI'!AN265</f>
        <v>3477</v>
      </c>
      <c r="D266" s="34">
        <f t="shared" si="23"/>
        <v>1000</v>
      </c>
      <c r="E266" s="10">
        <f t="shared" si="24"/>
        <v>2000</v>
      </c>
      <c r="F266" s="10">
        <f t="shared" si="24"/>
        <v>477</v>
      </c>
      <c r="G266" s="10">
        <f t="shared" si="24"/>
        <v>0</v>
      </c>
      <c r="H266" s="10">
        <f t="shared" si="24"/>
        <v>0</v>
      </c>
      <c r="I266" s="44">
        <f t="shared" si="24"/>
        <v>0</v>
      </c>
      <c r="J266" s="10">
        <f t="shared" si="20"/>
        <v>0</v>
      </c>
      <c r="K266" s="67">
        <f t="shared" si="25"/>
        <v>1023873.2394366197</v>
      </c>
    </row>
    <row r="267" spans="1:11" x14ac:dyDescent="0.25">
      <c r="A267" s="53">
        <f>'A) Base RI'!A266</f>
        <v>5842</v>
      </c>
      <c r="B267" s="35" t="str">
        <f>'A) Base RI'!B266</f>
        <v>Rossinière</v>
      </c>
      <c r="C267" s="10">
        <f>'A) Base RI'!AN266</f>
        <v>546</v>
      </c>
      <c r="D267" s="34">
        <f t="shared" si="23"/>
        <v>546</v>
      </c>
      <c r="E267" s="10">
        <f t="shared" si="22"/>
        <v>0</v>
      </c>
      <c r="F267" s="10">
        <f t="shared" si="22"/>
        <v>0</v>
      </c>
      <c r="G267" s="10">
        <f t="shared" si="22"/>
        <v>0</v>
      </c>
      <c r="H267" s="10">
        <f t="shared" si="22"/>
        <v>0</v>
      </c>
      <c r="I267" s="44">
        <f t="shared" si="22"/>
        <v>0</v>
      </c>
      <c r="J267" s="10">
        <f t="shared" si="20"/>
        <v>0</v>
      </c>
      <c r="K267" s="67">
        <f t="shared" si="25"/>
        <v>53830.985915492951</v>
      </c>
    </row>
    <row r="268" spans="1:11" x14ac:dyDescent="0.25">
      <c r="A268" s="53">
        <f>'A) Base RI'!A267</f>
        <v>5843</v>
      </c>
      <c r="B268" s="35" t="str">
        <f>'A) Base RI'!B267</f>
        <v>Rougemont</v>
      </c>
      <c r="C268" s="10">
        <f>'A) Base RI'!AN267</f>
        <v>892</v>
      </c>
      <c r="D268" s="34">
        <f t="shared" si="23"/>
        <v>892</v>
      </c>
      <c r="E268" s="10">
        <f t="shared" si="22"/>
        <v>0</v>
      </c>
      <c r="F268" s="10">
        <f t="shared" si="22"/>
        <v>0</v>
      </c>
      <c r="G268" s="10">
        <f t="shared" si="22"/>
        <v>0</v>
      </c>
      <c r="H268" s="10">
        <f t="shared" si="22"/>
        <v>0</v>
      </c>
      <c r="I268" s="44">
        <f t="shared" si="22"/>
        <v>0</v>
      </c>
      <c r="J268" s="10">
        <f t="shared" si="20"/>
        <v>0</v>
      </c>
      <c r="K268" s="67">
        <f t="shared" si="25"/>
        <v>87943.661971830981</v>
      </c>
    </row>
    <row r="269" spans="1:11" x14ac:dyDescent="0.25">
      <c r="A269" s="53">
        <f>'A) Base RI'!A268</f>
        <v>5851</v>
      </c>
      <c r="B269" s="35" t="str">
        <f>'A) Base RI'!B268</f>
        <v>Allaman</v>
      </c>
      <c r="C269" s="10">
        <f>'A) Base RI'!AN268</f>
        <v>432</v>
      </c>
      <c r="D269" s="34">
        <f t="shared" si="23"/>
        <v>432</v>
      </c>
      <c r="E269" s="10">
        <f t="shared" si="22"/>
        <v>0</v>
      </c>
      <c r="F269" s="10">
        <f t="shared" si="22"/>
        <v>0</v>
      </c>
      <c r="G269" s="10">
        <f t="shared" si="22"/>
        <v>0</v>
      </c>
      <c r="H269" s="10">
        <f t="shared" si="22"/>
        <v>0</v>
      </c>
      <c r="I269" s="44">
        <f t="shared" si="22"/>
        <v>0</v>
      </c>
      <c r="J269" s="10">
        <f t="shared" si="20"/>
        <v>0</v>
      </c>
      <c r="K269" s="67">
        <f t="shared" si="25"/>
        <v>42591.549295774646</v>
      </c>
    </row>
    <row r="270" spans="1:11" x14ac:dyDescent="0.25">
      <c r="A270" s="53">
        <f>'A) Base RI'!A269</f>
        <v>5852</v>
      </c>
      <c r="B270" s="35" t="str">
        <f>'A) Base RI'!B269</f>
        <v>Bursinel</v>
      </c>
      <c r="C270" s="10">
        <f>'A) Base RI'!AN269</f>
        <v>485</v>
      </c>
      <c r="D270" s="34">
        <f t="shared" si="23"/>
        <v>485</v>
      </c>
      <c r="E270" s="10">
        <f t="shared" si="22"/>
        <v>0</v>
      </c>
      <c r="F270" s="10">
        <f t="shared" si="22"/>
        <v>0</v>
      </c>
      <c r="G270" s="10">
        <f t="shared" si="22"/>
        <v>0</v>
      </c>
      <c r="H270" s="10">
        <f t="shared" si="22"/>
        <v>0</v>
      </c>
      <c r="I270" s="44">
        <f t="shared" si="22"/>
        <v>0</v>
      </c>
      <c r="J270" s="10">
        <f t="shared" si="20"/>
        <v>0</v>
      </c>
      <c r="K270" s="67">
        <f t="shared" si="25"/>
        <v>47816.9014084507</v>
      </c>
    </row>
    <row r="271" spans="1:11" x14ac:dyDescent="0.25">
      <c r="A271" s="53">
        <f>'A) Base RI'!A270</f>
        <v>5853</v>
      </c>
      <c r="B271" s="35" t="str">
        <f>'A) Base RI'!B270</f>
        <v>Bursins</v>
      </c>
      <c r="C271" s="10">
        <f>'A) Base RI'!AN270</f>
        <v>766</v>
      </c>
      <c r="D271" s="34">
        <f t="shared" si="23"/>
        <v>766</v>
      </c>
      <c r="E271" s="10">
        <f t="shared" si="22"/>
        <v>0</v>
      </c>
      <c r="F271" s="10">
        <f t="shared" si="22"/>
        <v>0</v>
      </c>
      <c r="G271" s="10">
        <f t="shared" si="22"/>
        <v>0</v>
      </c>
      <c r="H271" s="10">
        <f t="shared" si="22"/>
        <v>0</v>
      </c>
      <c r="I271" s="44">
        <f t="shared" si="22"/>
        <v>0</v>
      </c>
      <c r="J271" s="10">
        <f t="shared" si="20"/>
        <v>0</v>
      </c>
      <c r="K271" s="67">
        <f t="shared" si="25"/>
        <v>75521.126760563377</v>
      </c>
    </row>
    <row r="272" spans="1:11" x14ac:dyDescent="0.25">
      <c r="A272" s="53">
        <f>'A) Base RI'!A271</f>
        <v>5854</v>
      </c>
      <c r="B272" s="35" t="str">
        <f>'A) Base RI'!B271</f>
        <v>Burtigny</v>
      </c>
      <c r="C272" s="10">
        <f>'A) Base RI'!AN271</f>
        <v>359</v>
      </c>
      <c r="D272" s="34">
        <f t="shared" si="23"/>
        <v>359</v>
      </c>
      <c r="E272" s="10">
        <f t="shared" si="22"/>
        <v>0</v>
      </c>
      <c r="F272" s="10">
        <f t="shared" si="22"/>
        <v>0</v>
      </c>
      <c r="G272" s="10">
        <f t="shared" si="22"/>
        <v>0</v>
      </c>
      <c r="H272" s="10">
        <f t="shared" si="22"/>
        <v>0</v>
      </c>
      <c r="I272" s="44">
        <f t="shared" si="22"/>
        <v>0</v>
      </c>
      <c r="J272" s="10">
        <f t="shared" si="20"/>
        <v>0</v>
      </c>
      <c r="K272" s="67">
        <f t="shared" si="25"/>
        <v>35394.366197183095</v>
      </c>
    </row>
    <row r="273" spans="1:11" x14ac:dyDescent="0.25">
      <c r="A273" s="53">
        <f>'A) Base RI'!A272</f>
        <v>5855</v>
      </c>
      <c r="B273" s="35" t="str">
        <f>'A) Base RI'!B272</f>
        <v>Dully</v>
      </c>
      <c r="C273" s="10">
        <f>'A) Base RI'!AN272</f>
        <v>633</v>
      </c>
      <c r="D273" s="34">
        <f t="shared" si="23"/>
        <v>633</v>
      </c>
      <c r="E273" s="10">
        <f t="shared" si="22"/>
        <v>0</v>
      </c>
      <c r="F273" s="10">
        <f t="shared" si="22"/>
        <v>0</v>
      </c>
      <c r="G273" s="10">
        <f t="shared" si="22"/>
        <v>0</v>
      </c>
      <c r="H273" s="10">
        <f t="shared" si="22"/>
        <v>0</v>
      </c>
      <c r="I273" s="44">
        <f t="shared" si="22"/>
        <v>0</v>
      </c>
      <c r="J273" s="10">
        <f t="shared" si="20"/>
        <v>0</v>
      </c>
      <c r="K273" s="67">
        <f t="shared" si="25"/>
        <v>62408.450704225346</v>
      </c>
    </row>
    <row r="274" spans="1:11" x14ac:dyDescent="0.25">
      <c r="A274" s="53">
        <f>'A) Base RI'!A273</f>
        <v>5856</v>
      </c>
      <c r="B274" s="35" t="str">
        <f>'A) Base RI'!B273</f>
        <v>Essertines-sur-Rolle</v>
      </c>
      <c r="C274" s="10">
        <f>'A) Base RI'!AN273</f>
        <v>695</v>
      </c>
      <c r="D274" s="34">
        <f t="shared" si="23"/>
        <v>695</v>
      </c>
      <c r="E274" s="10">
        <f t="shared" si="22"/>
        <v>0</v>
      </c>
      <c r="F274" s="10">
        <f t="shared" si="22"/>
        <v>0</v>
      </c>
      <c r="G274" s="10">
        <f t="shared" si="22"/>
        <v>0</v>
      </c>
      <c r="H274" s="10">
        <f t="shared" si="22"/>
        <v>0</v>
      </c>
      <c r="I274" s="44">
        <f t="shared" si="22"/>
        <v>0</v>
      </c>
      <c r="J274" s="10">
        <f t="shared" si="20"/>
        <v>0</v>
      </c>
      <c r="K274" s="67">
        <f t="shared" si="25"/>
        <v>68521.126760563377</v>
      </c>
    </row>
    <row r="275" spans="1:11" x14ac:dyDescent="0.25">
      <c r="A275" s="53">
        <f>'A) Base RI'!A274</f>
        <v>5857</v>
      </c>
      <c r="B275" s="35" t="str">
        <f>'A) Base RI'!B274</f>
        <v>Gilly</v>
      </c>
      <c r="C275" s="10">
        <f>'A) Base RI'!AN274</f>
        <v>1230</v>
      </c>
      <c r="D275" s="34">
        <f t="shared" si="23"/>
        <v>1000</v>
      </c>
      <c r="E275" s="10">
        <f t="shared" si="22"/>
        <v>230</v>
      </c>
      <c r="F275" s="10">
        <f t="shared" si="22"/>
        <v>0</v>
      </c>
      <c r="G275" s="10">
        <f t="shared" si="22"/>
        <v>0</v>
      </c>
      <c r="H275" s="10">
        <f t="shared" si="22"/>
        <v>0</v>
      </c>
      <c r="I275" s="44">
        <f t="shared" si="22"/>
        <v>0</v>
      </c>
      <c r="J275" s="10">
        <f t="shared" si="20"/>
        <v>0</v>
      </c>
      <c r="K275" s="67">
        <f t="shared" si="25"/>
        <v>177957.74647887325</v>
      </c>
    </row>
    <row r="276" spans="1:11" x14ac:dyDescent="0.25">
      <c r="A276" s="53">
        <f>'A) Base RI'!A275</f>
        <v>5858</v>
      </c>
      <c r="B276" s="35" t="str">
        <f>'A) Base RI'!B275</f>
        <v>Luins</v>
      </c>
      <c r="C276" s="10">
        <f>'A) Base RI'!AN275</f>
        <v>625</v>
      </c>
      <c r="D276" s="34">
        <f t="shared" si="23"/>
        <v>625</v>
      </c>
      <c r="E276" s="10">
        <f t="shared" si="22"/>
        <v>0</v>
      </c>
      <c r="F276" s="10">
        <f t="shared" si="22"/>
        <v>0</v>
      </c>
      <c r="G276" s="10">
        <f t="shared" si="22"/>
        <v>0</v>
      </c>
      <c r="H276" s="10">
        <f t="shared" si="22"/>
        <v>0</v>
      </c>
      <c r="I276" s="44">
        <f t="shared" si="22"/>
        <v>0</v>
      </c>
      <c r="J276" s="10">
        <f t="shared" si="20"/>
        <v>0</v>
      </c>
      <c r="K276" s="67">
        <f t="shared" si="25"/>
        <v>61619.718309859149</v>
      </c>
    </row>
    <row r="277" spans="1:11" x14ac:dyDescent="0.25">
      <c r="A277" s="53">
        <f>'A) Base RI'!A276</f>
        <v>5859</v>
      </c>
      <c r="B277" s="35" t="str">
        <f>'A) Base RI'!B276</f>
        <v>Mont-sur-Rolle</v>
      </c>
      <c r="C277" s="10">
        <f>'A) Base RI'!AN276</f>
        <v>2660</v>
      </c>
      <c r="D277" s="34">
        <f t="shared" si="23"/>
        <v>1000</v>
      </c>
      <c r="E277" s="10">
        <f t="shared" si="22"/>
        <v>1660</v>
      </c>
      <c r="F277" s="10">
        <f t="shared" si="22"/>
        <v>0</v>
      </c>
      <c r="G277" s="10">
        <f t="shared" si="22"/>
        <v>0</v>
      </c>
      <c r="H277" s="10">
        <f t="shared" si="22"/>
        <v>0</v>
      </c>
      <c r="I277" s="44">
        <f t="shared" si="22"/>
        <v>0</v>
      </c>
      <c r="J277" s="10">
        <f t="shared" si="20"/>
        <v>0</v>
      </c>
      <c r="K277" s="67">
        <f t="shared" si="25"/>
        <v>671408.45070422534</v>
      </c>
    </row>
    <row r="278" spans="1:11" x14ac:dyDescent="0.25">
      <c r="A278" s="53">
        <f>'A) Base RI'!A277</f>
        <v>5860</v>
      </c>
      <c r="B278" s="35" t="str">
        <f>'A) Base RI'!B277</f>
        <v>Perroy</v>
      </c>
      <c r="C278" s="10">
        <f>'A) Base RI'!AN277</f>
        <v>1453</v>
      </c>
      <c r="D278" s="34">
        <f t="shared" si="23"/>
        <v>1000</v>
      </c>
      <c r="E278" s="10">
        <f t="shared" si="22"/>
        <v>453</v>
      </c>
      <c r="F278" s="10">
        <f t="shared" si="22"/>
        <v>0</v>
      </c>
      <c r="G278" s="10">
        <f t="shared" si="22"/>
        <v>0</v>
      </c>
      <c r="H278" s="10">
        <f t="shared" si="22"/>
        <v>0</v>
      </c>
      <c r="I278" s="44">
        <f t="shared" si="22"/>
        <v>0</v>
      </c>
      <c r="J278" s="10">
        <f t="shared" si="20"/>
        <v>0</v>
      </c>
      <c r="K278" s="67">
        <f t="shared" si="25"/>
        <v>254908.45070422534</v>
      </c>
    </row>
    <row r="279" spans="1:11" x14ac:dyDescent="0.25">
      <c r="A279" s="53">
        <f>'A) Base RI'!A278</f>
        <v>5861</v>
      </c>
      <c r="B279" s="35" t="str">
        <f>'A) Base RI'!B278</f>
        <v>Rolle</v>
      </c>
      <c r="C279" s="10">
        <f>'A) Base RI'!AN278</f>
        <v>6142</v>
      </c>
      <c r="D279" s="34">
        <f t="shared" si="23"/>
        <v>1000</v>
      </c>
      <c r="E279" s="10">
        <f t="shared" si="22"/>
        <v>2000</v>
      </c>
      <c r="F279" s="10">
        <f t="shared" si="22"/>
        <v>2000</v>
      </c>
      <c r="G279" s="10">
        <f t="shared" si="22"/>
        <v>1142</v>
      </c>
      <c r="H279" s="10">
        <f t="shared" si="22"/>
        <v>0</v>
      </c>
      <c r="I279" s="44">
        <f t="shared" si="22"/>
        <v>0</v>
      </c>
      <c r="J279" s="10">
        <f t="shared" si="20"/>
        <v>0</v>
      </c>
      <c r="K279" s="67">
        <f t="shared" si="25"/>
        <v>2450197.1830985914</v>
      </c>
    </row>
    <row r="280" spans="1:11" x14ac:dyDescent="0.25">
      <c r="A280" s="53">
        <f>'A) Base RI'!A279</f>
        <v>5862</v>
      </c>
      <c r="B280" s="35" t="str">
        <f>'A) Base RI'!B279</f>
        <v>Tartegnin</v>
      </c>
      <c r="C280" s="10">
        <f>'A) Base RI'!AN279</f>
        <v>236</v>
      </c>
      <c r="D280" s="34">
        <f t="shared" si="23"/>
        <v>236</v>
      </c>
      <c r="E280" s="10">
        <f t="shared" si="22"/>
        <v>0</v>
      </c>
      <c r="F280" s="10">
        <f t="shared" si="22"/>
        <v>0</v>
      </c>
      <c r="G280" s="10">
        <f t="shared" si="22"/>
        <v>0</v>
      </c>
      <c r="H280" s="10">
        <f t="shared" si="22"/>
        <v>0</v>
      </c>
      <c r="I280" s="44">
        <f t="shared" si="22"/>
        <v>0</v>
      </c>
      <c r="J280" s="10">
        <f t="shared" si="20"/>
        <v>0</v>
      </c>
      <c r="K280" s="67">
        <f t="shared" si="25"/>
        <v>23267.605633802814</v>
      </c>
    </row>
    <row r="281" spans="1:11" x14ac:dyDescent="0.25">
      <c r="A281" s="53">
        <f>'A) Base RI'!A280</f>
        <v>5863</v>
      </c>
      <c r="B281" s="35" t="str">
        <f>'A) Base RI'!B280</f>
        <v>Vinzel</v>
      </c>
      <c r="C281" s="10">
        <f>'A) Base RI'!AN280</f>
        <v>352</v>
      </c>
      <c r="D281" s="34">
        <f t="shared" si="23"/>
        <v>352</v>
      </c>
      <c r="E281" s="10">
        <f t="shared" si="22"/>
        <v>0</v>
      </c>
      <c r="F281" s="10">
        <f t="shared" si="22"/>
        <v>0</v>
      </c>
      <c r="G281" s="10">
        <f t="shared" si="22"/>
        <v>0</v>
      </c>
      <c r="H281" s="10">
        <f t="shared" si="22"/>
        <v>0</v>
      </c>
      <c r="I281" s="44">
        <f t="shared" si="22"/>
        <v>0</v>
      </c>
      <c r="J281" s="10">
        <f t="shared" ref="J281:J286" si="26">IF(C281&gt;$J$4,C281-$J$4,0)</f>
        <v>0</v>
      </c>
      <c r="K281" s="67">
        <f t="shared" si="25"/>
        <v>34704.225352112677</v>
      </c>
    </row>
    <row r="282" spans="1:11" x14ac:dyDescent="0.25">
      <c r="A282" s="53">
        <f>'A) Base RI'!A281</f>
        <v>5871</v>
      </c>
      <c r="B282" s="35" t="str">
        <f>'A) Base RI'!B281</f>
        <v>L'Abbaye</v>
      </c>
      <c r="C282" s="10">
        <f>'A) Base RI'!AN281</f>
        <v>1439</v>
      </c>
      <c r="D282" s="34">
        <f t="shared" si="23"/>
        <v>1000</v>
      </c>
      <c r="E282" s="10">
        <f t="shared" si="22"/>
        <v>439</v>
      </c>
      <c r="F282" s="10">
        <f t="shared" si="22"/>
        <v>0</v>
      </c>
      <c r="G282" s="10">
        <f t="shared" si="22"/>
        <v>0</v>
      </c>
      <c r="H282" s="10">
        <f t="shared" si="22"/>
        <v>0</v>
      </c>
      <c r="I282" s="44">
        <f t="shared" si="22"/>
        <v>0</v>
      </c>
      <c r="J282" s="10">
        <f t="shared" si="26"/>
        <v>0</v>
      </c>
      <c r="K282" s="67">
        <f t="shared" si="25"/>
        <v>250077.46478873241</v>
      </c>
    </row>
    <row r="283" spans="1:11" x14ac:dyDescent="0.25">
      <c r="A283" s="53">
        <f>'A) Base RI'!A282</f>
        <v>5872</v>
      </c>
      <c r="B283" s="35" t="str">
        <f>'A) Base RI'!B282</f>
        <v>Le Chenit</v>
      </c>
      <c r="C283" s="10">
        <f>'A) Base RI'!AN282</f>
        <v>4608</v>
      </c>
      <c r="D283" s="34">
        <f t="shared" si="23"/>
        <v>1000</v>
      </c>
      <c r="E283" s="10">
        <f t="shared" si="22"/>
        <v>2000</v>
      </c>
      <c r="F283" s="10">
        <f t="shared" si="22"/>
        <v>1608</v>
      </c>
      <c r="G283" s="10">
        <f t="shared" si="22"/>
        <v>0</v>
      </c>
      <c r="H283" s="10">
        <f t="shared" si="22"/>
        <v>0</v>
      </c>
      <c r="I283" s="44">
        <f t="shared" si="22"/>
        <v>0</v>
      </c>
      <c r="J283" s="10">
        <f t="shared" si="26"/>
        <v>0</v>
      </c>
      <c r="K283" s="67">
        <f t="shared" si="25"/>
        <v>1581408.4507042253</v>
      </c>
    </row>
    <row r="284" spans="1:11" x14ac:dyDescent="0.25">
      <c r="A284" s="53">
        <f>'A) Base RI'!A283</f>
        <v>5873</v>
      </c>
      <c r="B284" s="35" t="str">
        <f>'A) Base RI'!B283</f>
        <v>Le Lieu</v>
      </c>
      <c r="C284" s="10">
        <f>'A) Base RI'!AN283</f>
        <v>873</v>
      </c>
      <c r="D284" s="34">
        <f t="shared" si="23"/>
        <v>873</v>
      </c>
      <c r="E284" s="10">
        <f t="shared" si="22"/>
        <v>0</v>
      </c>
      <c r="F284" s="10">
        <f t="shared" si="22"/>
        <v>0</v>
      </c>
      <c r="G284" s="10">
        <f t="shared" si="22"/>
        <v>0</v>
      </c>
      <c r="H284" s="10">
        <f t="shared" si="22"/>
        <v>0</v>
      </c>
      <c r="I284" s="44">
        <f t="shared" si="22"/>
        <v>0</v>
      </c>
      <c r="J284" s="10">
        <f t="shared" si="26"/>
        <v>0</v>
      </c>
      <c r="K284" s="67">
        <f t="shared" si="25"/>
        <v>86070.422535211255</v>
      </c>
    </row>
    <row r="285" spans="1:11" x14ac:dyDescent="0.25">
      <c r="A285" s="53">
        <f>'A) Base RI'!A284</f>
        <v>5881</v>
      </c>
      <c r="B285" s="35" t="str">
        <f>'A) Base RI'!B284</f>
        <v>Blonay</v>
      </c>
      <c r="C285" s="10">
        <f>'A) Base RI'!AN284</f>
        <v>6116</v>
      </c>
      <c r="D285" s="34">
        <f t="shared" si="23"/>
        <v>1000</v>
      </c>
      <c r="E285" s="10">
        <f t="shared" si="22"/>
        <v>2000</v>
      </c>
      <c r="F285" s="10">
        <f t="shared" si="22"/>
        <v>2000</v>
      </c>
      <c r="G285" s="10">
        <f t="shared" si="22"/>
        <v>1116</v>
      </c>
      <c r="H285" s="10">
        <f t="shared" si="22"/>
        <v>0</v>
      </c>
      <c r="I285" s="44">
        <f t="shared" si="22"/>
        <v>0</v>
      </c>
      <c r="J285" s="10">
        <f t="shared" si="26"/>
        <v>0</v>
      </c>
      <c r="K285" s="67">
        <f t="shared" si="25"/>
        <v>2434816.9014084507</v>
      </c>
    </row>
    <row r="286" spans="1:11" x14ac:dyDescent="0.25">
      <c r="A286" s="53">
        <f>'A) Base RI'!A285</f>
        <v>5882</v>
      </c>
      <c r="B286" s="35" t="str">
        <f>'A) Base RI'!B285</f>
        <v>Chardonne</v>
      </c>
      <c r="C286" s="10">
        <f>'A) Base RI'!AN285</f>
        <v>2916</v>
      </c>
      <c r="D286" s="34">
        <f t="shared" si="23"/>
        <v>1000</v>
      </c>
      <c r="E286" s="10">
        <f t="shared" si="22"/>
        <v>1916</v>
      </c>
      <c r="F286" s="10">
        <f t="shared" si="22"/>
        <v>0</v>
      </c>
      <c r="G286" s="10">
        <f t="shared" si="22"/>
        <v>0</v>
      </c>
      <c r="H286" s="10">
        <f t="shared" si="22"/>
        <v>0</v>
      </c>
      <c r="I286" s="44">
        <f t="shared" si="22"/>
        <v>0</v>
      </c>
      <c r="J286" s="10">
        <f t="shared" si="26"/>
        <v>0</v>
      </c>
      <c r="K286" s="67">
        <f t="shared" si="25"/>
        <v>759746.47887323948</v>
      </c>
    </row>
    <row r="287" spans="1:11" x14ac:dyDescent="0.25">
      <c r="A287" s="53">
        <f>'A) Base RI'!A286</f>
        <v>5883</v>
      </c>
      <c r="B287" s="35" t="str">
        <f>'A) Base RI'!B286</f>
        <v>Corseaux</v>
      </c>
      <c r="C287" s="10">
        <f>'A) Base RI'!AN286</f>
        <v>2212</v>
      </c>
      <c r="D287" s="34">
        <f t="shared" si="23"/>
        <v>1000</v>
      </c>
      <c r="E287" s="10">
        <f t="shared" si="22"/>
        <v>1212</v>
      </c>
      <c r="F287" s="10">
        <f t="shared" si="22"/>
        <v>0</v>
      </c>
      <c r="G287" s="10">
        <f t="shared" si="22"/>
        <v>0</v>
      </c>
      <c r="H287" s="10">
        <f t="shared" si="22"/>
        <v>0</v>
      </c>
      <c r="I287" s="44">
        <f t="shared" si="22"/>
        <v>0</v>
      </c>
      <c r="J287" s="10">
        <f t="shared" ref="J287:J325" si="27">IF(C287&gt;$J$4,C287-$J$4,0)</f>
        <v>0</v>
      </c>
      <c r="K287" s="67">
        <f t="shared" si="25"/>
        <v>516816.90140845074</v>
      </c>
    </row>
    <row r="288" spans="1:11" x14ac:dyDescent="0.25">
      <c r="A288" s="53">
        <f>'A) Base RI'!A287</f>
        <v>5884</v>
      </c>
      <c r="B288" s="35" t="str">
        <f>'A) Base RI'!B287</f>
        <v>Corsier-sur-Vevey</v>
      </c>
      <c r="C288" s="10">
        <f>'A) Base RI'!AN287</f>
        <v>3403</v>
      </c>
      <c r="D288" s="34">
        <f t="shared" si="23"/>
        <v>1000</v>
      </c>
      <c r="E288" s="10">
        <f t="shared" si="22"/>
        <v>2000</v>
      </c>
      <c r="F288" s="10">
        <f t="shared" si="22"/>
        <v>403</v>
      </c>
      <c r="G288" s="10">
        <f t="shared" si="22"/>
        <v>0</v>
      </c>
      <c r="H288" s="10">
        <f t="shared" si="22"/>
        <v>0</v>
      </c>
      <c r="I288" s="44">
        <f t="shared" si="22"/>
        <v>0</v>
      </c>
      <c r="J288" s="10">
        <f t="shared" si="27"/>
        <v>0</v>
      </c>
      <c r="K288" s="67">
        <f t="shared" si="25"/>
        <v>987394.36619718303</v>
      </c>
    </row>
    <row r="289" spans="1:11" x14ac:dyDescent="0.25">
      <c r="A289" s="53">
        <f>'A) Base RI'!A288</f>
        <v>5885</v>
      </c>
      <c r="B289" s="35" t="str">
        <f>'A) Base RI'!B288</f>
        <v>Jongny</v>
      </c>
      <c r="C289" s="10">
        <f>'A) Base RI'!AN288</f>
        <v>1488</v>
      </c>
      <c r="D289" s="34">
        <f t="shared" si="23"/>
        <v>1000</v>
      </c>
      <c r="E289" s="10">
        <f t="shared" si="22"/>
        <v>488</v>
      </c>
      <c r="F289" s="10">
        <f t="shared" si="22"/>
        <v>0</v>
      </c>
      <c r="G289" s="10">
        <f t="shared" si="22"/>
        <v>0</v>
      </c>
      <c r="H289" s="10">
        <f t="shared" si="22"/>
        <v>0</v>
      </c>
      <c r="I289" s="44">
        <f t="shared" si="22"/>
        <v>0</v>
      </c>
      <c r="J289" s="10">
        <f t="shared" si="27"/>
        <v>0</v>
      </c>
      <c r="K289" s="67">
        <f t="shared" si="25"/>
        <v>266985.91549295775</v>
      </c>
    </row>
    <row r="290" spans="1:11" x14ac:dyDescent="0.25">
      <c r="A290" s="53">
        <f>'A) Base RI'!A289</f>
        <v>5886</v>
      </c>
      <c r="B290" s="35" t="str">
        <f>'A) Base RI'!B289</f>
        <v>Montreux</v>
      </c>
      <c r="C290" s="10">
        <f>'A) Base RI'!AN289</f>
        <v>26402</v>
      </c>
      <c r="D290" s="34">
        <f t="shared" si="23"/>
        <v>1000</v>
      </c>
      <c r="E290" s="10">
        <f t="shared" si="22"/>
        <v>2000</v>
      </c>
      <c r="F290" s="10">
        <f t="shared" si="22"/>
        <v>2000</v>
      </c>
      <c r="G290" s="10">
        <f t="shared" si="22"/>
        <v>4000</v>
      </c>
      <c r="H290" s="10">
        <f t="shared" si="22"/>
        <v>3000</v>
      </c>
      <c r="I290" s="44">
        <f t="shared" si="22"/>
        <v>3000</v>
      </c>
      <c r="J290" s="10">
        <f t="shared" si="27"/>
        <v>11402</v>
      </c>
      <c r="K290" s="67">
        <f t="shared" si="25"/>
        <v>21416154.929577462</v>
      </c>
    </row>
    <row r="291" spans="1:11" x14ac:dyDescent="0.25">
      <c r="A291" s="53">
        <f>'A) Base RI'!A290</f>
        <v>5888</v>
      </c>
      <c r="B291" s="35" t="str">
        <f>'A) Base RI'!B290</f>
        <v>Saint-Légier-La Chiésaz</v>
      </c>
      <c r="C291" s="10">
        <f>'A) Base RI'!AN290</f>
        <v>5130</v>
      </c>
      <c r="D291" s="34">
        <f t="shared" si="23"/>
        <v>1000</v>
      </c>
      <c r="E291" s="10">
        <f t="shared" si="22"/>
        <v>2000</v>
      </c>
      <c r="F291" s="10">
        <f t="shared" si="22"/>
        <v>2000</v>
      </c>
      <c r="G291" s="10">
        <f t="shared" si="22"/>
        <v>130</v>
      </c>
      <c r="H291" s="10">
        <f t="shared" si="22"/>
        <v>0</v>
      </c>
      <c r="I291" s="44">
        <f t="shared" si="22"/>
        <v>0</v>
      </c>
      <c r="J291" s="10">
        <f t="shared" si="27"/>
        <v>0</v>
      </c>
      <c r="K291" s="67">
        <f t="shared" si="25"/>
        <v>1851549.295774648</v>
      </c>
    </row>
    <row r="292" spans="1:11" x14ac:dyDescent="0.25">
      <c r="A292" s="53">
        <f>'A) Base RI'!A291</f>
        <v>5889</v>
      </c>
      <c r="B292" s="35" t="str">
        <f>'A) Base RI'!B291</f>
        <v>La Tour-de-Peilz</v>
      </c>
      <c r="C292" s="10">
        <f>'A) Base RI'!AN291</f>
        <v>11637</v>
      </c>
      <c r="D292" s="34">
        <f t="shared" si="23"/>
        <v>1000</v>
      </c>
      <c r="E292" s="10">
        <f t="shared" si="22"/>
        <v>2000</v>
      </c>
      <c r="F292" s="10">
        <f t="shared" si="22"/>
        <v>2000</v>
      </c>
      <c r="G292" s="10">
        <f t="shared" si="22"/>
        <v>4000</v>
      </c>
      <c r="H292" s="10">
        <f t="shared" si="22"/>
        <v>2637</v>
      </c>
      <c r="I292" s="44">
        <f t="shared" si="22"/>
        <v>0</v>
      </c>
      <c r="J292" s="10">
        <f t="shared" si="27"/>
        <v>0</v>
      </c>
      <c r="K292" s="67">
        <f t="shared" si="25"/>
        <v>6350725.3521126751</v>
      </c>
    </row>
    <row r="293" spans="1:11" x14ac:dyDescent="0.25">
      <c r="A293" s="53">
        <f>'A) Base RI'!A292</f>
        <v>5890</v>
      </c>
      <c r="B293" s="35" t="str">
        <f>'A) Base RI'!B292</f>
        <v>Vevey</v>
      </c>
      <c r="C293" s="10">
        <f>'A) Base RI'!AN292</f>
        <v>19605</v>
      </c>
      <c r="D293" s="34">
        <f t="shared" si="23"/>
        <v>1000</v>
      </c>
      <c r="E293" s="10">
        <f t="shared" si="22"/>
        <v>2000</v>
      </c>
      <c r="F293" s="10">
        <f t="shared" si="22"/>
        <v>2000</v>
      </c>
      <c r="G293" s="10">
        <f t="shared" si="22"/>
        <v>4000</v>
      </c>
      <c r="H293" s="10">
        <f t="shared" si="22"/>
        <v>3000</v>
      </c>
      <c r="I293" s="44">
        <f t="shared" si="22"/>
        <v>3000</v>
      </c>
      <c r="J293" s="10">
        <f t="shared" si="27"/>
        <v>4605</v>
      </c>
      <c r="K293" s="67">
        <f t="shared" si="25"/>
        <v>14379823.943661971</v>
      </c>
    </row>
    <row r="294" spans="1:11" x14ac:dyDescent="0.25">
      <c r="A294" s="53">
        <f>'A) Base RI'!A293</f>
        <v>5891</v>
      </c>
      <c r="B294" s="35" t="str">
        <f>'A) Base RI'!B293</f>
        <v>Veytaux</v>
      </c>
      <c r="C294" s="10">
        <f>'A) Base RI'!AN293</f>
        <v>850</v>
      </c>
      <c r="D294" s="34">
        <f t="shared" si="23"/>
        <v>850</v>
      </c>
      <c r="E294" s="10">
        <f t="shared" si="22"/>
        <v>0</v>
      </c>
      <c r="F294" s="10">
        <f t="shared" si="22"/>
        <v>0</v>
      </c>
      <c r="G294" s="10">
        <f t="shared" si="22"/>
        <v>0</v>
      </c>
      <c r="H294" s="10">
        <f t="shared" si="22"/>
        <v>0</v>
      </c>
      <c r="I294" s="44">
        <f t="shared" si="22"/>
        <v>0</v>
      </c>
      <c r="J294" s="10">
        <f t="shared" si="27"/>
        <v>0</v>
      </c>
      <c r="K294" s="67">
        <f t="shared" si="25"/>
        <v>83802.816901408441</v>
      </c>
    </row>
    <row r="295" spans="1:11" x14ac:dyDescent="0.25">
      <c r="A295" s="53">
        <f>'A) Base RI'!A294</f>
        <v>5902</v>
      </c>
      <c r="B295" s="35" t="str">
        <f>'A) Base RI'!B294</f>
        <v>Belmont-sur-Yverdon</v>
      </c>
      <c r="C295" s="10">
        <f>'A) Base RI'!AN294</f>
        <v>368</v>
      </c>
      <c r="D295" s="34">
        <f t="shared" ref="D295:D325" si="28">IF($C295&gt;D$4,IF($C295&lt;D$5,$C295-D$4,D$5-D$4),0)</f>
        <v>368</v>
      </c>
      <c r="E295" s="10">
        <f t="shared" si="22"/>
        <v>0</v>
      </c>
      <c r="F295" s="10">
        <f t="shared" si="22"/>
        <v>0</v>
      </c>
      <c r="G295" s="10">
        <f t="shared" si="22"/>
        <v>0</v>
      </c>
      <c r="H295" s="10">
        <f t="shared" si="22"/>
        <v>0</v>
      </c>
      <c r="I295" s="44">
        <f t="shared" si="22"/>
        <v>0</v>
      </c>
      <c r="J295" s="10">
        <f t="shared" si="27"/>
        <v>0</v>
      </c>
      <c r="K295" s="67">
        <f t="shared" si="25"/>
        <v>36281.690140845065</v>
      </c>
    </row>
    <row r="296" spans="1:11" x14ac:dyDescent="0.25">
      <c r="A296" s="53">
        <f>'A) Base RI'!A295</f>
        <v>5903</v>
      </c>
      <c r="B296" s="35" t="str">
        <f>'A) Base RI'!B295</f>
        <v>Bioley-Magnoux</v>
      </c>
      <c r="C296" s="10">
        <f>'A) Base RI'!AN295</f>
        <v>230</v>
      </c>
      <c r="D296" s="34">
        <f t="shared" si="28"/>
        <v>230</v>
      </c>
      <c r="E296" s="10">
        <f t="shared" si="22"/>
        <v>0</v>
      </c>
      <c r="F296" s="10">
        <f t="shared" si="22"/>
        <v>0</v>
      </c>
      <c r="G296" s="10">
        <f t="shared" si="22"/>
        <v>0</v>
      </c>
      <c r="H296" s="10">
        <f t="shared" si="22"/>
        <v>0</v>
      </c>
      <c r="I296" s="44">
        <f t="shared" si="22"/>
        <v>0</v>
      </c>
      <c r="J296" s="10">
        <f t="shared" si="27"/>
        <v>0</v>
      </c>
      <c r="K296" s="67">
        <f t="shared" si="25"/>
        <v>22676.056338028167</v>
      </c>
    </row>
    <row r="297" spans="1:11" x14ac:dyDescent="0.25">
      <c r="A297" s="53">
        <f>'A) Base RI'!A296</f>
        <v>5904</v>
      </c>
      <c r="B297" s="35" t="str">
        <f>'A) Base RI'!B296</f>
        <v>Chamblon</v>
      </c>
      <c r="C297" s="10">
        <f>'A) Base RI'!AN296</f>
        <v>548</v>
      </c>
      <c r="D297" s="34">
        <f t="shared" si="28"/>
        <v>548</v>
      </c>
      <c r="E297" s="10">
        <f t="shared" si="22"/>
        <v>0</v>
      </c>
      <c r="F297" s="10">
        <f t="shared" si="22"/>
        <v>0</v>
      </c>
      <c r="G297" s="10">
        <f t="shared" si="22"/>
        <v>0</v>
      </c>
      <c r="H297" s="10">
        <f t="shared" si="22"/>
        <v>0</v>
      </c>
      <c r="I297" s="44">
        <f t="shared" si="22"/>
        <v>0</v>
      </c>
      <c r="J297" s="10">
        <f t="shared" si="27"/>
        <v>0</v>
      </c>
      <c r="K297" s="67">
        <f t="shared" si="25"/>
        <v>54028.169014084502</v>
      </c>
    </row>
    <row r="298" spans="1:11" x14ac:dyDescent="0.25">
      <c r="A298" s="53">
        <f>'A) Base RI'!A297</f>
        <v>5905</v>
      </c>
      <c r="B298" s="35" t="str">
        <f>'A) Base RI'!B297</f>
        <v>Champvent</v>
      </c>
      <c r="C298" s="10">
        <f>'A) Base RI'!AN297</f>
        <v>652</v>
      </c>
      <c r="D298" s="34">
        <f t="shared" si="28"/>
        <v>652</v>
      </c>
      <c r="E298" s="10">
        <f t="shared" si="22"/>
        <v>0</v>
      </c>
      <c r="F298" s="10">
        <f t="shared" si="22"/>
        <v>0</v>
      </c>
      <c r="G298" s="10">
        <f t="shared" si="22"/>
        <v>0</v>
      </c>
      <c r="H298" s="10">
        <f t="shared" si="22"/>
        <v>0</v>
      </c>
      <c r="I298" s="44">
        <f t="shared" si="22"/>
        <v>0</v>
      </c>
      <c r="J298" s="10">
        <f t="shared" si="27"/>
        <v>0</v>
      </c>
      <c r="K298" s="67">
        <f t="shared" si="25"/>
        <v>64281.690140845065</v>
      </c>
    </row>
    <row r="299" spans="1:11" x14ac:dyDescent="0.25">
      <c r="A299" s="53">
        <f>'A) Base RI'!A298</f>
        <v>5907</v>
      </c>
      <c r="B299" s="35" t="str">
        <f>'A) Base RI'!B298</f>
        <v>Chavannes-le-Chêne</v>
      </c>
      <c r="C299" s="10">
        <f>'A) Base RI'!AN298</f>
        <v>300</v>
      </c>
      <c r="D299" s="34">
        <f t="shared" si="28"/>
        <v>300</v>
      </c>
      <c r="E299" s="10">
        <f t="shared" si="22"/>
        <v>0</v>
      </c>
      <c r="F299" s="10">
        <f t="shared" si="22"/>
        <v>0</v>
      </c>
      <c r="G299" s="10">
        <f t="shared" si="22"/>
        <v>0</v>
      </c>
      <c r="H299" s="10">
        <f t="shared" si="22"/>
        <v>0</v>
      </c>
      <c r="I299" s="44">
        <f t="shared" si="22"/>
        <v>0</v>
      </c>
      <c r="J299" s="10">
        <f t="shared" si="27"/>
        <v>0</v>
      </c>
      <c r="K299" s="67">
        <f t="shared" si="25"/>
        <v>29577.464788732392</v>
      </c>
    </row>
    <row r="300" spans="1:11" x14ac:dyDescent="0.25">
      <c r="A300" s="53">
        <f>'A) Base RI'!A299</f>
        <v>5908</v>
      </c>
      <c r="B300" s="35" t="str">
        <f>'A) Base RI'!B299</f>
        <v>Chêne-Pâquier</v>
      </c>
      <c r="C300" s="10">
        <f>'A) Base RI'!AN299</f>
        <v>140</v>
      </c>
      <c r="D300" s="34">
        <f t="shared" si="28"/>
        <v>140</v>
      </c>
      <c r="E300" s="10">
        <f t="shared" si="22"/>
        <v>0</v>
      </c>
      <c r="F300" s="10">
        <f t="shared" si="22"/>
        <v>0</v>
      </c>
      <c r="G300" s="10">
        <f t="shared" si="22"/>
        <v>0</v>
      </c>
      <c r="H300" s="10">
        <f t="shared" si="22"/>
        <v>0</v>
      </c>
      <c r="I300" s="44">
        <f t="shared" si="22"/>
        <v>0</v>
      </c>
      <c r="J300" s="10">
        <f t="shared" si="27"/>
        <v>0</v>
      </c>
      <c r="K300" s="67">
        <f t="shared" si="25"/>
        <v>13802.816901408451</v>
      </c>
    </row>
    <row r="301" spans="1:11" x14ac:dyDescent="0.25">
      <c r="A301" s="53">
        <f>'A) Base RI'!A300</f>
        <v>5909</v>
      </c>
      <c r="B301" s="35" t="str">
        <f>'A) Base RI'!B300</f>
        <v>Cheseaux-Noréaz</v>
      </c>
      <c r="C301" s="10">
        <f>'A) Base RI'!AN300</f>
        <v>670</v>
      </c>
      <c r="D301" s="34">
        <f t="shared" si="28"/>
        <v>670</v>
      </c>
      <c r="E301" s="10">
        <f t="shared" si="22"/>
        <v>0</v>
      </c>
      <c r="F301" s="10">
        <f t="shared" si="22"/>
        <v>0</v>
      </c>
      <c r="G301" s="10">
        <f t="shared" si="22"/>
        <v>0</v>
      </c>
      <c r="H301" s="10">
        <f t="shared" si="22"/>
        <v>0</v>
      </c>
      <c r="I301" s="44">
        <f t="shared" si="22"/>
        <v>0</v>
      </c>
      <c r="J301" s="10">
        <f t="shared" si="27"/>
        <v>0</v>
      </c>
      <c r="K301" s="67">
        <f t="shared" si="25"/>
        <v>66056.338028169004</v>
      </c>
    </row>
    <row r="302" spans="1:11" x14ac:dyDescent="0.25">
      <c r="A302" s="53">
        <f>'A) Base RI'!A301</f>
        <v>5910</v>
      </c>
      <c r="B302" s="35" t="str">
        <f>'A) Base RI'!B301</f>
        <v>Cronay</v>
      </c>
      <c r="C302" s="10">
        <f>'A) Base RI'!AN301</f>
        <v>380</v>
      </c>
      <c r="D302" s="34">
        <f t="shared" si="28"/>
        <v>380</v>
      </c>
      <c r="E302" s="10">
        <f t="shared" si="22"/>
        <v>0</v>
      </c>
      <c r="F302" s="10">
        <f t="shared" si="22"/>
        <v>0</v>
      </c>
      <c r="G302" s="10">
        <f t="shared" si="22"/>
        <v>0</v>
      </c>
      <c r="H302" s="10">
        <f t="shared" si="22"/>
        <v>0</v>
      </c>
      <c r="I302" s="44">
        <f t="shared" ref="E302:I325" si="29">IF($C302&gt;I$4,IF($C302&lt;I$5,$C302-I$4,I$5-I$4),0)</f>
        <v>0</v>
      </c>
      <c r="J302" s="10">
        <f t="shared" si="27"/>
        <v>0</v>
      </c>
      <c r="K302" s="67">
        <f t="shared" si="25"/>
        <v>37464.788732394365</v>
      </c>
    </row>
    <row r="303" spans="1:11" x14ac:dyDescent="0.25">
      <c r="A303" s="53">
        <f>'A) Base RI'!A302</f>
        <v>5911</v>
      </c>
      <c r="B303" s="35" t="str">
        <f>'A) Base RI'!B302</f>
        <v>Cuarny</v>
      </c>
      <c r="C303" s="10">
        <f>'A) Base RI'!AN302</f>
        <v>237</v>
      </c>
      <c r="D303" s="34">
        <f t="shared" si="28"/>
        <v>237</v>
      </c>
      <c r="E303" s="10">
        <f t="shared" si="29"/>
        <v>0</v>
      </c>
      <c r="F303" s="10">
        <f t="shared" si="29"/>
        <v>0</v>
      </c>
      <c r="G303" s="10">
        <f t="shared" si="29"/>
        <v>0</v>
      </c>
      <c r="H303" s="10">
        <f t="shared" si="29"/>
        <v>0</v>
      </c>
      <c r="I303" s="44">
        <f t="shared" si="29"/>
        <v>0</v>
      </c>
      <c r="J303" s="10">
        <f t="shared" si="27"/>
        <v>0</v>
      </c>
      <c r="K303" s="67">
        <f t="shared" si="25"/>
        <v>23366.197183098589</v>
      </c>
    </row>
    <row r="304" spans="1:11" x14ac:dyDescent="0.25">
      <c r="A304" s="53">
        <f>'A) Base RI'!A303</f>
        <v>5912</v>
      </c>
      <c r="B304" s="35" t="str">
        <f>'A) Base RI'!B303</f>
        <v>Démoret</v>
      </c>
      <c r="C304" s="10">
        <f>'A) Base RI'!AN303</f>
        <v>126</v>
      </c>
      <c r="D304" s="34">
        <f t="shared" si="28"/>
        <v>126</v>
      </c>
      <c r="E304" s="10">
        <f t="shared" si="29"/>
        <v>0</v>
      </c>
      <c r="F304" s="10">
        <f t="shared" si="29"/>
        <v>0</v>
      </c>
      <c r="G304" s="10">
        <f t="shared" si="29"/>
        <v>0</v>
      </c>
      <c r="H304" s="10">
        <f t="shared" si="29"/>
        <v>0</v>
      </c>
      <c r="I304" s="44">
        <f t="shared" si="29"/>
        <v>0</v>
      </c>
      <c r="J304" s="10">
        <f t="shared" si="27"/>
        <v>0</v>
      </c>
      <c r="K304" s="67">
        <f t="shared" si="25"/>
        <v>12422.535211267605</v>
      </c>
    </row>
    <row r="305" spans="1:11" x14ac:dyDescent="0.25">
      <c r="A305" s="53">
        <f>'A) Base RI'!A304</f>
        <v>5913</v>
      </c>
      <c r="B305" s="35" t="str">
        <f>'A) Base RI'!B304</f>
        <v>Donneloye</v>
      </c>
      <c r="C305" s="10">
        <f>'A) Base RI'!AN304</f>
        <v>779</v>
      </c>
      <c r="D305" s="34">
        <f t="shared" si="28"/>
        <v>779</v>
      </c>
      <c r="E305" s="10">
        <f t="shared" si="29"/>
        <v>0</v>
      </c>
      <c r="F305" s="10">
        <f t="shared" si="29"/>
        <v>0</v>
      </c>
      <c r="G305" s="10">
        <f t="shared" si="29"/>
        <v>0</v>
      </c>
      <c r="H305" s="10">
        <f t="shared" si="29"/>
        <v>0</v>
      </c>
      <c r="I305" s="44">
        <f t="shared" si="29"/>
        <v>0</v>
      </c>
      <c r="J305" s="10">
        <f t="shared" si="27"/>
        <v>0</v>
      </c>
      <c r="K305" s="67">
        <f t="shared" si="25"/>
        <v>76802.816901408441</v>
      </c>
    </row>
    <row r="306" spans="1:11" x14ac:dyDescent="0.25">
      <c r="A306" s="53">
        <f>'A) Base RI'!A305</f>
        <v>5914</v>
      </c>
      <c r="B306" s="35" t="str">
        <f>'A) Base RI'!B305</f>
        <v>Ependes</v>
      </c>
      <c r="C306" s="10">
        <f>'A) Base RI'!AN305</f>
        <v>350</v>
      </c>
      <c r="D306" s="34">
        <f t="shared" si="28"/>
        <v>350</v>
      </c>
      <c r="E306" s="10">
        <f t="shared" si="29"/>
        <v>0</v>
      </c>
      <c r="F306" s="10">
        <f t="shared" si="29"/>
        <v>0</v>
      </c>
      <c r="G306" s="10">
        <f t="shared" si="29"/>
        <v>0</v>
      </c>
      <c r="H306" s="10">
        <f t="shared" si="29"/>
        <v>0</v>
      </c>
      <c r="I306" s="44">
        <f t="shared" si="29"/>
        <v>0</v>
      </c>
      <c r="J306" s="10">
        <f t="shared" si="27"/>
        <v>0</v>
      </c>
      <c r="K306" s="67">
        <f t="shared" si="25"/>
        <v>34507.042253521126</v>
      </c>
    </row>
    <row r="307" spans="1:11" x14ac:dyDescent="0.25">
      <c r="A307" s="53">
        <f>'A) Base RI'!A306</f>
        <v>5915</v>
      </c>
      <c r="B307" s="35" t="str">
        <f>'A) Base RI'!B306</f>
        <v>Essert-Pittet</v>
      </c>
      <c r="C307" s="10">
        <f>'A) Base RI'!AN306</f>
        <v>170</v>
      </c>
      <c r="D307" s="34">
        <f t="shared" si="28"/>
        <v>170</v>
      </c>
      <c r="E307" s="10">
        <f t="shared" si="29"/>
        <v>0</v>
      </c>
      <c r="F307" s="10">
        <f t="shared" si="29"/>
        <v>0</v>
      </c>
      <c r="G307" s="10">
        <f t="shared" si="29"/>
        <v>0</v>
      </c>
      <c r="H307" s="10">
        <f t="shared" si="29"/>
        <v>0</v>
      </c>
      <c r="I307" s="44">
        <f t="shared" si="29"/>
        <v>0</v>
      </c>
      <c r="J307" s="10">
        <f t="shared" si="27"/>
        <v>0</v>
      </c>
      <c r="K307" s="67">
        <f t="shared" si="25"/>
        <v>16760.563380281688</v>
      </c>
    </row>
    <row r="308" spans="1:11" x14ac:dyDescent="0.25">
      <c r="A308" s="53">
        <f>'A) Base RI'!A307</f>
        <v>5919</v>
      </c>
      <c r="B308" s="35" t="str">
        <f>'A) Base RI'!B307</f>
        <v>Mathod</v>
      </c>
      <c r="C308" s="10">
        <f>'A) Base RI'!AN307</f>
        <v>614</v>
      </c>
      <c r="D308" s="34">
        <f t="shared" si="28"/>
        <v>614</v>
      </c>
      <c r="E308" s="10">
        <f t="shared" si="29"/>
        <v>0</v>
      </c>
      <c r="F308" s="10">
        <f t="shared" si="29"/>
        <v>0</v>
      </c>
      <c r="G308" s="10">
        <f t="shared" si="29"/>
        <v>0</v>
      </c>
      <c r="H308" s="10">
        <f t="shared" si="29"/>
        <v>0</v>
      </c>
      <c r="I308" s="44">
        <f t="shared" si="29"/>
        <v>0</v>
      </c>
      <c r="J308" s="10">
        <f t="shared" si="27"/>
        <v>0</v>
      </c>
      <c r="K308" s="67">
        <f t="shared" si="25"/>
        <v>60535.211267605628</v>
      </c>
    </row>
    <row r="309" spans="1:11" x14ac:dyDescent="0.25">
      <c r="A309" s="53">
        <f>'A) Base RI'!A308</f>
        <v>5921</v>
      </c>
      <c r="B309" s="35" t="str">
        <f>'A) Base RI'!B308</f>
        <v>Molondin</v>
      </c>
      <c r="C309" s="10">
        <f>'A) Base RI'!AN308</f>
        <v>218</v>
      </c>
      <c r="D309" s="34">
        <f t="shared" si="28"/>
        <v>218</v>
      </c>
      <c r="E309" s="10">
        <f t="shared" si="29"/>
        <v>0</v>
      </c>
      <c r="F309" s="10">
        <f t="shared" si="29"/>
        <v>0</v>
      </c>
      <c r="G309" s="10">
        <f t="shared" si="29"/>
        <v>0</v>
      </c>
      <c r="H309" s="10">
        <f t="shared" si="29"/>
        <v>0</v>
      </c>
      <c r="I309" s="44">
        <f t="shared" si="29"/>
        <v>0</v>
      </c>
      <c r="J309" s="10">
        <f t="shared" si="27"/>
        <v>0</v>
      </c>
      <c r="K309" s="67">
        <f t="shared" si="25"/>
        <v>21492.957746478871</v>
      </c>
    </row>
    <row r="310" spans="1:11" x14ac:dyDescent="0.25">
      <c r="A310" s="53">
        <f>'A) Base RI'!A309</f>
        <v>5922</v>
      </c>
      <c r="B310" s="35" t="str">
        <f>'A) Base RI'!B309</f>
        <v>Montagny-près-Yverdon</v>
      </c>
      <c r="C310" s="10">
        <f>'A) Base RI'!AN309</f>
        <v>733</v>
      </c>
      <c r="D310" s="34">
        <f t="shared" si="28"/>
        <v>733</v>
      </c>
      <c r="E310" s="10">
        <f t="shared" si="29"/>
        <v>0</v>
      </c>
      <c r="F310" s="10">
        <f t="shared" si="29"/>
        <v>0</v>
      </c>
      <c r="G310" s="10">
        <f t="shared" si="29"/>
        <v>0</v>
      </c>
      <c r="H310" s="10">
        <f t="shared" si="29"/>
        <v>0</v>
      </c>
      <c r="I310" s="44">
        <f t="shared" si="29"/>
        <v>0</v>
      </c>
      <c r="J310" s="10">
        <f t="shared" si="27"/>
        <v>0</v>
      </c>
      <c r="K310" s="67">
        <f t="shared" si="25"/>
        <v>72267.605633802814</v>
      </c>
    </row>
    <row r="311" spans="1:11" x14ac:dyDescent="0.25">
      <c r="A311" s="53">
        <f>'A) Base RI'!A310</f>
        <v>5923</v>
      </c>
      <c r="B311" s="35" t="str">
        <f>'A) Base RI'!B310</f>
        <v>Oppens</v>
      </c>
      <c r="C311" s="10">
        <f>'A) Base RI'!AN310</f>
        <v>182</v>
      </c>
      <c r="D311" s="34">
        <f t="shared" si="28"/>
        <v>182</v>
      </c>
      <c r="E311" s="10">
        <f t="shared" si="29"/>
        <v>0</v>
      </c>
      <c r="F311" s="10">
        <f t="shared" si="29"/>
        <v>0</v>
      </c>
      <c r="G311" s="10">
        <f t="shared" si="29"/>
        <v>0</v>
      </c>
      <c r="H311" s="10">
        <f t="shared" si="29"/>
        <v>0</v>
      </c>
      <c r="I311" s="44">
        <f t="shared" si="29"/>
        <v>0</v>
      </c>
      <c r="J311" s="10">
        <f t="shared" si="27"/>
        <v>0</v>
      </c>
      <c r="K311" s="67">
        <f t="shared" si="25"/>
        <v>17943.661971830985</v>
      </c>
    </row>
    <row r="312" spans="1:11" x14ac:dyDescent="0.25">
      <c r="A312" s="53">
        <f>'A) Base RI'!A311</f>
        <v>5924</v>
      </c>
      <c r="B312" s="35" t="str">
        <f>'A) Base RI'!B311</f>
        <v>Orges</v>
      </c>
      <c r="C312" s="10">
        <f>'A) Base RI'!AN311</f>
        <v>292</v>
      </c>
      <c r="D312" s="34">
        <f t="shared" si="28"/>
        <v>292</v>
      </c>
      <c r="E312" s="10">
        <f t="shared" si="29"/>
        <v>0</v>
      </c>
      <c r="F312" s="10">
        <f t="shared" si="29"/>
        <v>0</v>
      </c>
      <c r="G312" s="10">
        <f t="shared" si="29"/>
        <v>0</v>
      </c>
      <c r="H312" s="10">
        <f t="shared" si="29"/>
        <v>0</v>
      </c>
      <c r="I312" s="44">
        <f t="shared" si="29"/>
        <v>0</v>
      </c>
      <c r="J312" s="10">
        <f t="shared" si="27"/>
        <v>0</v>
      </c>
      <c r="K312" s="67">
        <f t="shared" si="25"/>
        <v>28788.732394366194</v>
      </c>
    </row>
    <row r="313" spans="1:11" x14ac:dyDescent="0.25">
      <c r="A313" s="53">
        <f>'A) Base RI'!A312</f>
        <v>5925</v>
      </c>
      <c r="B313" s="35" t="str">
        <f>'A) Base RI'!B312</f>
        <v>Orzens</v>
      </c>
      <c r="C313" s="10">
        <f>'A) Base RI'!AN312</f>
        <v>200</v>
      </c>
      <c r="D313" s="34">
        <f t="shared" si="28"/>
        <v>200</v>
      </c>
      <c r="E313" s="10">
        <f t="shared" si="29"/>
        <v>0</v>
      </c>
      <c r="F313" s="10">
        <f t="shared" si="29"/>
        <v>0</v>
      </c>
      <c r="G313" s="10">
        <f t="shared" si="29"/>
        <v>0</v>
      </c>
      <c r="H313" s="10">
        <f t="shared" si="29"/>
        <v>0</v>
      </c>
      <c r="I313" s="44">
        <f t="shared" si="29"/>
        <v>0</v>
      </c>
      <c r="J313" s="10">
        <f t="shared" si="27"/>
        <v>0</v>
      </c>
      <c r="K313" s="67">
        <f t="shared" si="25"/>
        <v>19718.309859154928</v>
      </c>
    </row>
    <row r="314" spans="1:11" x14ac:dyDescent="0.25">
      <c r="A314" s="53">
        <f>'A) Base RI'!A313</f>
        <v>5926</v>
      </c>
      <c r="B314" s="35" t="str">
        <f>'A) Base RI'!B313</f>
        <v>Pomy</v>
      </c>
      <c r="C314" s="10">
        <f>'A) Base RI'!AN313</f>
        <v>760</v>
      </c>
      <c r="D314" s="34">
        <f t="shared" si="28"/>
        <v>760</v>
      </c>
      <c r="E314" s="10">
        <f t="shared" si="29"/>
        <v>0</v>
      </c>
      <c r="F314" s="10">
        <f t="shared" si="29"/>
        <v>0</v>
      </c>
      <c r="G314" s="10">
        <f t="shared" si="29"/>
        <v>0</v>
      </c>
      <c r="H314" s="10">
        <f t="shared" si="29"/>
        <v>0</v>
      </c>
      <c r="I314" s="44">
        <f t="shared" si="29"/>
        <v>0</v>
      </c>
      <c r="J314" s="10">
        <f t="shared" si="27"/>
        <v>0</v>
      </c>
      <c r="K314" s="67">
        <f t="shared" si="25"/>
        <v>74929.57746478873</v>
      </c>
    </row>
    <row r="315" spans="1:11" x14ac:dyDescent="0.25">
      <c r="A315" s="53">
        <f>'A) Base RI'!A314</f>
        <v>5928</v>
      </c>
      <c r="B315" s="35" t="str">
        <f>'A) Base RI'!B314</f>
        <v>Rovray</v>
      </c>
      <c r="C315" s="10">
        <f>'A) Base RI'!AN314</f>
        <v>172</v>
      </c>
      <c r="D315" s="34">
        <f t="shared" si="28"/>
        <v>172</v>
      </c>
      <c r="E315" s="10">
        <f t="shared" si="29"/>
        <v>0</v>
      </c>
      <c r="F315" s="10">
        <f t="shared" si="29"/>
        <v>0</v>
      </c>
      <c r="G315" s="10">
        <f t="shared" si="29"/>
        <v>0</v>
      </c>
      <c r="H315" s="10">
        <f t="shared" si="29"/>
        <v>0</v>
      </c>
      <c r="I315" s="44">
        <f t="shared" si="29"/>
        <v>0</v>
      </c>
      <c r="J315" s="10">
        <f t="shared" si="27"/>
        <v>0</v>
      </c>
      <c r="K315" s="67">
        <f t="shared" si="25"/>
        <v>16957.74647887324</v>
      </c>
    </row>
    <row r="316" spans="1:11" x14ac:dyDescent="0.25">
      <c r="A316" s="53">
        <f>'A) Base RI'!A315</f>
        <v>5929</v>
      </c>
      <c r="B316" s="35" t="str">
        <f>'A) Base RI'!B315</f>
        <v>Suchy</v>
      </c>
      <c r="C316" s="10">
        <f>'A) Base RI'!AN315</f>
        <v>606</v>
      </c>
      <c r="D316" s="34">
        <f t="shared" si="28"/>
        <v>606</v>
      </c>
      <c r="E316" s="10">
        <f t="shared" si="29"/>
        <v>0</v>
      </c>
      <c r="F316" s="10">
        <f t="shared" si="29"/>
        <v>0</v>
      </c>
      <c r="G316" s="10">
        <f t="shared" si="29"/>
        <v>0</v>
      </c>
      <c r="H316" s="10">
        <f t="shared" si="29"/>
        <v>0</v>
      </c>
      <c r="I316" s="44">
        <f t="shared" si="29"/>
        <v>0</v>
      </c>
      <c r="J316" s="10">
        <f t="shared" si="27"/>
        <v>0</v>
      </c>
      <c r="K316" s="67">
        <f t="shared" si="25"/>
        <v>59746.47887323943</v>
      </c>
    </row>
    <row r="317" spans="1:11" x14ac:dyDescent="0.25">
      <c r="A317" s="53">
        <f>'A) Base RI'!A316</f>
        <v>5930</v>
      </c>
      <c r="B317" s="35" t="str">
        <f>'A) Base RI'!B316</f>
        <v>Suscévaz</v>
      </c>
      <c r="C317" s="10">
        <f>'A) Base RI'!AN316</f>
        <v>202</v>
      </c>
      <c r="D317" s="34">
        <f t="shared" si="28"/>
        <v>202</v>
      </c>
      <c r="E317" s="10">
        <f t="shared" si="29"/>
        <v>0</v>
      </c>
      <c r="F317" s="10">
        <f t="shared" si="29"/>
        <v>0</v>
      </c>
      <c r="G317" s="10">
        <f t="shared" si="29"/>
        <v>0</v>
      </c>
      <c r="H317" s="10">
        <f t="shared" si="29"/>
        <v>0</v>
      </c>
      <c r="I317" s="44">
        <f t="shared" si="29"/>
        <v>0</v>
      </c>
      <c r="J317" s="10">
        <f t="shared" si="27"/>
        <v>0</v>
      </c>
      <c r="K317" s="67">
        <f t="shared" si="25"/>
        <v>19915.492957746479</v>
      </c>
    </row>
    <row r="318" spans="1:11" x14ac:dyDescent="0.25">
      <c r="A318" s="53">
        <f>'A) Base RI'!A317</f>
        <v>5931</v>
      </c>
      <c r="B318" s="35" t="str">
        <f>'A) Base RI'!B317</f>
        <v>Treycovagnes</v>
      </c>
      <c r="C318" s="10">
        <f>'A) Base RI'!AN317</f>
        <v>446</v>
      </c>
      <c r="D318" s="34">
        <f t="shared" si="28"/>
        <v>446</v>
      </c>
      <c r="E318" s="10">
        <f t="shared" si="29"/>
        <v>0</v>
      </c>
      <c r="F318" s="10">
        <f t="shared" si="29"/>
        <v>0</v>
      </c>
      <c r="G318" s="10">
        <f t="shared" si="29"/>
        <v>0</v>
      </c>
      <c r="H318" s="10">
        <f t="shared" si="29"/>
        <v>0</v>
      </c>
      <c r="I318" s="44">
        <f t="shared" si="29"/>
        <v>0</v>
      </c>
      <c r="J318" s="10">
        <f t="shared" si="27"/>
        <v>0</v>
      </c>
      <c r="K318" s="67">
        <f t="shared" si="25"/>
        <v>43971.830985915491</v>
      </c>
    </row>
    <row r="319" spans="1:11" x14ac:dyDescent="0.25">
      <c r="A319" s="53">
        <f>'A) Base RI'!A318</f>
        <v>5932</v>
      </c>
      <c r="B319" s="35" t="str">
        <f>'A) Base RI'!B318</f>
        <v>Ursins</v>
      </c>
      <c r="C319" s="10">
        <f>'A) Base RI'!AN318</f>
        <v>210</v>
      </c>
      <c r="D319" s="34">
        <f t="shared" si="28"/>
        <v>210</v>
      </c>
      <c r="E319" s="10">
        <f t="shared" si="29"/>
        <v>0</v>
      </c>
      <c r="F319" s="10">
        <f t="shared" si="29"/>
        <v>0</v>
      </c>
      <c r="G319" s="10">
        <f t="shared" si="29"/>
        <v>0</v>
      </c>
      <c r="H319" s="10">
        <f t="shared" si="29"/>
        <v>0</v>
      </c>
      <c r="I319" s="44">
        <f t="shared" si="29"/>
        <v>0</v>
      </c>
      <c r="J319" s="10">
        <f t="shared" si="27"/>
        <v>0</v>
      </c>
      <c r="K319" s="67">
        <f t="shared" si="25"/>
        <v>20704.225352112673</v>
      </c>
    </row>
    <row r="320" spans="1:11" x14ac:dyDescent="0.25">
      <c r="A320" s="53">
        <f>'A) Base RI'!A319</f>
        <v>5933</v>
      </c>
      <c r="B320" s="35" t="str">
        <f>'A) Base RI'!B319</f>
        <v>Valeyres-sous-Montagny</v>
      </c>
      <c r="C320" s="10">
        <f>'A) Base RI'!AN319</f>
        <v>689</v>
      </c>
      <c r="D320" s="34">
        <f t="shared" si="28"/>
        <v>689</v>
      </c>
      <c r="E320" s="10">
        <f t="shared" si="29"/>
        <v>0</v>
      </c>
      <c r="F320" s="10">
        <f t="shared" si="29"/>
        <v>0</v>
      </c>
      <c r="G320" s="10">
        <f t="shared" si="29"/>
        <v>0</v>
      </c>
      <c r="H320" s="10">
        <f t="shared" si="29"/>
        <v>0</v>
      </c>
      <c r="I320" s="44">
        <f t="shared" si="29"/>
        <v>0</v>
      </c>
      <c r="J320" s="10">
        <f t="shared" si="27"/>
        <v>0</v>
      </c>
      <c r="K320" s="67">
        <f t="shared" si="25"/>
        <v>67929.57746478873</v>
      </c>
    </row>
    <row r="321" spans="1:11" x14ac:dyDescent="0.25">
      <c r="A321" s="53">
        <f>'A) Base RI'!A320</f>
        <v>5934</v>
      </c>
      <c r="B321" s="35" t="str">
        <f>'A) Base RI'!B320</f>
        <v>Valeyres-sous-Ursins</v>
      </c>
      <c r="C321" s="10">
        <f>'A) Base RI'!AN320</f>
        <v>247</v>
      </c>
      <c r="D321" s="34">
        <f t="shared" si="28"/>
        <v>247</v>
      </c>
      <c r="E321" s="10">
        <f t="shared" si="29"/>
        <v>0</v>
      </c>
      <c r="F321" s="10">
        <f t="shared" si="29"/>
        <v>0</v>
      </c>
      <c r="G321" s="10">
        <f t="shared" si="29"/>
        <v>0</v>
      </c>
      <c r="H321" s="10">
        <f t="shared" si="29"/>
        <v>0</v>
      </c>
      <c r="I321" s="44">
        <f t="shared" si="29"/>
        <v>0</v>
      </c>
      <c r="J321" s="10">
        <f t="shared" si="27"/>
        <v>0</v>
      </c>
      <c r="K321" s="67">
        <f t="shared" si="25"/>
        <v>24352.112676056335</v>
      </c>
    </row>
    <row r="322" spans="1:11" x14ac:dyDescent="0.25">
      <c r="A322" s="53">
        <f>'A) Base RI'!A321</f>
        <v>5935</v>
      </c>
      <c r="B322" s="35" t="str">
        <f>'A) Base RI'!B321</f>
        <v>Villars-Epeney</v>
      </c>
      <c r="C322" s="10">
        <f>'A) Base RI'!AN321</f>
        <v>105</v>
      </c>
      <c r="D322" s="34">
        <f t="shared" si="28"/>
        <v>105</v>
      </c>
      <c r="E322" s="10">
        <f t="shared" si="29"/>
        <v>0</v>
      </c>
      <c r="F322" s="10">
        <f t="shared" si="29"/>
        <v>0</v>
      </c>
      <c r="G322" s="10">
        <f t="shared" si="29"/>
        <v>0</v>
      </c>
      <c r="H322" s="10">
        <f t="shared" si="29"/>
        <v>0</v>
      </c>
      <c r="I322" s="44">
        <f t="shared" si="29"/>
        <v>0</v>
      </c>
      <c r="J322" s="10">
        <f t="shared" si="27"/>
        <v>0</v>
      </c>
      <c r="K322" s="67">
        <f t="shared" si="25"/>
        <v>10352.112676056337</v>
      </c>
    </row>
    <row r="323" spans="1:11" x14ac:dyDescent="0.25">
      <c r="A323" s="53">
        <f>'A) Base RI'!A322</f>
        <v>5937</v>
      </c>
      <c r="B323" s="35" t="str">
        <f>'A) Base RI'!B322</f>
        <v>Vugelles-La Mothe</v>
      </c>
      <c r="C323" s="10">
        <f>'A) Base RI'!AN322</f>
        <v>134</v>
      </c>
      <c r="D323" s="34">
        <f t="shared" si="28"/>
        <v>134</v>
      </c>
      <c r="E323" s="10">
        <f t="shared" si="29"/>
        <v>0</v>
      </c>
      <c r="F323" s="10">
        <f t="shared" si="29"/>
        <v>0</v>
      </c>
      <c r="G323" s="10">
        <f t="shared" si="29"/>
        <v>0</v>
      </c>
      <c r="H323" s="10">
        <f t="shared" si="29"/>
        <v>0</v>
      </c>
      <c r="I323" s="44">
        <f t="shared" si="29"/>
        <v>0</v>
      </c>
      <c r="J323" s="10">
        <f t="shared" si="27"/>
        <v>0</v>
      </c>
      <c r="K323" s="67">
        <f t="shared" si="25"/>
        <v>13211.267605633802</v>
      </c>
    </row>
    <row r="324" spans="1:11" x14ac:dyDescent="0.25">
      <c r="A324" s="53">
        <f>'A) Base RI'!A323</f>
        <v>5938</v>
      </c>
      <c r="B324" s="35" t="str">
        <f>'A) Base RI'!B323</f>
        <v>Yverdon-les-Bains</v>
      </c>
      <c r="C324" s="10">
        <f>'A) Base RI'!AN323</f>
        <v>29570</v>
      </c>
      <c r="D324" s="34">
        <f t="shared" si="28"/>
        <v>1000</v>
      </c>
      <c r="E324" s="10">
        <f t="shared" si="29"/>
        <v>2000</v>
      </c>
      <c r="F324" s="10">
        <f t="shared" si="29"/>
        <v>2000</v>
      </c>
      <c r="G324" s="10">
        <f t="shared" si="29"/>
        <v>4000</v>
      </c>
      <c r="H324" s="10">
        <f t="shared" si="29"/>
        <v>3000</v>
      </c>
      <c r="I324" s="44">
        <f t="shared" si="29"/>
        <v>3000</v>
      </c>
      <c r="J324" s="10">
        <f t="shared" si="27"/>
        <v>14570</v>
      </c>
      <c r="K324" s="67">
        <f t="shared" si="25"/>
        <v>24695704.225352112</v>
      </c>
    </row>
    <row r="325" spans="1:11" x14ac:dyDescent="0.25">
      <c r="A325" s="55">
        <f>'A) Base RI'!A324</f>
        <v>5939</v>
      </c>
      <c r="B325" s="56" t="str">
        <f>'A) Base RI'!B324</f>
        <v>Yvonand</v>
      </c>
      <c r="C325" s="20">
        <f>'A) Base RI'!AN324</f>
        <v>3236</v>
      </c>
      <c r="D325" s="154">
        <f t="shared" si="28"/>
        <v>1000</v>
      </c>
      <c r="E325" s="20">
        <f t="shared" si="29"/>
        <v>2000</v>
      </c>
      <c r="F325" s="20">
        <f t="shared" si="29"/>
        <v>236</v>
      </c>
      <c r="G325" s="20">
        <f t="shared" si="29"/>
        <v>0</v>
      </c>
      <c r="H325" s="20">
        <f t="shared" si="29"/>
        <v>0</v>
      </c>
      <c r="I325" s="95">
        <f t="shared" si="29"/>
        <v>0</v>
      </c>
      <c r="J325" s="20">
        <f t="shared" si="27"/>
        <v>0</v>
      </c>
      <c r="K325" s="141">
        <f t="shared" si="25"/>
        <v>905070.42253521131</v>
      </c>
    </row>
    <row r="326" spans="1:11" x14ac:dyDescent="0.25">
      <c r="B326" s="68">
        <f>COUNTA(B8:B325)</f>
        <v>318</v>
      </c>
      <c r="C326" s="20">
        <f>SUM(C8:C325)</f>
        <v>778251</v>
      </c>
      <c r="D326" s="11">
        <f t="shared" ref="D326:J326" si="30">SUM(D8:D325)</f>
        <v>216998</v>
      </c>
      <c r="E326" s="11">
        <f t="shared" si="30"/>
        <v>161619</v>
      </c>
      <c r="F326" s="11">
        <f t="shared" si="30"/>
        <v>81789</v>
      </c>
      <c r="G326" s="11">
        <f t="shared" si="30"/>
        <v>88144</v>
      </c>
      <c r="H326" s="11">
        <f t="shared" si="30"/>
        <v>37734</v>
      </c>
      <c r="I326" s="11">
        <f t="shared" si="30"/>
        <v>25169</v>
      </c>
      <c r="J326" s="20">
        <f t="shared" si="30"/>
        <v>166798</v>
      </c>
      <c r="K326" s="141">
        <f>SUM(K8:K325)</f>
        <v>398731978.87323916</v>
      </c>
    </row>
    <row r="327" spans="1:11" x14ac:dyDescent="0.25">
      <c r="C327" s="99"/>
    </row>
    <row r="337" spans="3:3" x14ac:dyDescent="0.25">
      <c r="C337" s="72"/>
    </row>
  </sheetData>
  <mergeCells count="6">
    <mergeCell ref="K6:K7"/>
    <mergeCell ref="C3:J3"/>
    <mergeCell ref="A6:A7"/>
    <mergeCell ref="B6:B7"/>
    <mergeCell ref="C6:C7"/>
    <mergeCell ref="D6:J6"/>
  </mergeCells>
  <phoneticPr fontId="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14</vt:i4>
      </vt:variant>
    </vt:vector>
  </HeadingPairs>
  <TitlesOfParts>
    <vt:vector size="32" baseType="lpstr">
      <vt:lpstr>Paramètres</vt:lpstr>
      <vt:lpstr>Recherche</vt:lpstr>
      <vt:lpstr>Validation Rend. Imp.</vt:lpstr>
      <vt:lpstr>A) Base RI</vt:lpstr>
      <vt:lpstr>B) D RI</vt:lpstr>
      <vt:lpstr>C) Prél. conj.</vt:lpstr>
      <vt:lpstr>D) Ecrêtage</vt:lpstr>
      <vt:lpstr>E) Fact soc</vt:lpstr>
      <vt:lpstr>F) Population</vt:lpstr>
      <vt:lpstr>G) Solidarité</vt:lpstr>
      <vt:lpstr>H) Péréquation directe</vt:lpstr>
      <vt:lpstr>I) Dépenses thématiques</vt:lpstr>
      <vt:lpstr>J) Plafonnement effort</vt:lpstr>
      <vt:lpstr>K) Plafonnement aide</vt:lpstr>
      <vt:lpstr>L) Plafonnement taux</vt:lpstr>
      <vt:lpstr>M) Police</vt:lpstr>
      <vt:lpstr>Synthèse</vt:lpstr>
      <vt:lpstr>Acomptes vs Décompte</vt:lpstr>
      <vt:lpstr>'C) Prél. conj.'!Impression_des_titres</vt:lpstr>
      <vt:lpstr>'E) Fact soc'!Impression_des_titres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'A) Base RI'!Zone_d_impression</vt:lpstr>
      <vt:lpstr>'H) Péréquation directe'!Zone_d_impression</vt:lpstr>
      <vt:lpstr>'L) Plafonnement taux'!Zone_d_impression</vt:lpstr>
      <vt:lpstr>'M) Police'!Zone_d_impression</vt:lpstr>
      <vt:lpstr>Recherche!Zone_d_impression</vt:lpstr>
      <vt:lpstr>Synthèse!Zone_d_impression</vt:lpstr>
      <vt:lpstr>'Validation Rend. Imp.'!Zone_d_impression</vt:lpstr>
    </vt:vector>
  </TitlesOfParts>
  <Company>Etat de Vaud / ASFiCo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CLERC,Charles Henri</dc:creator>
  <cp:lastModifiedBy>CLERC,Charles Henri</cp:lastModifiedBy>
  <cp:lastPrinted>2017-06-14T07:26:47Z</cp:lastPrinted>
  <dcterms:created xsi:type="dcterms:W3CDTF">2005-06-06T00:37:42Z</dcterms:created>
  <dcterms:modified xsi:type="dcterms:W3CDTF">2017-07-14T05:23:40Z</dcterms:modified>
</cp:coreProperties>
</file>